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0" documentId="13_ncr:1_{E54CA62C-6C84-43F7-91D1-AC664E3E5C36}" xr6:coauthVersionLast="47" xr6:coauthVersionMax="47" xr10:uidLastSave="{00000000-0000-0000-0000-000000000000}"/>
  <bookViews>
    <workbookView xWindow="14400" yWindow="0" windowWidth="28800" windowHeight="22170" tabRatio="828" firstSheet="1" activeTab="2"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externalReferences>
    <externalReference r:id="rId22"/>
  </externalReferences>
  <definedNames>
    <definedName name="_xlnm._FilterDatabase" localSheetId="6" hidden="1">'Output costs'!$A$1:$AF$61</definedName>
    <definedName name="_xlnm._FilterDatabase" localSheetId="3" hidden="1">'Output emissions'!$A$1:$J$62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I38" i="30"/>
  <c r="I37" i="30"/>
  <c r="I36" i="30"/>
  <c r="I35" i="30"/>
  <c r="I34" i="30"/>
  <c r="I32" i="30"/>
  <c r="G7" i="30" s="1"/>
  <c r="I31" i="30"/>
  <c r="I30" i="30"/>
  <c r="I29" i="30"/>
  <c r="I28" i="30"/>
  <c r="G10" i="30" s="1"/>
  <c r="I26" i="30"/>
  <c r="G14" i="30" s="1"/>
  <c r="I25" i="30"/>
  <c r="I24" i="30"/>
  <c r="G12" i="30" s="1"/>
  <c r="I23" i="30"/>
  <c r="G8" i="30" s="1"/>
  <c r="F16" i="30"/>
  <c r="G15" i="30"/>
  <c r="F15" i="30"/>
  <c r="H15" i="30" s="1"/>
  <c r="F14" i="30"/>
  <c r="H14" i="30" s="1"/>
  <c r="G13" i="30"/>
  <c r="F13" i="30"/>
  <c r="H13" i="30" s="1"/>
  <c r="F12" i="30"/>
  <c r="G11" i="30"/>
  <c r="F11" i="30"/>
  <c r="H11" i="30" s="1"/>
  <c r="F10" i="30"/>
  <c r="F9" i="30"/>
  <c r="F8" i="30"/>
  <c r="F7" i="30"/>
  <c r="F6" i="30"/>
  <c r="F5" i="30"/>
  <c r="G4" i="30"/>
  <c r="F4" i="30"/>
  <c r="F3" i="30"/>
  <c r="F2" i="30"/>
  <c r="H4" i="30" l="1"/>
  <c r="G3" i="30"/>
  <c r="H3" i="30" s="1"/>
  <c r="G2" i="30"/>
  <c r="H2" i="30" s="1"/>
  <c r="G16" i="30"/>
  <c r="H7" i="30"/>
  <c r="H8" i="30"/>
  <c r="H16" i="30"/>
  <c r="H12" i="30"/>
  <c r="H10" i="30"/>
  <c r="G9" i="30"/>
  <c r="H9" i="30" s="1"/>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C240" i="2"/>
  <c r="B240" i="2"/>
  <c r="C228" i="2"/>
  <c r="B228" i="2"/>
  <c r="C216" i="2"/>
  <c r="B216" i="2"/>
  <c r="C207" i="2"/>
  <c r="C198" i="2"/>
  <c r="B198" i="2"/>
  <c r="C187" i="2"/>
  <c r="B187" i="2"/>
  <c r="C175" i="2"/>
  <c r="B175" i="2"/>
  <c r="C163" i="2"/>
  <c r="B163" i="2"/>
  <c r="C151" i="2"/>
  <c r="B151" i="2"/>
  <c r="C141" i="2"/>
  <c r="C72" i="2"/>
  <c r="C133" i="2"/>
  <c r="B133" i="2"/>
  <c r="C119" i="2"/>
  <c r="B119" i="2"/>
  <c r="C106" i="2"/>
  <c r="B106" i="2"/>
  <c r="C93" i="2"/>
  <c r="B93" i="2"/>
  <c r="J7" i="30" s="1"/>
  <c r="C81" i="2"/>
  <c r="B81" i="2"/>
  <c r="I9" i="30" l="1"/>
  <c r="I8" i="30"/>
  <c r="I2" i="30"/>
  <c r="I3" i="30"/>
  <c r="I11" i="30"/>
  <c r="I12" i="30"/>
  <c r="J9" i="30"/>
  <c r="J10" i="30"/>
  <c r="J14" i="30"/>
  <c r="I16" i="30"/>
  <c r="J3" i="30"/>
  <c r="J4" i="30"/>
  <c r="I15" i="30"/>
  <c r="I14" i="30"/>
  <c r="K14" i="30" s="1"/>
  <c r="J15" i="30"/>
  <c r="J16" i="30"/>
  <c r="J13" i="30"/>
  <c r="J12" i="30"/>
  <c r="H46" i="29"/>
  <c r="H45" i="29"/>
  <c r="H44" i="29"/>
  <c r="H42" i="29"/>
  <c r="G46" i="29"/>
  <c r="G45" i="29"/>
  <c r="G44" i="29"/>
  <c r="G42" i="29"/>
  <c r="X149" i="2"/>
  <c r="K12" i="30" l="1"/>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86" i="32" l="1"/>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M183" i="2"/>
  <c r="M186" i="2" s="1"/>
  <c r="L183" i="2"/>
  <c r="M171" i="2"/>
  <c r="M174" i="2" s="1"/>
  <c r="M162" i="2"/>
  <c r="L162" i="2"/>
  <c r="M148" i="2"/>
  <c r="I4" i="30" l="1"/>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C174" i="2"/>
  <c r="B174" i="2"/>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7" i="30" l="1"/>
  <c r="K7"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M80" i="1" l="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<sst xmlns="http://schemas.openxmlformats.org/spreadsheetml/2006/main" count="7381" uniqueCount="508">
  <si>
    <t>TO DO</t>
  </si>
  <si>
    <t>Index</t>
  </si>
  <si>
    <t>Product class</t>
  </si>
  <si>
    <t>Transfer type</t>
  </si>
  <si>
    <t>From</t>
  </si>
  <si>
    <t>To</t>
  </si>
  <si>
    <t>Loading cost (NOK/Tonne)</t>
  </si>
  <si>
    <t>Terminal costs (NOK/Tonne)</t>
  </si>
  <si>
    <t>Total cost (NOK/Tonne)</t>
  </si>
  <si>
    <t>Unloading whole vehicle (from) [h]</t>
  </si>
  <si>
    <t>Loading whole vehicle (to) [h]</t>
  </si>
  <si>
    <t>Transfer loading/unloading total [h]</t>
  </si>
  <si>
    <t>Waiting time cargo in port [h]</t>
  </si>
  <si>
    <t>Dry bulk</t>
  </si>
  <si>
    <t>sea-rail</t>
  </si>
  <si>
    <t>Sea</t>
  </si>
  <si>
    <t>Rail</t>
  </si>
  <si>
    <t>sea-road</t>
  </si>
  <si>
    <t>Road</t>
  </si>
  <si>
    <t>rail-road</t>
  </si>
  <si>
    <t>Liquid bulk</t>
  </si>
  <si>
    <t>Container</t>
  </si>
  <si>
    <t>Break bulk</t>
  </si>
  <si>
    <t>Neo bulk</t>
  </si>
  <si>
    <t>The whole calculation follows the desription of Gronland 2022</t>
  </si>
  <si>
    <t>Original data in Gronland 2022 - Cost models for transport</t>
  </si>
  <si>
    <t>Mode</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</si>
  <si>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</si>
  <si>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</si>
  <si>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</si>
  <si>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</si>
  <si>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</si>
  <si>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</si>
  <si>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</si>
  <si>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</si>
  <si>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</si>
  <si>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</si>
  <si>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</si>
  <si>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</si>
  <si>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</si>
  <si>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</si>
  <si>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</si>
  <si>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</si>
  <si>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</si>
  <si>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</si>
  <si>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</si>
  <si>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</si>
  <si>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</si>
  <si>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</si>
  <si>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</si>
  <si>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</si>
  <si>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</si>
  <si>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</si>
  <si>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</si>
  <si>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</si>
  <si>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</si>
  <si>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</si>
  <si>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</si>
  <si>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B</t>
  </si>
  <si>
    <t>Dry bulk truck</t>
  </si>
  <si>
    <t>Electric system trains (wet bulk)</t>
  </si>
  <si>
    <t>Tank truck</t>
  </si>
  <si>
    <t>Heavy distribution, containers</t>
  </si>
  <si>
    <t>Heavy distribution closed unit</t>
  </si>
  <si>
    <t>Timber truck with hanger</t>
  </si>
  <si>
    <t>Sea:</t>
  </si>
  <si>
    <t>Berth waiting [min/vessel]</t>
  </si>
  <si>
    <t>p. 11</t>
  </si>
  <si>
    <t>From:" Port-2-Port Communication Enhancing Short Sea Shipping Performance: The Case Study of Cyprus and the Eastern Mediterranean", 2019</t>
  </si>
  <si>
    <t>Bulk Carrier</t>
  </si>
  <si>
    <t>General Cargo</t>
  </si>
  <si>
    <t>Tanker</t>
  </si>
  <si>
    <t>All modes:</t>
  </si>
  <si>
    <t>Loading / Unloading time per ... [min]</t>
  </si>
  <si>
    <t>From: "Review of Maritime Transport 2023"</t>
  </si>
  <si>
    <t>Container [min/t]</t>
  </si>
  <si>
    <t>p. 92 (5min/con)</t>
  </si>
  <si>
    <t>Break bulk [min/t]</t>
  </si>
  <si>
    <t>assumption</t>
  </si>
  <si>
    <t>Dry Bulk [min/t]</t>
  </si>
  <si>
    <t>Neo bulk [min/t]</t>
  </si>
  <si>
    <t>Liquid bulk [min/t]</t>
  </si>
  <si>
    <t>25 min pro trailer (25t)</t>
  </si>
  <si>
    <t>Cargo waiting time in hub [h]</t>
  </si>
  <si>
    <t>Assumptions</t>
  </si>
  <si>
    <t>Global parameters</t>
  </si>
  <si>
    <t>Unit</t>
  </si>
  <si>
    <t>midway</t>
  </si>
  <si>
    <t>a</t>
  </si>
  <si>
    <t>k</t>
  </si>
  <si>
    <t>Carbon price</t>
  </si>
  <si>
    <t>[€/t]</t>
  </si>
  <si>
    <t>Electricity</t>
  </si>
  <si>
    <t>Diesel Road/Rail</t>
  </si>
  <si>
    <t>[€/kWh]</t>
  </si>
  <si>
    <t>Hydrogen</t>
  </si>
  <si>
    <t>MGO Sea</t>
  </si>
  <si>
    <t>Ammonia</t>
  </si>
  <si>
    <t>HFO Sea</t>
  </si>
  <si>
    <t>Methanol</t>
  </si>
  <si>
    <t>Diesel</t>
  </si>
  <si>
    <t>MGO</t>
  </si>
  <si>
    <t>HFO</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</si>
  <si>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</si>
  <si>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</si>
  <si>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Optimistic</t>
  </si>
  <si>
    <t>Base</t>
  </si>
  <si>
    <t>Pessimistic</t>
  </si>
  <si>
    <t>Emission prices</t>
  </si>
  <si>
    <t>These values are not used here and just implemented to document what is used in the analysis. STrAM has its own emission price input.</t>
  </si>
  <si>
    <t>Carbon price trajectories for use in socio-economic analyzes - regjeringen.no, https://www.regjeringen.no/no/tema/okonomi-og-budsjett/statlig-okonomistyring/karbonprisbaner-for-bruk-i-samfunnsokonomiske-analyser/id2878113/</t>
  </si>
  <si>
    <t>€/t</t>
  </si>
  <si>
    <t>Sector inside the quoting</t>
  </si>
  <si>
    <t>Low scenario</t>
  </si>
  <si>
    <t>P</t>
  </si>
  <si>
    <t>High scenario</t>
  </si>
  <si>
    <t>O</t>
  </si>
  <si>
    <t>World Energy Outlook 2023</t>
  </si>
  <si>
    <t>p. 297</t>
  </si>
  <si>
    <t>Stated Policy Scenario</t>
  </si>
  <si>
    <t>Announced Pledges</t>
  </si>
  <si>
    <t>Net Zero Emission by 2050 Scenario</t>
  </si>
  <si>
    <t>Product-specific</t>
  </si>
  <si>
    <t>Fuel-specific</t>
  </si>
  <si>
    <t xml:space="preserve">Trips partially loaded </t>
  </si>
  <si>
    <t>Correction value being the counterpart for empty trips below</t>
  </si>
  <si>
    <t>Trips empty</t>
  </si>
  <si>
    <t>this is the average share of empty trips for trucks in the Netherlands (exlsion from van Meulen value to avoid double counting in StrAM)</t>
  </si>
  <si>
    <t>Semi-trucking (5-axis)</t>
  </si>
  <si>
    <t>Input Sigmoid function</t>
  </si>
  <si>
    <t>Source</t>
  </si>
  <si>
    <t>Truck diesel</t>
  </si>
  <si>
    <t>Truck hydrogen</t>
  </si>
  <si>
    <t>Truck battery</t>
  </si>
  <si>
    <t>Road long-haul: Dry bulk</t>
  </si>
  <si>
    <t>Diesel combustion</t>
  </si>
  <si>
    <t>Carbon permits</t>
  </si>
  <si>
    <t>Capex costumization</t>
  </si>
  <si>
    <t>[€]</t>
  </si>
  <si>
    <t>b,n</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</si>
  <si>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</si>
  <si>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</si>
  <si>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</si>
  <si>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</si>
  <si>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</si>
  <si>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</si>
  <si>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</si>
  <si>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</si>
  <si>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</si>
  <si>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</si>
  <si>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</si>
  <si>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</si>
  <si>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</si>
  <si>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</si>
  <si>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</si>
  <si>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</si>
  <si>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</si>
  <si>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</si>
  <si>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</si>
  <si>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</si>
  <si>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</si>
  <si>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</si>
  <si>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</si>
  <si>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</si>
  <si>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</si>
  <si>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</si>
  <si>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</si>
  <si>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</si>
  <si>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</si>
  <si>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</si>
  <si>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</si>
  <si>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</si>
  <si>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</si>
  <si>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</si>
  <si>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</si>
  <si>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</si>
  <si>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</si>
  <si>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</si>
  <si>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</si>
  <si>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</si>
  <si>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</si>
  <si>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b</t>
  </si>
  <si>
    <t>(p.29: slat, sand , gravel: 42%)</t>
  </si>
  <si>
    <t>Fuel Economy</t>
  </si>
  <si>
    <t>[kWh/km]</t>
  </si>
  <si>
    <t>(29.86; 23.47 kWh/km)</t>
  </si>
  <si>
    <t>CO2 emission cost per km</t>
  </si>
  <si>
    <t>€/km</t>
  </si>
  <si>
    <t>Annual Mileage</t>
  </si>
  <si>
    <t>[km/a]</t>
  </si>
  <si>
    <t>(p.29: slat, sand , gravel: same)</t>
  </si>
  <si>
    <t>Fuel Cost</t>
  </si>
  <si>
    <t>l</t>
  </si>
  <si>
    <t>page 10</t>
  </si>
  <si>
    <t>Lifetime costumization</t>
  </si>
  <si>
    <t>e</t>
  </si>
  <si>
    <t>(p.295: 12 years)</t>
  </si>
  <si>
    <t>Payload loss (fuel)</t>
  </si>
  <si>
    <t>same</t>
  </si>
  <si>
    <t>Opex var (mode-fees)</t>
  </si>
  <si>
    <t>[€/km]</t>
  </si>
  <si>
    <t>d</t>
  </si>
  <si>
    <t>(mode-specific: Road toll 13200€ per 120000km/a)</t>
  </si>
  <si>
    <t>WACC</t>
  </si>
  <si>
    <t>this study's  assumption</t>
  </si>
  <si>
    <t>Emission cost</t>
  </si>
  <si>
    <t>g, m</t>
  </si>
  <si>
    <t>(diesel 3.17 KgCO2/kgdiesel, CO2 price assumed)</t>
  </si>
  <si>
    <t>Transport and Environment, 2021</t>
  </si>
  <si>
    <t>van der Meulen et a.m 2020</t>
  </si>
  <si>
    <t>Noll et al, 2022</t>
  </si>
  <si>
    <t>Road long-haul: Liquid bulk</t>
  </si>
  <si>
    <t>Battery electric</t>
  </si>
  <si>
    <t>Martin et al., 2023</t>
  </si>
  <si>
    <t>(417255€;145346€)</t>
  </si>
  <si>
    <t>Reuß et al. 2017</t>
  </si>
  <si>
    <t>(18% of Capex, emerging market)</t>
  </si>
  <si>
    <t>Gray et al., 2021</t>
  </si>
  <si>
    <t>g</t>
  </si>
  <si>
    <t>Statistics Norway 2021</t>
  </si>
  <si>
    <t>(14359 € per year)</t>
  </si>
  <si>
    <t>h</t>
  </si>
  <si>
    <t>(p.29: chemical products: 48%)</t>
  </si>
  <si>
    <t>i</t>
  </si>
  <si>
    <t>(p.29: chemical products: same)</t>
  </si>
  <si>
    <t>onshore wind scenario (production+grid fee, without fuel station)</t>
  </si>
  <si>
    <t>j</t>
  </si>
  <si>
    <t>Zenith, Frederico et al., 2019</t>
  </si>
  <si>
    <t>f, m</t>
  </si>
  <si>
    <t>(-25 - 9%, depending on the range needed)</t>
  </si>
  <si>
    <t>SSB 2023, electricity prices (energy intensive industry)</t>
  </si>
  <si>
    <t>FuelsEurope2022</t>
  </si>
  <si>
    <t>g,i,h, m</t>
  </si>
  <si>
    <t>(Norwegian electricity 0.022 KgCO2/kWhel; 95% grid efficiency; CO2 price assumed)</t>
  </si>
  <si>
    <t>m</t>
  </si>
  <si>
    <t>Martin_policy</t>
  </si>
  <si>
    <t>n</t>
  </si>
  <si>
    <t>Braun 2016</t>
  </si>
  <si>
    <t>Hydrogen fuel cell</t>
  </si>
  <si>
    <t>Road long-haul: Container</t>
  </si>
  <si>
    <t>(391802; 154,318€)</t>
  </si>
  <si>
    <t>(26324;18735€ per year)</t>
  </si>
  <si>
    <t>(same</t>
  </si>
  <si>
    <t>(p.29: containers: 46%)</t>
  </si>
  <si>
    <t>onshore wind scenario (production+distribution, without fuel station)</t>
  </si>
  <si>
    <t>(p.29: containers: same)</t>
  </si>
  <si>
    <t>(-5 - 2%, depending on the range needed)</t>
  </si>
  <si>
    <t>g,i, m</t>
  </si>
  <si>
    <t>(Norwegian electricity 0.022 KgCO2/kWhel; 61-70%  efficiency (fuel production); CO2 price assumed)</t>
  </si>
  <si>
    <t>Road long-haul: Break bulk</t>
  </si>
  <si>
    <t>(p.29: miscellaneous goods: 46%)</t>
  </si>
  <si>
    <t>(p.29: miscellaneous goods: same)</t>
  </si>
  <si>
    <t>Road long-haul:  Neo bulk</t>
  </si>
  <si>
    <t>(p.29: base metals: 48%)</t>
  </si>
  <si>
    <t>(p.29: base metals: same)</t>
  </si>
  <si>
    <t>average number of wagons</t>
  </si>
  <si>
    <t>Railway</t>
  </si>
  <si>
    <t>max. Payload per wagon</t>
  </si>
  <si>
    <t>t</t>
  </si>
  <si>
    <t>Rail Diesel</t>
  </si>
  <si>
    <t>Rail hydrogen</t>
  </si>
  <si>
    <t>Rail catenary</t>
  </si>
  <si>
    <t>Rail battery</t>
  </si>
  <si>
    <t>Railway long-haul: Dry bulk</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</si>
  <si>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</si>
  <si>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</si>
  <si>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</si>
  <si>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</si>
  <si>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</si>
  <si>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</si>
  <si>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</si>
  <si>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</si>
  <si>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</si>
  <si>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</si>
  <si>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</si>
  <si>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</si>
  <si>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</si>
  <si>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</si>
  <si>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</si>
  <si>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Opex var (mode-fees, shunting)</t>
  </si>
  <si>
    <t>(table 6.2: 700T€/178500 km/a track access, shunting)</t>
  </si>
  <si>
    <t>d,k, l</t>
  </si>
  <si>
    <t>Cargonet, Erik Halland</t>
  </si>
  <si>
    <t>Statistics Norway, 2021</t>
  </si>
  <si>
    <t>Railway long-haul: Liquid bulk</t>
  </si>
  <si>
    <t>Catenary</t>
  </si>
  <si>
    <t>Noll 2021</t>
  </si>
  <si>
    <t>(table.6.2: prop.ly to other bulk 200T€/wagon)</t>
  </si>
  <si>
    <t>(4.1M$)</t>
  </si>
  <si>
    <t>(15%;15%; long life, stable markets)</t>
  </si>
  <si>
    <t>(staff costs 250T€, general 370T€)</t>
  </si>
  <si>
    <t>(3.03$/km)</t>
  </si>
  <si>
    <t>(table 6.1: chemicals)</t>
  </si>
  <si>
    <t>(Diesel economy:35% =&gt; Catenary:85%)</t>
  </si>
  <si>
    <t>Martin policy</t>
  </si>
  <si>
    <t>(table 6.2: 650T€/178500 km/a  track access, shunting)</t>
  </si>
  <si>
    <t>same+</t>
  </si>
  <si>
    <t>d,f, l</t>
  </si>
  <si>
    <t>Railway long-haul: Container</t>
  </si>
  <si>
    <t>Battery</t>
  </si>
  <si>
    <t>(table.6.2: prop.ly to other bulk 100T€/wagon)</t>
  </si>
  <si>
    <t>a,x</t>
  </si>
  <si>
    <t>(5%;15%; long life, emerging markets)</t>
  </si>
  <si>
    <t>(table.6.2: staff costs 250T€, general 360T€)</t>
  </si>
  <si>
    <t>x,a</t>
  </si>
  <si>
    <t xml:space="preserve"> (oriented on a, diesel cat)</t>
  </si>
  <si>
    <t>(table 6.1: container)</t>
  </si>
  <si>
    <t>(Diesel economy:35% =&gt; Battery:80%)</t>
  </si>
  <si>
    <t>(assuming initially one wagon for battery technology)</t>
  </si>
  <si>
    <t>d,f,g, l</t>
  </si>
  <si>
    <t>Railway long-haul: Break bulk</t>
  </si>
  <si>
    <t>(table.6.2: staff costs 600T€, general 850T€)</t>
  </si>
  <si>
    <t>(table 6.1: miscellaneous goods)</t>
  </si>
  <si>
    <t>(Diesel economy:35% =&gt; Hydrogen:55-&gt;65%)</t>
  </si>
  <si>
    <t>(assuming initially half a wagon for battery technology)</t>
  </si>
  <si>
    <t>(table 6.2: 1.6M€/178500 km/a  track access, shunting)</t>
  </si>
  <si>
    <t>(Norwegian electricity 0.022 KgCO2/kWhel; 61-70% efficiency (fuel production); CO2 price assumed)</t>
  </si>
  <si>
    <t>Railway long-haul:  Neo bulk</t>
  </si>
  <si>
    <t>(table.6.2: prop.ly to other bulk 125T€/wagon)</t>
  </si>
  <si>
    <t>(table.6.2: staff costs 250T€, general 400T€)</t>
  </si>
  <si>
    <t>(table 6.1: base metals and metal products)</t>
  </si>
  <si>
    <t>(table 6.2: 700T€/178500 km/a  track access, shunting)</t>
  </si>
  <si>
    <t>https://www.researchgate.net/publication/351748799_Assessing_the_Link_between_Vessel_Size_and_Maritime_Supply_Chain_Sustainable_Performance/figures?lo=1</t>
  </si>
  <si>
    <t>Sea MGO</t>
  </si>
  <si>
    <t>Sea HFO</t>
  </si>
  <si>
    <t>Sea hydrogen</t>
  </si>
  <si>
    <t>Sea ammonia</t>
  </si>
  <si>
    <t>Sea methanol</t>
  </si>
  <si>
    <t>Short-sea: Dry bulk</t>
  </si>
  <si>
    <t>b,l,x</t>
  </si>
  <si>
    <t>(table.3.5: prop.ly to other bulk)</t>
  </si>
  <si>
    <t>a,c,l</t>
  </si>
  <si>
    <t>(Drewy 2013 (harmonized by 1.5); minus costimization; Ulstein 12-15M $)</t>
  </si>
  <si>
    <t>(10%;10%; long life, stable)</t>
  </si>
  <si>
    <t>(10%;5%; long life, shrinking markets, interview)</t>
  </si>
  <si>
    <t>a,b</t>
  </si>
  <si>
    <t>(p. 60: Crew, Insurave, general expenses USD =&gt; Euro)</t>
  </si>
  <si>
    <t>e,l, c</t>
  </si>
  <si>
    <t>(representative feeder, average short-sea capacity)</t>
  </si>
  <si>
    <t>(Drewy 2013 (Spares, Stores, Lubriciation, R&amp;M; from USD to Euro))</t>
  </si>
  <si>
    <t>(table 3.2: large; Coal, brown coal and cokes; inland waterway. +10% as adjustment to short sea shipping (see higher factor for long-sea in b))</t>
  </si>
  <si>
    <t>(28t/24h: assuming HFO equals MGO, improvements)</t>
  </si>
  <si>
    <t>c, b</t>
  </si>
  <si>
    <t>(Martin: 118231 km/a), van Meulen push barges</t>
  </si>
  <si>
    <t>(Fig. 8, 600€/t maritime gas stock market prices 2015-2022, distribution neglected)</t>
  </si>
  <si>
    <t>(Push barges innland waterway: Port fee: 100000€/118231km/a, adjusted with the product-specific factor in the large ship table)</t>
  </si>
  <si>
    <t>k, m</t>
  </si>
  <si>
    <t>(diesel 3.17 KgCO2/kgMGO, CO2 price assumed)</t>
  </si>
  <si>
    <t>Drewy 2013 (factored by 1.5)</t>
  </si>
  <si>
    <t>Short-sea: Container</t>
  </si>
  <si>
    <t>a,c, l</t>
  </si>
  <si>
    <t>Confeeder</t>
  </si>
  <si>
    <t>(table 3.2: large; Container; inland waterway.  +10% as adjustment to short sea shipping (see higher factor for long-sea in b))</t>
  </si>
  <si>
    <t>(Fig. 8, 357€/t maritime gas stock market prices 2015-2022, distribution neglected)</t>
  </si>
  <si>
    <t>Ulstein 2019</t>
  </si>
  <si>
    <t>Martin _policy 2023</t>
  </si>
  <si>
    <t>(HFO 3.20 KgCO2/kgHFO, CO2 price assumed)</t>
  </si>
  <si>
    <t>IRENA 2021</t>
  </si>
  <si>
    <t>Short-sea: Break bulk</t>
  </si>
  <si>
    <t>a, c, l</t>
  </si>
  <si>
    <t>same factor to fossil; minus costumization</t>
  </si>
  <si>
    <t>(5%;10%; long life, emerging markets)</t>
  </si>
  <si>
    <t>(table 3.2: large; Miscellaneous goods; inland waterway.  +10% as adjustment to short sea shipping (see higher factor for long-sea in b))</t>
  </si>
  <si>
    <t>(Drewy 2013 (Spares, Stores, !NO! Lubriciation, R&amp;M; from USD to Euro))</t>
  </si>
  <si>
    <t>(same: propotionally to diesel; efficiency gains)</t>
  </si>
  <si>
    <t>(assumed to achieve improvments in storage density)</t>
  </si>
  <si>
    <t>i,j,k, m</t>
  </si>
  <si>
    <t>Short-sea:  Neo bulk</t>
  </si>
  <si>
    <t>(table 3.2: large; Base metals and metal products; inland waterway.  +10% as adjustment to short sea shipping (see higher factor for long-sea in b))</t>
  </si>
  <si>
    <t>(Norwegian electricity 0.022 KgCO2/kWhel; 52-60% efficiency (fuel production); CO2 price assumed)</t>
  </si>
  <si>
    <t>a,d, l, c</t>
  </si>
  <si>
    <t>(small adjustments compared to diesel)</t>
  </si>
  <si>
    <t>(assumed to be the same as for MGO combustion engine, improvements)</t>
  </si>
  <si>
    <t>(p.82 DAC only, 1800;460  USD/t MeOH; USD/EURO 0.85)</t>
  </si>
  <si>
    <t>(half of LH2 loss, no improvments assumed)</t>
  </si>
  <si>
    <t>(Norwegian electricity 0.022 KgCO2/kWhel; 45-56% efficiency (fuel production); CO2 price assumed)</t>
  </si>
  <si>
    <t>Used for calculation of methanol costs:</t>
  </si>
  <si>
    <t>Energy density methanol</t>
  </si>
  <si>
    <t>Mass</t>
  </si>
  <si>
    <t>Volume</t>
  </si>
  <si>
    <t>kWh/l</t>
  </si>
  <si>
    <t>Fuel</t>
  </si>
  <si>
    <t>emissions 2023 (kg/km)</t>
  </si>
  <si>
    <t>emissions 2050 (kg/km)</t>
  </si>
  <si>
    <t>effective tonnage 2023</t>
  </si>
  <si>
    <t>effective tonnage 2050</t>
  </si>
  <si>
    <t>emissions 2023 (g/tkm)</t>
  </si>
  <si>
    <t>emissions 2050 (g/tkm)</t>
  </si>
  <si>
    <t>Scenarios B (Base), O (Optimistic), P (Pessimistic) - linked to the LCOT cost calculations. Change the fuel cost in PARAMETER INPUT to generate new fuel scenarios here. The output format for STrAM is generated automatically in the right table.</t>
  </si>
  <si>
    <t>Fuel Group</t>
  </si>
  <si>
    <t>Scenario</t>
  </si>
  <si>
    <t>Time period</t>
  </si>
  <si>
    <t>Product Group</t>
  </si>
  <si>
    <t>Cost factor</t>
  </si>
  <si>
    <t>Established</t>
  </si>
  <si>
    <t>Trucking</t>
  </si>
  <si>
    <t>Percentages</t>
  </si>
  <si>
    <t>Transfer field</t>
  </si>
  <si>
    <t>AC</t>
  </si>
  <si>
    <t>BC</t>
  </si>
  <si>
    <t>WC</t>
  </si>
  <si>
    <t>Shipping</t>
  </si>
  <si>
    <t>Table connected with cells (not ordered by size)</t>
  </si>
  <si>
    <t>Sea - Dry bulk - Heavy fuel oil</t>
  </si>
  <si>
    <t>Sea - Dry bulk - Maritime gas oil</t>
  </si>
  <si>
    <t>Sea - Dry bulk - Hydrogen</t>
  </si>
  <si>
    <t>Sea - Dry bulk - Ammonia</t>
  </si>
  <si>
    <t>Sea - Dry bulk - Methanol</t>
  </si>
  <si>
    <t>Sea - Container - Heavy fuel oil</t>
  </si>
  <si>
    <t>Sea - Container - Maritime gas oil</t>
  </si>
  <si>
    <t>Sea - Container - Hydrogen</t>
  </si>
  <si>
    <t>Sea - Container - Ammonia</t>
  </si>
  <si>
    <t>Sea - Container - Methanol</t>
  </si>
  <si>
    <t>Sea - Break bulk - Heavy fuel oil</t>
  </si>
  <si>
    <t>Sea - Break bulk - Maritime gas oil</t>
  </si>
  <si>
    <t>Sea - Break bulk - Hydrogen</t>
  </si>
  <si>
    <t>Sea - Break bulk - Ammonia</t>
  </si>
  <si>
    <t>Sea - Break bulk - Methanol</t>
  </si>
  <si>
    <t>Sea - Neon bulk - Heavy fuel oil</t>
  </si>
  <si>
    <t>Sea - Neon bulk - Maritime gas oil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</si>
  <si>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</si>
  <si>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</si>
  <si>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</si>
  <si>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</si>
  <si>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</si>
  <si>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</si>
  <si>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</si>
  <si>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</si>
  <si>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</si>
  <si>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</si>
  <si>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</si>
  <si>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</si>
  <si>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</si>
  <si>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</si>
  <si>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</si>
  <si>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</si>
  <si>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</si>
  <si>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</si>
  <si>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</si>
  <si>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</si>
  <si>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</si>
  <si>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</si>
  <si>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</si>
  <si>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</si>
  <si>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</si>
  <si>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</si>
  <si>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</si>
  <si>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</si>
  <si>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</si>
  <si>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</si>
  <si>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</si>
  <si>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</si>
  <si>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</si>
  <si>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</si>
  <si>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</si>
  <si>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</si>
  <si>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</si>
  <si>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</si>
  <si>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Emission Cost</t>
  </si>
  <si>
    <t>SUM</t>
  </si>
  <si>
    <t>Figure for table above (not order by size)</t>
  </si>
  <si>
    <t>Manually generate an unlinked copy of the data above for this table.</t>
  </si>
  <si>
    <t>Copy the data above vertically into the table below to order by size.</t>
  </si>
  <si>
    <t>Column1</t>
  </si>
  <si>
    <t>Column2</t>
  </si>
  <si>
    <t>Column3</t>
  </si>
  <si>
    <t>Column4</t>
  </si>
  <si>
    <t>Column5</t>
  </si>
  <si>
    <t>Column6</t>
  </si>
  <si>
    <t>Column7</t>
  </si>
  <si>
    <t>Column8</t>
  </si>
  <si>
    <t>Column9</t>
  </si>
  <si>
    <t>Column10</t>
  </si>
  <si>
    <t>Column11</t>
  </si>
  <si>
    <t>Column12</t>
  </si>
  <si>
    <t>Column13</t>
  </si>
  <si>
    <t>Column14</t>
  </si>
  <si>
    <t>Copy the ordered values by size above into the table below to feed the figure at the right of this table with data.</t>
  </si>
  <si>
    <t>Comments</t>
  </si>
  <si>
    <t>Old fuels used in STraM:</t>
  </si>
  <si>
    <t>We don't use "Truck", right?</t>
  </si>
  <si>
    <t>Road: Diesel, Hydrogen, Battery electric, Biodiesel, Biogas</t>
  </si>
  <si>
    <t>Is this the full fuel list? Ignore biofuels? How about LNG? MGO? Is "Diesel" for sea MDO?</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</si>
  <si>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</si>
  <si>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</si>
  <si>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</si>
  <si>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</si>
  <si>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Long term: do all the calculations in python. Only maintain "parameter input" tab</t>
  </si>
  <si>
    <t>sigmoid parameters in "Output emissions" are not linked to "parameter input" sheet</t>
  </si>
  <si>
    <t>Product groups undifferentiated by time value (such as "Container") are called Product Classes in the code. The ones differentiated (such as "Container (fast)") are called Products in the code</t>
  </si>
  <si>
    <t>Update transfer costs for the new product groups (Jonas)</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</si>
  <si>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</si>
  <si>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</si>
  <si>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</si>
  <si>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</si>
  <si>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</si>
  <si>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</si>
  <si>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</si>
  <si>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</si>
  <si>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</si>
  <si>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</si>
  <si>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</si>
  <si>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Tonnage .</t>
  </si>
  <si>
    <t>Calulation</t>
  </si>
  <si>
    <t>€/a</t>
  </si>
  <si>
    <t>€/tkm</t>
  </si>
  <si>
    <t>Examplary Vehicle</t>
  </si>
  <si>
    <t>Opex var (mode-fees, cargo handling)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</si>
</sst>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0">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0.16008550383733161</c:v>
                </c:pt>
                <c:pt idx="1">
                  <c:v>0.15927108242717111</c:v>
                </c:pt>
                <c:pt idx="2">
                  <c:v>0.15846347095000207</c:v>
                </c:pt>
                <c:pt idx="3">
                  <c:v>0.15766588881698124</c:v>
                </c:pt>
                <c:pt idx="4">
                  <c:v>0.15688288706980683</c:v>
                </c:pt>
                <c:pt idx="5">
                  <c:v>0.15612070653913285</c:v>
                </c:pt>
                <c:pt idx="6">
                  <c:v>0.15538752305214107</c:v>
                </c:pt>
                <c:pt idx="7">
                  <c:v>0.1546933151546464</c:v>
                </c:pt>
                <c:pt idx="8">
                  <c:v>0.15472683430967626</c:v>
                </c:pt>
                <c:pt idx="9">
                  <c:v>0.15480341556753688</c:v>
                </c:pt>
                <c:pt idx="10">
                  <c:v>0.15492277051636621</c:v>
                </c:pt>
                <c:pt idx="11">
                  <c:v>0.15507712829099893</c:v>
                </c:pt>
                <c:pt idx="12">
                  <c:v>0.15525072016905569</c:v>
                </c:pt>
                <c:pt idx="13">
                  <c:v>0.15542273860212891</c:v>
                </c:pt>
                <c:pt idx="14">
                  <c:v>0.15557300618592901</c:v>
                </c:pt>
                <c:pt idx="15">
                  <c:v>0.15568733639311333</c:v>
                </c:pt>
                <c:pt idx="16">
                  <c:v>0.15575980251134675</c:v>
                </c:pt>
                <c:pt idx="17">
                  <c:v>0.15579160428280986</c:v>
                </c:pt>
                <c:pt idx="18">
                  <c:v>0.1557882315999338</c:v>
                </c:pt>
                <c:pt idx="19">
                  <c:v>0.15575673153295702</c:v>
                </c:pt>
                <c:pt idx="20">
                  <c:v>0.15570392132084804</c:v>
                </c:pt>
                <c:pt idx="21">
                  <c:v>0.15563555380521404</c:v>
                </c:pt>
                <c:pt idx="22">
                  <c:v>0.15555611337024963</c:v>
                </c:pt>
                <c:pt idx="23">
                  <c:v>0.15546892677318974</c:v>
                </c:pt>
                <c:pt idx="24">
                  <c:v>0.15537638441206875</c:v>
                </c:pt>
                <c:pt idx="25">
                  <c:v>0.15528016827275887</c:v>
                </c:pt>
                <c:pt idx="26">
                  <c:v>0.15518144557317454</c:v>
                </c:pt>
                <c:pt idx="27">
                  <c:v>0.15508101886292719</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8.0027147488310843E-2</c:v>
                </c:pt>
                <c:pt idx="1">
                  <c:v>7.9304701671896294E-2</c:v>
                </c:pt>
                <c:pt idx="2">
                  <c:v>7.8584088580919059E-2</c:v>
                </c:pt>
                <c:pt idx="3">
                  <c:v>7.7866482921337937E-2</c:v>
                </c:pt>
                <c:pt idx="4">
                  <c:v>7.7153668052726138E-2</c:v>
                </c:pt>
                <c:pt idx="5">
                  <c:v>7.6448263244838277E-2</c:v>
                </c:pt>
                <c:pt idx="6">
                  <c:v>7.5753949961385805E-2</c:v>
                </c:pt>
                <c:pt idx="7">
                  <c:v>7.5075590434253298E-2</c:v>
                </c:pt>
                <c:pt idx="8">
                  <c:v>7.501220359750671E-2</c:v>
                </c:pt>
                <c:pt idx="9">
                  <c:v>7.4962451944516797E-2</c:v>
                </c:pt>
                <c:pt idx="10">
                  <c:v>7.492677857200454E-2</c:v>
                </c:pt>
                <c:pt idx="11">
                  <c:v>7.4903410112360652E-2</c:v>
                </c:pt>
                <c:pt idx="12">
                  <c:v>7.4888047507997629E-2</c:v>
                </c:pt>
                <c:pt idx="13">
                  <c:v>7.4874599414625348E-2</c:v>
                </c:pt>
                <c:pt idx="14">
                  <c:v>7.4856823543913917E-2</c:v>
                </c:pt>
                <c:pt idx="15">
                  <c:v>7.4830012724677847E-2</c:v>
                </c:pt>
                <c:pt idx="16">
                  <c:v>7.4791836645466875E-2</c:v>
                </c:pt>
                <c:pt idx="17">
                  <c:v>7.4742150146256847E-2</c:v>
                </c:pt>
                <c:pt idx="18">
                  <c:v>7.4682220740993205E-2</c:v>
                </c:pt>
                <c:pt idx="19">
                  <c:v>7.4613919516635402E-2</c:v>
                </c:pt>
                <c:pt idx="20">
                  <c:v>7.4539158792619048E-2</c:v>
                </c:pt>
                <c:pt idx="21">
                  <c:v>7.4459606175710291E-2</c:v>
                </c:pt>
                <c:pt idx="22">
                  <c:v>7.437659286071012E-2</c:v>
                </c:pt>
                <c:pt idx="23">
                  <c:v>7.4291125534346331E-2</c:v>
                </c:pt>
                <c:pt idx="24">
                  <c:v>7.4203939604705782E-2</c:v>
                </c:pt>
                <c:pt idx="25">
                  <c:v>7.4115560290400034E-2</c:v>
                </c:pt>
                <c:pt idx="26">
                  <c:v>7.4026357111548702E-2</c:v>
                </c:pt>
                <c:pt idx="27">
                  <c:v>7.393658744712471E-2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8.4300018728238085E-2</c:v>
                </c:pt>
                <c:pt idx="1">
                  <c:v>8.3546650526390556E-2</c:v>
                </c:pt>
                <c:pt idx="2">
                  <c:v>8.2795399750635656E-2</c:v>
                </c:pt>
                <c:pt idx="3">
                  <c:v>8.204757378501995E-2</c:v>
                </c:pt>
                <c:pt idx="4">
                  <c:v>8.1305142783727385E-2</c:v>
                </c:pt>
                <c:pt idx="5">
                  <c:v>8.0570981088219445E-2</c:v>
                </c:pt>
                <c:pt idx="6">
                  <c:v>7.9849102766720442E-2</c:v>
                </c:pt>
                <c:pt idx="7">
                  <c:v>7.9144773700734944E-2</c:v>
                </c:pt>
                <c:pt idx="8">
                  <c:v>7.9083237925615418E-2</c:v>
                </c:pt>
                <c:pt idx="9">
                  <c:v>7.9037124909010659E-2</c:v>
                </c:pt>
                <c:pt idx="10">
                  <c:v>7.9006862455842028E-2</c:v>
                </c:pt>
                <c:pt idx="11">
                  <c:v>7.8990350349502914E-2</c:v>
                </c:pt>
                <c:pt idx="12">
                  <c:v>7.8982630638001761E-2</c:v>
                </c:pt>
                <c:pt idx="13">
                  <c:v>7.8976745135467291E-2</c:v>
                </c:pt>
                <c:pt idx="14">
                  <c:v>7.8965613047099398E-2</c:v>
                </c:pt>
                <c:pt idx="15">
                  <c:v>7.8943939633264126E-2</c:v>
                </c:pt>
                <c:pt idx="16">
                  <c:v>7.890915137335032E-2</c:v>
                </c:pt>
                <c:pt idx="17">
                  <c:v>7.8861156171652416E-2</c:v>
                </c:pt>
                <c:pt idx="18">
                  <c:v>7.8801452360333701E-2</c:v>
                </c:pt>
                <c:pt idx="19">
                  <c:v>7.8732205799053656E-2</c:v>
                </c:pt>
                <c:pt idx="20">
                  <c:v>7.8655613331181734E-2</c:v>
                </c:pt>
                <c:pt idx="21">
                  <c:v>7.8573582329226205E-2</c:v>
                </c:pt>
                <c:pt idx="22">
                  <c:v>7.8487630692923249E-2</c:v>
                </c:pt>
                <c:pt idx="23">
                  <c:v>7.839890349790693E-2</c:v>
                </c:pt>
                <c:pt idx="24">
                  <c:v>7.830823551486138E-2</c:v>
                </c:pt>
                <c:pt idx="25">
                  <c:v>7.8216221829991273E-2</c:v>
                </c:pt>
                <c:pt idx="26">
                  <c:v>7.8123280416865143E-2</c:v>
                </c:pt>
                <c:pt idx="27">
                  <c:v>7.8029701949290181E-2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0.10828383175735644</c:v>
                </c:pt>
                <c:pt idx="1">
                  <c:v>0.10753418216485393</c:v>
                </c:pt>
                <c:pt idx="2">
                  <c:v>0.10678821128129962</c:v>
                </c:pt>
                <c:pt idx="3">
                  <c:v>0.10604784793594421</c:v>
                </c:pt>
                <c:pt idx="4">
                  <c:v>0.10531589431886025</c:v>
                </c:pt>
                <c:pt idx="5">
                  <c:v>0.10459629999081058</c:v>
                </c:pt>
                <c:pt idx="6">
                  <c:v>0.10389439298513055</c:v>
                </c:pt>
                <c:pt idx="7">
                  <c:v>0.10321690322756603</c:v>
                </c:pt>
                <c:pt idx="8">
                  <c:v>0.10319045161352582</c:v>
                </c:pt>
                <c:pt idx="9">
                  <c:v>0.10318852116780756</c:v>
                </c:pt>
                <c:pt idx="10">
                  <c:v>0.10321127653144178</c:v>
                </c:pt>
                <c:pt idx="11">
                  <c:v>0.10325471557553673</c:v>
                </c:pt>
                <c:pt idx="12">
                  <c:v>0.1033102860475754</c:v>
                </c:pt>
                <c:pt idx="13">
                  <c:v>0.10336644529614965</c:v>
                </c:pt>
                <c:pt idx="14">
                  <c:v>0.10341179382181756</c:v>
                </c:pt>
                <c:pt idx="15">
                  <c:v>0.1034381208869186</c:v>
                </c:pt>
                <c:pt idx="16">
                  <c:v>0.10344177241423405</c:v>
                </c:pt>
                <c:pt idx="17">
                  <c:v>0.10342310847627158</c:v>
                </c:pt>
                <c:pt idx="18">
                  <c:v>0.10338496549616917</c:v>
                </c:pt>
                <c:pt idx="19">
                  <c:v>0.10333113461729546</c:v>
                </c:pt>
                <c:pt idx="20">
                  <c:v>0.10326534626620777</c:v>
                </c:pt>
                <c:pt idx="21">
                  <c:v>0.10319078157302311</c:v>
                </c:pt>
                <c:pt idx="22">
                  <c:v>0.10310993950387246</c:v>
                </c:pt>
                <c:pt idx="23">
                  <c:v>0.10302468570145892</c:v>
                </c:pt>
                <c:pt idx="24">
                  <c:v>0.10293636812453781</c:v>
                </c:pt>
                <c:pt idx="25">
                  <c:v>0.10284594002609314</c:v>
                </c:pt>
                <c:pt idx="26">
                  <c:v>0.10275406602187209</c:v>
                </c:pt>
                <c:pt idx="27">
                  <c:v>0.1026612051195252</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9.1760643921659973E-2</c:v>
                </c:pt>
                <c:pt idx="1">
                  <c:v>9.1040381901361891E-2</c:v>
                </c:pt>
                <c:pt idx="2">
                  <c:v>9.0322869487818952E-2</c:v>
                </c:pt>
                <c:pt idx="3">
                  <c:v>9.0666397123993658E-2</c:v>
                </c:pt>
                <c:pt idx="4">
                  <c:v>8.9959735219789477E-2</c:v>
                </c:pt>
                <c:pt idx="5">
                  <c:v>8.9262885266023412E-2</c:v>
                </c:pt>
                <c:pt idx="6">
                  <c:v>8.8580300367534198E-2</c:v>
                </c:pt>
                <c:pt idx="7">
                  <c:v>8.7917702533029413E-2</c:v>
                </c:pt>
                <c:pt idx="8">
                  <c:v>8.7874919273482316E-2</c:v>
                </c:pt>
                <c:pt idx="9">
                  <c:v>8.785111434351861E-2</c:v>
                </c:pt>
                <c:pt idx="10">
                  <c:v>8.7846576293836992E-2</c:v>
                </c:pt>
                <c:pt idx="11">
                  <c:v>8.785841483695922E-2</c:v>
                </c:pt>
                <c:pt idx="12">
                  <c:v>8.7880220120965691E-2</c:v>
                </c:pt>
                <c:pt idx="13">
                  <c:v>8.7903208521440374E-2</c:v>
                </c:pt>
                <c:pt idx="14">
                  <c:v>8.7918601541070396E-2</c:v>
                </c:pt>
                <c:pt idx="15">
                  <c:v>8.7919979555283731E-2</c:v>
                </c:pt>
                <c:pt idx="16">
                  <c:v>8.7904377683331703E-2</c:v>
                </c:pt>
                <c:pt idx="17">
                  <c:v>8.7871916306175052E-2</c:v>
                </c:pt>
                <c:pt idx="18">
                  <c:v>8.7824648747077447E-2</c:v>
                </c:pt>
                <c:pt idx="19">
                  <c:v>8.7765400559553661E-2</c:v>
                </c:pt>
                <c:pt idx="20">
                  <c:v>8.7696984677408649E-2</c:v>
                </c:pt>
                <c:pt idx="21">
                  <c:v>8.7621816736217439E-2</c:v>
                </c:pt>
                <c:pt idx="22">
                  <c:v>8.7541804073307555E-2</c:v>
                </c:pt>
                <c:pt idx="23">
                  <c:v>8.7458376536707419E-2</c:v>
                </c:pt>
                <c:pt idx="24">
                  <c:v>8.7372570910102365E-2</c:v>
                </c:pt>
                <c:pt idx="25">
                  <c:v>8.7285122749665406E-2</c:v>
                </c:pt>
                <c:pt idx="26">
                  <c:v>8.7196546418972981E-2</c:v>
                </c:pt>
                <c:pt idx="27">
                  <c:v>8.7107198152983983E-2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0.21637192652690349</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0.10531087632523629</c:v>
                </c:pt>
                <c:pt idx="1">
                  <c:v>0.10473550749037042</c:v>
                </c:pt>
                <c:pt idx="2">
                  <c:v>0.10394602256673009</c:v>
                </c:pt>
                <c:pt idx="3">
                  <c:v>0.10288364693717506</c:v>
                </c:pt>
                <c:pt idx="4">
                  <c:v>0.10149212680225049</c:v>
                </c:pt>
                <c:pt idx="5">
                  <c:v>9.9734359914276746E-2</c:v>
                </c:pt>
                <c:pt idx="6">
                  <c:v>9.7615210533501584E-2</c:v>
                </c:pt>
                <c:pt idx="7">
                  <c:v>9.5201916568160655E-2</c:v>
                </c:pt>
                <c:pt idx="8">
                  <c:v>9.2788149275787823E-2</c:v>
                </c:pt>
                <c:pt idx="9">
                  <c:v>9.0376503661637492E-2</c:v>
                </c:pt>
                <c:pt idx="10">
                  <c:v>8.8135330503506748E-2</c:v>
                </c:pt>
                <c:pt idx="11">
                  <c:v>8.6186731956471668E-2</c:v>
                </c:pt>
                <c:pt idx="12">
                  <c:v>8.4589344089089913E-2</c:v>
                </c:pt>
                <c:pt idx="13">
                  <c:v>8.3125683351075508E-2</c:v>
                </c:pt>
                <c:pt idx="14">
                  <c:v>8.1989256124135684E-2</c:v>
                </c:pt>
                <c:pt idx="15">
                  <c:v>8.1127336728427979E-2</c:v>
                </c:pt>
                <c:pt idx="16">
                  <c:v>8.0483529458206887E-2</c:v>
                </c:pt>
                <c:pt idx="17">
                  <c:v>8.0005740978412787E-2</c:v>
                </c:pt>
                <c:pt idx="18">
                  <c:v>7.9650080607777923E-2</c:v>
                </c:pt>
                <c:pt idx="19">
                  <c:v>7.9381912832722501E-2</c:v>
                </c:pt>
                <c:pt idx="20">
                  <c:v>7.9175189423155379E-2</c:v>
                </c:pt>
                <c:pt idx="21">
                  <c:v>7.9010995375950868E-2</c:v>
                </c:pt>
                <c:pt idx="22">
                  <c:v>7.8875935933557129E-2</c:v>
                </c:pt>
                <c:pt idx="23">
                  <c:v>7.8760691477223227E-2</c:v>
                </c:pt>
                <c:pt idx="24">
                  <c:v>7.8658856604441774E-2</c:v>
                </c:pt>
                <c:pt idx="25">
                  <c:v>7.8566065680302416E-2</c:v>
                </c:pt>
                <c:pt idx="26">
                  <c:v>7.8479360256866859E-2</c:v>
                </c:pt>
                <c:pt idx="27">
                  <c:v>7.8396743248474315E-2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0.11143385784995678</c:v>
                </c:pt>
                <c:pt idx="1">
                  <c:v>0.11081095282621557</c:v>
                </c:pt>
                <c:pt idx="2">
                  <c:v>0.10995630396229884</c:v>
                </c:pt>
                <c:pt idx="3">
                  <c:v>0.10880636662538078</c:v>
                </c:pt>
                <c:pt idx="4">
                  <c:v>0.10730040704478783</c:v>
                </c:pt>
                <c:pt idx="5">
                  <c:v>0.10539855825130365</c:v>
                </c:pt>
                <c:pt idx="6">
                  <c:v>0.10310657226399533</c:v>
                </c:pt>
                <c:pt idx="7">
                  <c:v>0.10049792810826105</c:v>
                </c:pt>
                <c:pt idx="8">
                  <c:v>9.7884643466625093E-2</c:v>
                </c:pt>
                <c:pt idx="9">
                  <c:v>9.527735972632409E-2</c:v>
                </c:pt>
                <c:pt idx="10">
                  <c:v>9.2858559747352021E-2</c:v>
                </c:pt>
                <c:pt idx="11">
                  <c:v>9.075990136878348E-2</c:v>
                </c:pt>
                <c:pt idx="12">
                  <c:v>8.9043567823607478E-2</c:v>
                </c:pt>
                <c:pt idx="13">
                  <c:v>8.748143616237751E-2</c:v>
                </c:pt>
                <c:pt idx="14">
                  <c:v>8.6271980782402891E-2</c:v>
                </c:pt>
                <c:pt idx="15">
                  <c:v>8.5357082205755164E-2</c:v>
                </c:pt>
                <c:pt idx="16">
                  <c:v>8.4675288663069601E-2</c:v>
                </c:pt>
                <c:pt idx="17">
                  <c:v>8.4170330767590215E-2</c:v>
                </c:pt>
                <c:pt idx="18">
                  <c:v>8.3795117230171745E-2</c:v>
                </c:pt>
                <c:pt idx="19">
                  <c:v>8.3512671697669696E-2</c:v>
                </c:pt>
                <c:pt idx="20">
                  <c:v>8.329528456981633E-2</c:v>
                </c:pt>
                <c:pt idx="21">
                  <c:v>8.3122884522398771E-2</c:v>
                </c:pt>
                <c:pt idx="22">
                  <c:v>8.2981282236199341E-2</c:v>
                </c:pt>
                <c:pt idx="23">
                  <c:v>8.286061670692918E-2</c:v>
                </c:pt>
                <c:pt idx="24">
                  <c:v>8.2754115711758003E-2</c:v>
                </c:pt>
                <c:pt idx="25">
                  <c:v>8.2657165997467724E-2</c:v>
                </c:pt>
                <c:pt idx="26">
                  <c:v>8.2566642378348293E-2</c:v>
                </c:pt>
                <c:pt idx="27">
                  <c:v>8.2480435679140041E-2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0.14511916971521754</c:v>
                </c:pt>
                <c:pt idx="1">
                  <c:v>0.14430014442718125</c:v>
                </c:pt>
                <c:pt idx="2">
                  <c:v>0.14317642122701657</c:v>
                </c:pt>
                <c:pt idx="3">
                  <c:v>0.14166446214625897</c:v>
                </c:pt>
                <c:pt idx="4">
                  <c:v>0.13968443775973252</c:v>
                </c:pt>
                <c:pt idx="5">
                  <c:v>0.13718397574133306</c:v>
                </c:pt>
                <c:pt idx="6">
                  <c:v>0.13417071394529606</c:v>
                </c:pt>
                <c:pt idx="7">
                  <c:v>0.13074137088167351</c:v>
                </c:pt>
                <c:pt idx="8">
                  <c:v>0.12725355111517206</c:v>
                </c:pt>
                <c:pt idx="9">
                  <c:v>0.12377714971472829</c:v>
                </c:pt>
                <c:pt idx="10">
                  <c:v>0.12055181456586964</c:v>
                </c:pt>
                <c:pt idx="11">
                  <c:v>0.11774997366588581</c:v>
                </c:pt>
                <c:pt idx="12">
                  <c:v>0.11545250167603095</c:v>
                </c:pt>
                <c:pt idx="13">
                  <c:v>0.11343091783136794</c:v>
                </c:pt>
                <c:pt idx="14">
                  <c:v>0.11187122203646577</c:v>
                </c:pt>
                <c:pt idx="15">
                  <c:v>0.11069724807240844</c:v>
                </c:pt>
                <c:pt idx="16">
                  <c:v>0.10982848304796937</c:v>
                </c:pt>
                <c:pt idx="17">
                  <c:v>0.10919123007674041</c:v>
                </c:pt>
                <c:pt idx="18">
                  <c:v>0.10872383164959933</c:v>
                </c:pt>
                <c:pt idx="19">
                  <c:v>0.10837788356049714</c:v>
                </c:pt>
                <c:pt idx="20">
                  <c:v>0.10811711568691768</c:v>
                </c:pt>
                <c:pt idx="21">
                  <c:v>0.10791525603325183</c:v>
                </c:pt>
                <c:pt idx="22">
                  <c:v>0.10775373056591699</c:v>
                </c:pt>
                <c:pt idx="23">
                  <c:v>0.1076196296270502</c:v>
                </c:pt>
                <c:pt idx="24">
                  <c:v>0.10750408597060701</c:v>
                </c:pt>
                <c:pt idx="25">
                  <c:v>0.10740105817449599</c:v>
                </c:pt>
                <c:pt idx="26">
                  <c:v>0.10730645279080381</c:v>
                </c:pt>
                <c:pt idx="27">
                  <c:v>0.10721750661777942</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0.12257559398774524</c:v>
                </c:pt>
                <c:pt idx="1">
                  <c:v>0.12188527051856508</c:v>
                </c:pt>
                <c:pt idx="2">
                  <c:v>0.12093809750947351</c:v>
                </c:pt>
                <c:pt idx="3">
                  <c:v>0.11966361938964454</c:v>
                </c:pt>
                <c:pt idx="4">
                  <c:v>0.11799446290725628</c:v>
                </c:pt>
                <c:pt idx="5">
                  <c:v>0.11588632588093746</c:v>
                </c:pt>
                <c:pt idx="6">
                  <c:v>0.11334538564086004</c:v>
                </c:pt>
                <c:pt idx="7">
                  <c:v>0.11045279156137923</c:v>
                </c:pt>
                <c:pt idx="8">
                  <c:v>0.10752927013752651</c:v>
                </c:pt>
                <c:pt idx="9">
                  <c:v>0.10461243177478609</c:v>
                </c:pt>
                <c:pt idx="10">
                  <c:v>0.10190423158797018</c:v>
                </c:pt>
                <c:pt idx="11">
                  <c:v>9.9550466319943506E-2</c:v>
                </c:pt>
                <c:pt idx="12">
                  <c:v>9.7620215868248636E-2</c:v>
                </c:pt>
                <c:pt idx="13">
                  <c:v>9.5895094669613379E-2</c:v>
                </c:pt>
                <c:pt idx="14">
                  <c:v>9.456063625383973E-2</c:v>
                </c:pt>
                <c:pt idx="15">
                  <c:v>9.3553084839918421E-2</c:v>
                </c:pt>
                <c:pt idx="16">
                  <c:v>9.2804690153400746E-2</c:v>
                </c:pt>
                <c:pt idx="17">
                  <c:v>9.225318374920706E-2</c:v>
                </c:pt>
                <c:pt idx="18">
                  <c:v>9.184630429930829E-2</c:v>
                </c:pt>
                <c:pt idx="19">
                  <c:v>9.1542927709465538E-2</c:v>
                </c:pt>
                <c:pt idx="20">
                  <c:v>9.1312187667579786E-2</c:v>
                </c:pt>
                <c:pt idx="21">
                  <c:v>9.1131700906401603E-2</c:v>
                </c:pt>
                <c:pt idx="22">
                  <c:v>9.0985630714093435E-2</c:v>
                </c:pt>
                <c:pt idx="23">
                  <c:v>9.0862964633204688E-2</c:v>
                </c:pt>
                <c:pt idx="24">
                  <c:v>9.0756136297087897E-2</c:v>
                </c:pt>
                <c:pt idx="25">
                  <c:v>9.0659989728664903E-2</c:v>
                </c:pt>
                <c:pt idx="26">
                  <c:v>9.0571031142839237E-2</c:v>
                </c:pt>
                <c:pt idx="27">
                  <c:v>9.0486902077712511E-2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0.24891004870420008</c:v>
                </c:pt>
                <c:pt idx="1">
                  <c:v>0.24686948965581962</c:v>
                </c:pt>
                <c:pt idx="2">
                  <c:v>0.24441003081780699</c:v>
                </c:pt>
                <c:pt idx="3">
                  <c:v>0.24167883382739944</c:v>
                </c:pt>
                <c:pt idx="4">
                  <c:v>0.23824376249588991</c:v>
                </c:pt>
                <c:pt idx="5">
                  <c:v>0.23396617162270528</c:v>
                </c:pt>
                <c:pt idx="6">
                  <c:v>0.22876151197232558</c:v>
                </c:pt>
                <c:pt idx="7">
                  <c:v>0.22265915905493006</c:v>
                </c:pt>
                <c:pt idx="8">
                  <c:v>0.21640668673553104</c:v>
                </c:pt>
                <c:pt idx="9">
                  <c:v>0.20978098994427952</c:v>
                </c:pt>
                <c:pt idx="10">
                  <c:v>0.20324865822433011</c:v>
                </c:pt>
                <c:pt idx="11">
                  <c:v>0.19725556359642915</c:v>
                </c:pt>
                <c:pt idx="12">
                  <c:v>0.19211175280138088</c:v>
                </c:pt>
                <c:pt idx="13">
                  <c:v>0.18745385698996528</c:v>
                </c:pt>
                <c:pt idx="14">
                  <c:v>0.18376212454975488</c:v>
                </c:pt>
                <c:pt idx="15">
                  <c:v>0.18090469799572684</c:v>
                </c:pt>
                <c:pt idx="16">
                  <c:v>0.17871521279562419</c:v>
                </c:pt>
                <c:pt idx="17">
                  <c:v>0.17703247540625017</c:v>
                </c:pt>
                <c:pt idx="18">
                  <c:v>0.17575436316080051</c:v>
                </c:pt>
                <c:pt idx="19">
                  <c:v>0.17473885551398066</c:v>
                </c:pt>
                <c:pt idx="20">
                  <c:v>0.17390641684161318</c:v>
                </c:pt>
                <c:pt idx="21">
                  <c:v>0.17319990683756836</c:v>
                </c:pt>
                <c:pt idx="22">
                  <c:v>0.17257922567859729</c:v>
                </c:pt>
                <c:pt idx="23">
                  <c:v>0.17209349498333115</c:v>
                </c:pt>
                <c:pt idx="24">
                  <c:v>0.17164688796190419</c:v>
                </c:pt>
                <c:pt idx="25">
                  <c:v>0.17122660175811061</c:v>
                </c:pt>
                <c:pt idx="26">
                  <c:v>0.17082398839061927</c:v>
                </c:pt>
                <c:pt idx="27">
                  <c:v>0.17043322555935234</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0.1301849178703009</c:v>
                </c:pt>
                <c:pt idx="1">
                  <c:v>0.12879834045908395</c:v>
                </c:pt>
                <c:pt idx="2">
                  <c:v>0.12720241092968354</c:v>
                </c:pt>
                <c:pt idx="3">
                  <c:v>0.12557750088189429</c:v>
                </c:pt>
                <c:pt idx="4">
                  <c:v>0.12360103478153095</c:v>
                </c:pt>
                <c:pt idx="5">
                  <c:v>0.12120519100478705</c:v>
                </c:pt>
                <c:pt idx="6">
                  <c:v>0.11834985053087776</c:v>
                </c:pt>
                <c:pt idx="7">
                  <c:v>0.11505230804518336</c:v>
                </c:pt>
                <c:pt idx="8">
                  <c:v>0.11189766374969658</c:v>
                </c:pt>
                <c:pt idx="9">
                  <c:v>0.10855308080160889</c:v>
                </c:pt>
                <c:pt idx="10">
                  <c:v>0.10525235821296482</c:v>
                </c:pt>
                <c:pt idx="11">
                  <c:v>0.10221949414527944</c:v>
                </c:pt>
                <c:pt idx="12">
                  <c:v>9.9611083648628335E-2</c:v>
                </c:pt>
                <c:pt idx="13">
                  <c:v>9.7062053349601468E-2</c:v>
                </c:pt>
                <c:pt idx="14">
                  <c:v>9.5006421683778361E-2</c:v>
                </c:pt>
                <c:pt idx="15">
                  <c:v>9.3376459396151718E-2</c:v>
                </c:pt>
                <c:pt idx="16">
                  <c:v>9.2087164722839704E-2</c:v>
                </c:pt>
                <c:pt idx="17">
                  <c:v>9.1056244713108817E-2</c:v>
                </c:pt>
                <c:pt idx="18">
                  <c:v>9.0244234548353897E-2</c:v>
                </c:pt>
                <c:pt idx="19">
                  <c:v>8.9565833713513232E-2</c:v>
                </c:pt>
                <c:pt idx="20">
                  <c:v>8.8980478708406044E-2</c:v>
                </c:pt>
                <c:pt idx="21">
                  <c:v>8.8459042007557886E-2</c:v>
                </c:pt>
                <c:pt idx="22">
                  <c:v>8.798110134314481E-2</c:v>
                </c:pt>
                <c:pt idx="23">
                  <c:v>8.7599895946824213E-2</c:v>
                </c:pt>
                <c:pt idx="24">
                  <c:v>8.7238414974134398E-2</c:v>
                </c:pt>
                <c:pt idx="25">
                  <c:v>8.6890182362002549E-2</c:v>
                </c:pt>
                <c:pt idx="26">
                  <c:v>8.6550830228324771E-2</c:v>
                </c:pt>
                <c:pt idx="27">
                  <c:v>8.6217422559525025E-2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0.13776629264773832</c:v>
                </c:pt>
                <c:pt idx="1">
                  <c:v>0.13630207043029938</c:v>
                </c:pt>
                <c:pt idx="2">
                  <c:v>0.1346121540729979</c:v>
                </c:pt>
                <c:pt idx="3">
                  <c:v>0.13288209983528232</c:v>
                </c:pt>
                <c:pt idx="4">
                  <c:v>0.13077309136067969</c:v>
                </c:pt>
                <c:pt idx="5">
                  <c:v>0.12821197599246581</c:v>
                </c:pt>
                <c:pt idx="6">
                  <c:v>0.12515548073309263</c:v>
                </c:pt>
                <c:pt idx="7">
                  <c:v>0.12162228161438476</c:v>
                </c:pt>
                <c:pt idx="8">
                  <c:v>0.11822590456848113</c:v>
                </c:pt>
                <c:pt idx="9">
                  <c:v>0.1146263380955117</c:v>
                </c:pt>
                <c:pt idx="10">
                  <c:v>0.11107582386819879</c:v>
                </c:pt>
                <c:pt idx="11">
                  <c:v>0.10781569950851688</c:v>
                </c:pt>
                <c:pt idx="12">
                  <c:v>0.10501422727718901</c:v>
                </c:pt>
                <c:pt idx="13">
                  <c:v>0.10229225794444202</c:v>
                </c:pt>
                <c:pt idx="14">
                  <c:v>0.10010090757764012</c:v>
                </c:pt>
                <c:pt idx="15">
                  <c:v>9.8366768196476412E-2</c:v>
                </c:pt>
                <c:pt idx="16">
                  <c:v>9.6998101415976465E-2</c:v>
                </c:pt>
                <c:pt idx="17">
                  <c:v>9.5906332915231179E-2</c:v>
                </c:pt>
                <c:pt idx="18">
                  <c:v>9.5048124455288707E-2</c:v>
                </c:pt>
                <c:pt idx="19">
                  <c:v>9.4332904730400541E-2</c:v>
                </c:pt>
                <c:pt idx="20">
                  <c:v>9.3717220104064969E-2</c:v>
                </c:pt>
                <c:pt idx="21">
                  <c:v>9.31698933665219E-2</c:v>
                </c:pt>
                <c:pt idx="22">
                  <c:v>9.2669077060665364E-2</c:v>
                </c:pt>
                <c:pt idx="23">
                  <c:v>9.2269921260751175E-2</c:v>
                </c:pt>
                <c:pt idx="24">
                  <c:v>9.1891858154688949E-2</c:v>
                </c:pt>
                <c:pt idx="25">
                  <c:v>9.1527962854660749E-2</c:v>
                </c:pt>
                <c:pt idx="26">
                  <c:v>9.117356492248134E-2</c:v>
                </c:pt>
                <c:pt idx="27">
                  <c:v>9.0825524918120487E-2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0.17252924484292287</c:v>
                </c:pt>
                <c:pt idx="1">
                  <c:v>0.17091032336708489</c:v>
                </c:pt>
                <c:pt idx="2">
                  <c:v>0.16900526195180893</c:v>
                </c:pt>
                <c:pt idx="3">
                  <c:v>0.16698013112799293</c:v>
                </c:pt>
                <c:pt idx="4">
                  <c:v>0.16447432149925922</c:v>
                </c:pt>
                <c:pt idx="5">
                  <c:v>0.16139401049450558</c:v>
                </c:pt>
                <c:pt idx="6">
                  <c:v>0.1576827197400098</c:v>
                </c:pt>
                <c:pt idx="7">
                  <c:v>0.15336205956783835</c:v>
                </c:pt>
                <c:pt idx="8">
                  <c:v>0.14907235491728138</c:v>
                </c:pt>
                <c:pt idx="9">
                  <c:v>0.14452530077083922</c:v>
                </c:pt>
                <c:pt idx="10">
                  <c:v>0.14003991993108283</c:v>
                </c:pt>
                <c:pt idx="11">
                  <c:v>0.13592149433202599</c:v>
                </c:pt>
                <c:pt idx="12">
                  <c:v>0.13238291593755463</c:v>
                </c:pt>
                <c:pt idx="13">
                  <c:v>0.12906361601375047</c:v>
                </c:pt>
                <c:pt idx="14">
                  <c:v>0.12641083871291386</c:v>
                </c:pt>
                <c:pt idx="15">
                  <c:v>0.12433353405757167</c:v>
                </c:pt>
                <c:pt idx="16">
                  <c:v>0.12271699168525739</c:v>
                </c:pt>
                <c:pt idx="17">
                  <c:v>0.12145004416266796</c:v>
                </c:pt>
                <c:pt idx="18">
                  <c:v>0.12046999301948033</c:v>
                </c:pt>
                <c:pt idx="19">
                  <c:v>0.11967099055836475</c:v>
                </c:pt>
                <c:pt idx="20">
                  <c:v>0.11899815571272986</c:v>
                </c:pt>
                <c:pt idx="21">
                  <c:v>0.11841206237321535</c:v>
                </c:pt>
                <c:pt idx="22">
                  <c:v>0.11788505020207485</c:v>
                </c:pt>
                <c:pt idx="23">
                  <c:v>0.11746823919993211</c:v>
                </c:pt>
                <c:pt idx="24">
                  <c:v>0.11707829810589941</c:v>
                </c:pt>
                <c:pt idx="25">
                  <c:v>0.11670642115047182</c:v>
                </c:pt>
                <c:pt idx="26">
                  <c:v>0.11634666410964255</c:v>
                </c:pt>
                <c:pt idx="27">
                  <c:v>0.11599502780168205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0.14817175095677115</c:v>
                </c:pt>
                <c:pt idx="1">
                  <c:v>0.1466944819922564</c:v>
                </c:pt>
                <c:pt idx="2">
                  <c:v>0.14497243428625065</c:v>
                </c:pt>
                <c:pt idx="3">
                  <c:v>0.14317456918899765</c:v>
                </c:pt>
                <c:pt idx="4">
                  <c:v>0.14096556145076633</c:v>
                </c:pt>
                <c:pt idx="5">
                  <c:v>0.13826552094813155</c:v>
                </c:pt>
                <c:pt idx="6">
                  <c:v>0.1350266711424577</c:v>
                </c:pt>
                <c:pt idx="7">
                  <c:v>0.13126815529680835</c:v>
                </c:pt>
                <c:pt idx="8">
                  <c:v>0.12759095150867014</c:v>
                </c:pt>
                <c:pt idx="9">
                  <c:v>0.12369270568523892</c:v>
                </c:pt>
                <c:pt idx="10">
                  <c:v>0.11984647026895449</c:v>
                </c:pt>
                <c:pt idx="11">
                  <c:v>0.11631368968632125</c:v>
                </c:pt>
                <c:pt idx="12">
                  <c:v>0.1132769054634926</c:v>
                </c:pt>
                <c:pt idx="13">
                  <c:v>0.1103815926600997</c:v>
                </c:pt>
                <c:pt idx="14">
                  <c:v>0.1080591412889777</c:v>
                </c:pt>
                <c:pt idx="15">
                  <c:v>0.10623121465901968</c:v>
                </c:pt>
                <c:pt idx="16">
                  <c:v>0.10479921973459989</c:v>
                </c:pt>
                <c:pt idx="17">
                  <c:v>0.10366761807530456</c:v>
                </c:pt>
                <c:pt idx="18">
                  <c:v>0.10278566999173805</c:v>
                </c:pt>
                <c:pt idx="19">
                  <c:v>0.10205922302919926</c:v>
                </c:pt>
                <c:pt idx="20">
                  <c:v>0.10144111673048425</c:v>
                </c:pt>
                <c:pt idx="21">
                  <c:v>0.10089747442995581</c:v>
                </c:pt>
                <c:pt idx="22">
                  <c:v>0.10040453362885955</c:v>
                </c:pt>
                <c:pt idx="23">
                  <c:v>0.10001322087235465</c:v>
                </c:pt>
                <c:pt idx="24">
                  <c:v>9.9644940952193353E-2</c:v>
                </c:pt>
                <c:pt idx="25">
                  <c:v>9.9292140120731467E-2</c:v>
                </c:pt>
                <c:pt idx="26">
                  <c:v>9.8949720969302449E-2</c:v>
                </c:pt>
                <c:pt idx="27">
                  <c:v>9.8614255232537446E-2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1.4673217391859582E-2</c:v>
                </c:pt>
                <c:pt idx="1">
                  <c:v>1.4459848262810002E-2</c:v>
                </c:pt>
                <c:pt idx="2">
                  <c:v>1.4246762144737796E-2</c:v>
                </c:pt>
                <c:pt idx="3">
                  <c:v>1.4034071685914194E-2</c:v>
                </c:pt>
                <c:pt idx="4">
                  <c:v>1.3821927708010757E-2</c:v>
                </c:pt>
                <c:pt idx="5">
                  <c:v>1.3610525114125438E-2</c:v>
                </c:pt>
                <c:pt idx="6">
                  <c:v>1.3400102084386198E-2</c:v>
                </c:pt>
                <c:pt idx="7">
                  <c:v>1.3190924003499058E-2</c:v>
                </c:pt>
                <c:pt idx="8">
                  <c:v>1.3164794948017814E-2</c:v>
                </c:pt>
                <c:pt idx="9">
                  <c:v>1.3140315145164195E-2</c:v>
                </c:pt>
                <c:pt idx="10">
                  <c:v>1.3117436891685916E-2</c:v>
                </c:pt>
                <c:pt idx="11">
                  <c:v>1.3095815431312328E-2</c:v>
                </c:pt>
                <c:pt idx="12">
                  <c:v>1.3074799231554624E-2</c:v>
                </c:pt>
                <c:pt idx="13">
                  <c:v>1.3053557274466459E-2</c:v>
                </c:pt>
                <c:pt idx="14">
                  <c:v>1.3031306716108132E-2</c:v>
                </c:pt>
                <c:pt idx="15">
                  <c:v>1.3007518978683156E-2</c:v>
                </c:pt>
                <c:pt idx="16">
                  <c:v>1.2981998191609516E-2</c:v>
                </c:pt>
                <c:pt idx="17">
                  <c:v>1.2954826318618195E-2</c:v>
                </c:pt>
                <c:pt idx="18">
                  <c:v>1.29262459130897E-2</c:v>
                </c:pt>
                <c:pt idx="19">
                  <c:v>1.2896551587322757E-2</c:v>
                </c:pt>
                <c:pt idx="20">
                  <c:v>1.2866021331225035E-2</c:v>
                </c:pt>
                <c:pt idx="21">
                  <c:v>1.2834886036581755E-2</c:v>
                </c:pt>
                <c:pt idx="22">
                  <c:v>1.2803323539560334E-2</c:v>
                </c:pt>
                <c:pt idx="23">
                  <c:v>1.2771464456076846E-2</c:v>
                </c:pt>
                <c:pt idx="24">
                  <c:v>1.2739401810823845E-2</c:v>
                </c:pt>
                <c:pt idx="25">
                  <c:v>1.2707200528058904E-2</c:v>
                </c:pt>
                <c:pt idx="26">
                  <c:v>1.2674905316172814E-2</c:v>
                </c:pt>
                <c:pt idx="27">
                  <c:v>1.2642546688743159E-2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2.2179603065261261E-2</c:v>
                </c:pt>
                <c:pt idx="1">
                  <c:v>2.1859549371686889E-2</c:v>
                </c:pt>
                <c:pt idx="2">
                  <c:v>2.1539920194578573E-2</c:v>
                </c:pt>
                <c:pt idx="3">
                  <c:v>2.1220884506343171E-2</c:v>
                </c:pt>
                <c:pt idx="4">
                  <c:v>2.0902668539488016E-2</c:v>
                </c:pt>
                <c:pt idx="5">
                  <c:v>2.0585564648660043E-2</c:v>
                </c:pt>
                <c:pt idx="6">
                  <c:v>2.0269930104051179E-2</c:v>
                </c:pt>
                <c:pt idx="7">
                  <c:v>1.9956162982720467E-2</c:v>
                </c:pt>
                <c:pt idx="8">
                  <c:v>1.9916969399498604E-2</c:v>
                </c:pt>
                <c:pt idx="9">
                  <c:v>1.9880249695218174E-2</c:v>
                </c:pt>
                <c:pt idx="10">
                  <c:v>1.9845932315000751E-2</c:v>
                </c:pt>
                <c:pt idx="11">
                  <c:v>1.9813500124440376E-2</c:v>
                </c:pt>
                <c:pt idx="12">
                  <c:v>1.9781975824803823E-2</c:v>
                </c:pt>
                <c:pt idx="13">
                  <c:v>1.975011288917157E-2</c:v>
                </c:pt>
                <c:pt idx="14">
                  <c:v>1.971673705163408E-2</c:v>
                </c:pt>
                <c:pt idx="15">
                  <c:v>1.9681055445496618E-2</c:v>
                </c:pt>
                <c:pt idx="16">
                  <c:v>1.964277426488616E-2</c:v>
                </c:pt>
                <c:pt idx="17">
                  <c:v>1.9602016455399177E-2</c:v>
                </c:pt>
                <c:pt idx="18">
                  <c:v>1.9559145847106434E-2</c:v>
                </c:pt>
                <c:pt idx="19">
                  <c:v>1.951460435845602E-2</c:v>
                </c:pt>
                <c:pt idx="20">
                  <c:v>1.9468808974309436E-2</c:v>
                </c:pt>
                <c:pt idx="21">
                  <c:v>1.9422106032344521E-2</c:v>
                </c:pt>
                <c:pt idx="22">
                  <c:v>1.937476228681238E-2</c:v>
                </c:pt>
                <c:pt idx="23">
                  <c:v>1.9326973661587157E-2</c:v>
                </c:pt>
                <c:pt idx="24">
                  <c:v>1.9278879693707653E-2</c:v>
                </c:pt>
                <c:pt idx="25">
                  <c:v>1.9230577769560237E-2</c:v>
                </c:pt>
                <c:pt idx="26">
                  <c:v>1.9182134951731104E-2</c:v>
                </c:pt>
                <c:pt idx="27">
                  <c:v>1.9133597010586624E-2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2.0919868645195999E-2</c:v>
                </c:pt>
                <c:pt idx="1">
                  <c:v>2.0599814951621626E-2</c:v>
                </c:pt>
                <c:pt idx="2">
                  <c:v>2.0280185774513314E-2</c:v>
                </c:pt>
                <c:pt idx="3">
                  <c:v>1.9961150086277912E-2</c:v>
                </c:pt>
                <c:pt idx="4">
                  <c:v>1.9642934119422761E-2</c:v>
                </c:pt>
                <c:pt idx="5">
                  <c:v>1.9325830228594781E-2</c:v>
                </c:pt>
                <c:pt idx="6">
                  <c:v>1.9010195683985921E-2</c:v>
                </c:pt>
                <c:pt idx="7">
                  <c:v>1.8696428562655212E-2</c:v>
                </c:pt>
                <c:pt idx="8">
                  <c:v>1.8657234979433345E-2</c:v>
                </c:pt>
                <c:pt idx="9">
                  <c:v>1.8620515275152915E-2</c:v>
                </c:pt>
                <c:pt idx="10">
                  <c:v>1.8586197894935493E-2</c:v>
                </c:pt>
                <c:pt idx="11">
                  <c:v>1.8553765704375114E-2</c:v>
                </c:pt>
                <c:pt idx="12">
                  <c:v>1.852224140473856E-2</c:v>
                </c:pt>
                <c:pt idx="13">
                  <c:v>1.8490378469106311E-2</c:v>
                </c:pt>
                <c:pt idx="14">
                  <c:v>1.8457002631568822E-2</c:v>
                </c:pt>
                <c:pt idx="15">
                  <c:v>1.8421321025431356E-2</c:v>
                </c:pt>
                <c:pt idx="16">
                  <c:v>1.8383039844820898E-2</c:v>
                </c:pt>
                <c:pt idx="17">
                  <c:v>1.8342282035333918E-2</c:v>
                </c:pt>
                <c:pt idx="18">
                  <c:v>1.8299411427041175E-2</c:v>
                </c:pt>
                <c:pt idx="19">
                  <c:v>1.8254869938390757E-2</c:v>
                </c:pt>
                <c:pt idx="20">
                  <c:v>1.8209074554244177E-2</c:v>
                </c:pt>
                <c:pt idx="21">
                  <c:v>1.8162371612279259E-2</c:v>
                </c:pt>
                <c:pt idx="22">
                  <c:v>1.8115027866747121E-2</c:v>
                </c:pt>
                <c:pt idx="23">
                  <c:v>1.8067239241521899E-2</c:v>
                </c:pt>
                <c:pt idx="24">
                  <c:v>1.8019145273642387E-2</c:v>
                </c:pt>
                <c:pt idx="25">
                  <c:v>1.7970843349494978E-2</c:v>
                </c:pt>
                <c:pt idx="26">
                  <c:v>1.7922400531665845E-2</c:v>
                </c:pt>
                <c:pt idx="27">
                  <c:v>1.7873862590521362E-2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1.8939520639606751E-2</c:v>
                </c:pt>
                <c:pt idx="1">
                  <c:v>1.8749859191562676E-2</c:v>
                </c:pt>
                <c:pt idx="2">
                  <c:v>1.8560449308831824E-2</c:v>
                </c:pt>
                <c:pt idx="3">
                  <c:v>1.8371391123210845E-2</c:v>
                </c:pt>
                <c:pt idx="4">
                  <c:v>1.8182818698407793E-2</c:v>
                </c:pt>
                <c:pt idx="5">
                  <c:v>1.7994905281620843E-2</c:v>
                </c:pt>
                <c:pt idx="6">
                  <c:v>1.7807862588519296E-2</c:v>
                </c:pt>
                <c:pt idx="7">
                  <c:v>1.7621926516619611E-2</c:v>
                </c:pt>
                <c:pt idx="8">
                  <c:v>1.7598700689525175E-2</c:v>
                </c:pt>
                <c:pt idx="9">
                  <c:v>1.7576940864766404E-2</c:v>
                </c:pt>
                <c:pt idx="10">
                  <c:v>1.7556604639452376E-2</c:v>
                </c:pt>
                <c:pt idx="11">
                  <c:v>1.7537385563564746E-2</c:v>
                </c:pt>
                <c:pt idx="12">
                  <c:v>1.7518704497113451E-2</c:v>
                </c:pt>
                <c:pt idx="13">
                  <c:v>1.7499822757479529E-2</c:v>
                </c:pt>
                <c:pt idx="14">
                  <c:v>1.748004448338324E-2</c:v>
                </c:pt>
                <c:pt idx="15">
                  <c:v>1.7458899827894371E-2</c:v>
                </c:pt>
                <c:pt idx="16">
                  <c:v>1.7436214683828909E-2</c:v>
                </c:pt>
                <c:pt idx="17">
                  <c:v>1.7412061907836625E-2</c:v>
                </c:pt>
                <c:pt idx="18">
                  <c:v>1.7386657102922413E-2</c:v>
                </c:pt>
                <c:pt idx="19">
                  <c:v>1.7360262146685124E-2</c:v>
                </c:pt>
                <c:pt idx="20">
                  <c:v>1.7333124141264929E-2</c:v>
                </c:pt>
                <c:pt idx="21">
                  <c:v>1.7305448323804238E-2</c:v>
                </c:pt>
                <c:pt idx="22">
                  <c:v>1.7277392770896301E-2</c:v>
                </c:pt>
                <c:pt idx="23">
                  <c:v>1.7249073585577653E-2</c:v>
                </c:pt>
                <c:pt idx="24">
                  <c:v>1.722057345646387E-2</c:v>
                </c:pt>
                <c:pt idx="25">
                  <c:v>1.7191950094006148E-2</c:v>
                </c:pt>
                <c:pt idx="26">
                  <c:v>1.7163243238996286E-2</c:v>
                </c:pt>
                <c:pt idx="27">
                  <c:v>1.7134480014614373E-2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2.1760421369870931E-2</c:v>
                </c:pt>
                <c:pt idx="1">
                  <c:v>2.1440367676296562E-2</c:v>
                </c:pt>
                <c:pt idx="2">
                  <c:v>2.1120738499188246E-2</c:v>
                </c:pt>
                <c:pt idx="3">
                  <c:v>2.0801702810952848E-2</c:v>
                </c:pt>
                <c:pt idx="4">
                  <c:v>2.0483486844097697E-2</c:v>
                </c:pt>
                <c:pt idx="5">
                  <c:v>2.0166382953269717E-2</c:v>
                </c:pt>
                <c:pt idx="6">
                  <c:v>1.9850748408660857E-2</c:v>
                </c:pt>
                <c:pt idx="7">
                  <c:v>1.9536981287330144E-2</c:v>
                </c:pt>
                <c:pt idx="8">
                  <c:v>1.9497787704108281E-2</c:v>
                </c:pt>
                <c:pt idx="9">
                  <c:v>1.9461067999827851E-2</c:v>
                </c:pt>
                <c:pt idx="10">
                  <c:v>1.9426750619610432E-2</c:v>
                </c:pt>
                <c:pt idx="11">
                  <c:v>1.939431842905005E-2</c:v>
                </c:pt>
                <c:pt idx="12">
                  <c:v>1.9362794129413496E-2</c:v>
                </c:pt>
                <c:pt idx="13">
                  <c:v>1.9330931193781251E-2</c:v>
                </c:pt>
                <c:pt idx="14">
                  <c:v>1.9297555356243758E-2</c:v>
                </c:pt>
                <c:pt idx="15">
                  <c:v>1.9261873750106295E-2</c:v>
                </c:pt>
                <c:pt idx="16">
                  <c:v>1.9223592569495834E-2</c:v>
                </c:pt>
                <c:pt idx="17">
                  <c:v>1.9182834760008854E-2</c:v>
                </c:pt>
                <c:pt idx="18">
                  <c:v>1.9139964151716114E-2</c:v>
                </c:pt>
                <c:pt idx="19">
                  <c:v>1.9095422663065693E-2</c:v>
                </c:pt>
                <c:pt idx="20">
                  <c:v>1.9049627278919113E-2</c:v>
                </c:pt>
                <c:pt idx="21">
                  <c:v>1.9002924336954191E-2</c:v>
                </c:pt>
                <c:pt idx="22">
                  <c:v>1.895558059142206E-2</c:v>
                </c:pt>
                <c:pt idx="23">
                  <c:v>1.8907791966196831E-2</c:v>
                </c:pt>
                <c:pt idx="24">
                  <c:v>1.8859697998317326E-2</c:v>
                </c:pt>
                <c:pt idx="25">
                  <c:v>1.8811396074169914E-2</c:v>
                </c:pt>
                <c:pt idx="26">
                  <c:v>1.8762953256340781E-2</c:v>
                </c:pt>
                <c:pt idx="27">
                  <c:v>1.8714415315196298E-2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1.2515885154245758E-2</c:v>
                </c:pt>
                <c:pt idx="1">
                  <c:v>1.2515885154245758E-2</c:v>
                </c:pt>
                <c:pt idx="2">
                  <c:v>1.2515885154245758E-2</c:v>
                </c:pt>
                <c:pt idx="3">
                  <c:v>1.2515885154245758E-2</c:v>
                </c:pt>
                <c:pt idx="4">
                  <c:v>1.2515885154245758E-2</c:v>
                </c:pt>
                <c:pt idx="5">
                  <c:v>1.2515885154245758E-2</c:v>
                </c:pt>
                <c:pt idx="6">
                  <c:v>1.2515885154245758E-2</c:v>
                </c:pt>
                <c:pt idx="7">
                  <c:v>1.2515885154245758E-2</c:v>
                </c:pt>
                <c:pt idx="8">
                  <c:v>1.2556314531330272E-2</c:v>
                </c:pt>
                <c:pt idx="9">
                  <c:v>1.2596743908414785E-2</c:v>
                </c:pt>
                <c:pt idx="10">
                  <c:v>1.2637173285499299E-2</c:v>
                </c:pt>
                <c:pt idx="11">
                  <c:v>1.2677602662583812E-2</c:v>
                </c:pt>
                <c:pt idx="12">
                  <c:v>1.2718032039668323E-2</c:v>
                </c:pt>
                <c:pt idx="13">
                  <c:v>1.2695979652167681E-2</c:v>
                </c:pt>
                <c:pt idx="14">
                  <c:v>1.2673927264667038E-2</c:v>
                </c:pt>
                <c:pt idx="15">
                  <c:v>1.2651874877166392E-2</c:v>
                </c:pt>
                <c:pt idx="16">
                  <c:v>1.262982248966575E-2</c:v>
                </c:pt>
                <c:pt idx="17">
                  <c:v>1.2607770102165107E-2</c:v>
                </c:pt>
                <c:pt idx="18">
                  <c:v>1.2585717714664463E-2</c:v>
                </c:pt>
                <c:pt idx="19">
                  <c:v>1.2563665327163819E-2</c:v>
                </c:pt>
                <c:pt idx="20">
                  <c:v>1.2541612939663176E-2</c:v>
                </c:pt>
                <c:pt idx="21">
                  <c:v>1.2519560552162532E-2</c:v>
                </c:pt>
                <c:pt idx="22">
                  <c:v>1.2497508164661891E-2</c:v>
                </c:pt>
                <c:pt idx="23">
                  <c:v>1.2475455777161245E-2</c:v>
                </c:pt>
                <c:pt idx="24">
                  <c:v>1.2453403389660602E-2</c:v>
                </c:pt>
                <c:pt idx="25">
                  <c:v>1.243135100215996E-2</c:v>
                </c:pt>
                <c:pt idx="26">
                  <c:v>1.2409298614659314E-2</c:v>
                </c:pt>
                <c:pt idx="27">
                  <c:v>1.2387246227158675E-2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1.8943604708840517E-2</c:v>
                </c:pt>
                <c:pt idx="1">
                  <c:v>1.8943604708840517E-2</c:v>
                </c:pt>
                <c:pt idx="2">
                  <c:v>1.8943604708840517E-2</c:v>
                </c:pt>
                <c:pt idx="3">
                  <c:v>1.8943604708840517E-2</c:v>
                </c:pt>
                <c:pt idx="4">
                  <c:v>1.8943604708840517E-2</c:v>
                </c:pt>
                <c:pt idx="5">
                  <c:v>1.8943604708840517E-2</c:v>
                </c:pt>
                <c:pt idx="6">
                  <c:v>1.8943604708840517E-2</c:v>
                </c:pt>
                <c:pt idx="7">
                  <c:v>1.8943604708840517E-2</c:v>
                </c:pt>
                <c:pt idx="8">
                  <c:v>1.900424877446729E-2</c:v>
                </c:pt>
                <c:pt idx="9">
                  <c:v>1.9064892840094057E-2</c:v>
                </c:pt>
                <c:pt idx="10">
                  <c:v>1.912553690572083E-2</c:v>
                </c:pt>
                <c:pt idx="11">
                  <c:v>1.9186180971347597E-2</c:v>
                </c:pt>
                <c:pt idx="12">
                  <c:v>1.924682503697437E-2</c:v>
                </c:pt>
                <c:pt idx="13">
                  <c:v>1.92137464557234E-2</c:v>
                </c:pt>
                <c:pt idx="14">
                  <c:v>1.9180667874472437E-2</c:v>
                </c:pt>
                <c:pt idx="15">
                  <c:v>1.9147589293221468E-2</c:v>
                </c:pt>
                <c:pt idx="16">
                  <c:v>1.9114510711970505E-2</c:v>
                </c:pt>
                <c:pt idx="17">
                  <c:v>1.9081432130719542E-2</c:v>
                </c:pt>
                <c:pt idx="18">
                  <c:v>1.9048353549468579E-2</c:v>
                </c:pt>
                <c:pt idx="19">
                  <c:v>1.9015274968217609E-2</c:v>
                </c:pt>
                <c:pt idx="20">
                  <c:v>1.8982196386966646E-2</c:v>
                </c:pt>
                <c:pt idx="21">
                  <c:v>1.894911780571568E-2</c:v>
                </c:pt>
                <c:pt idx="22">
                  <c:v>1.891603922446472E-2</c:v>
                </c:pt>
                <c:pt idx="23">
                  <c:v>1.888296064321375E-2</c:v>
                </c:pt>
                <c:pt idx="24">
                  <c:v>1.8849882061962787E-2</c:v>
                </c:pt>
                <c:pt idx="25">
                  <c:v>1.8816803480711821E-2</c:v>
                </c:pt>
                <c:pt idx="26">
                  <c:v>1.8783724899460855E-2</c:v>
                </c:pt>
                <c:pt idx="27">
                  <c:v>1.8750646318209892E-2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1.7683870288775261E-2</c:v>
                </c:pt>
                <c:pt idx="1">
                  <c:v>1.7683870288775261E-2</c:v>
                </c:pt>
                <c:pt idx="2">
                  <c:v>1.7683870288775261E-2</c:v>
                </c:pt>
                <c:pt idx="3">
                  <c:v>1.7683870288775261E-2</c:v>
                </c:pt>
                <c:pt idx="4">
                  <c:v>1.7683870288775261E-2</c:v>
                </c:pt>
                <c:pt idx="5">
                  <c:v>1.7683870288775261E-2</c:v>
                </c:pt>
                <c:pt idx="6">
                  <c:v>1.7683870288775261E-2</c:v>
                </c:pt>
                <c:pt idx="7">
                  <c:v>1.7683870288775261E-2</c:v>
                </c:pt>
                <c:pt idx="8">
                  <c:v>1.7744514354402031E-2</c:v>
                </c:pt>
                <c:pt idx="9">
                  <c:v>1.7805158420028801E-2</c:v>
                </c:pt>
                <c:pt idx="10">
                  <c:v>1.7865802485655564E-2</c:v>
                </c:pt>
                <c:pt idx="11">
                  <c:v>1.7926446551282338E-2</c:v>
                </c:pt>
                <c:pt idx="12">
                  <c:v>1.7987090616909104E-2</c:v>
                </c:pt>
                <c:pt idx="13">
                  <c:v>1.7954012035658141E-2</c:v>
                </c:pt>
                <c:pt idx="14">
                  <c:v>1.7920933454407175E-2</c:v>
                </c:pt>
                <c:pt idx="15">
                  <c:v>1.7887854873156212E-2</c:v>
                </c:pt>
                <c:pt idx="16">
                  <c:v>1.7854776291905246E-2</c:v>
                </c:pt>
                <c:pt idx="17">
                  <c:v>1.7821697710654279E-2</c:v>
                </c:pt>
                <c:pt idx="18">
                  <c:v>1.7788619129403316E-2</c:v>
                </c:pt>
                <c:pt idx="19">
                  <c:v>1.7755540548152354E-2</c:v>
                </c:pt>
                <c:pt idx="20">
                  <c:v>1.7722461966901384E-2</c:v>
                </c:pt>
                <c:pt idx="21">
                  <c:v>1.7689383385650421E-2</c:v>
                </c:pt>
                <c:pt idx="22">
                  <c:v>1.7656304804399454E-2</c:v>
                </c:pt>
                <c:pt idx="23">
                  <c:v>1.7623226223148492E-2</c:v>
                </c:pt>
                <c:pt idx="24">
                  <c:v>1.7590147641897525E-2</c:v>
                </c:pt>
                <c:pt idx="25">
                  <c:v>1.7557069060646559E-2</c:v>
                </c:pt>
                <c:pt idx="26">
                  <c:v>1.7523990479395596E-2</c:v>
                </c:pt>
                <c:pt idx="27">
                  <c:v>1.7490911898144633E-2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1.7021891983950016E-2</c:v>
                </c:pt>
                <c:pt idx="1">
                  <c:v>1.7021891983950016E-2</c:v>
                </c:pt>
                <c:pt idx="2">
                  <c:v>1.7021891983950016E-2</c:v>
                </c:pt>
                <c:pt idx="3">
                  <c:v>1.7021891983950016E-2</c:v>
                </c:pt>
                <c:pt idx="4">
                  <c:v>1.7021891983950016E-2</c:v>
                </c:pt>
                <c:pt idx="5">
                  <c:v>1.7021891983950016E-2</c:v>
                </c:pt>
                <c:pt idx="6">
                  <c:v>1.7021891983950016E-2</c:v>
                </c:pt>
                <c:pt idx="7">
                  <c:v>1.7021891983950016E-2</c:v>
                </c:pt>
                <c:pt idx="8">
                  <c:v>1.7057829208025139E-2</c:v>
                </c:pt>
                <c:pt idx="9">
                  <c:v>1.7093766432100262E-2</c:v>
                </c:pt>
                <c:pt idx="10">
                  <c:v>1.7129703656175388E-2</c:v>
                </c:pt>
                <c:pt idx="11">
                  <c:v>1.7165640880250507E-2</c:v>
                </c:pt>
                <c:pt idx="12">
                  <c:v>1.7201578104325634E-2</c:v>
                </c:pt>
                <c:pt idx="13">
                  <c:v>1.7181975982102832E-2</c:v>
                </c:pt>
                <c:pt idx="14">
                  <c:v>1.7162373859880044E-2</c:v>
                </c:pt>
                <c:pt idx="15">
                  <c:v>1.7142771737657249E-2</c:v>
                </c:pt>
                <c:pt idx="16">
                  <c:v>1.7123169615434454E-2</c:v>
                </c:pt>
                <c:pt idx="17">
                  <c:v>1.7103567493211659E-2</c:v>
                </c:pt>
                <c:pt idx="18">
                  <c:v>1.7083965370988864E-2</c:v>
                </c:pt>
                <c:pt idx="19">
                  <c:v>1.7064363248766069E-2</c:v>
                </c:pt>
                <c:pt idx="20">
                  <c:v>1.7044761126543274E-2</c:v>
                </c:pt>
                <c:pt idx="21">
                  <c:v>1.7025159004320483E-2</c:v>
                </c:pt>
                <c:pt idx="22">
                  <c:v>1.7005556882097685E-2</c:v>
                </c:pt>
                <c:pt idx="23">
                  <c:v>1.6985954759874897E-2</c:v>
                </c:pt>
                <c:pt idx="24">
                  <c:v>1.6966352637652102E-2</c:v>
                </c:pt>
                <c:pt idx="25">
                  <c:v>1.6946750515429307E-2</c:v>
                </c:pt>
                <c:pt idx="26">
                  <c:v>1.6927148393206512E-2</c:v>
                </c:pt>
                <c:pt idx="27">
                  <c:v>1.6907546270983717E-2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1.8524423013450197E-2</c:v>
                </c:pt>
                <c:pt idx="1">
                  <c:v>1.8524423013450197E-2</c:v>
                </c:pt>
                <c:pt idx="2">
                  <c:v>1.8524423013450197E-2</c:v>
                </c:pt>
                <c:pt idx="3">
                  <c:v>1.8524423013450197E-2</c:v>
                </c:pt>
                <c:pt idx="4">
                  <c:v>1.8524423013450197E-2</c:v>
                </c:pt>
                <c:pt idx="5">
                  <c:v>1.8524423013450197E-2</c:v>
                </c:pt>
                <c:pt idx="6">
                  <c:v>1.8524423013450197E-2</c:v>
                </c:pt>
                <c:pt idx="7">
                  <c:v>1.8524423013450197E-2</c:v>
                </c:pt>
                <c:pt idx="8">
                  <c:v>1.8585067079076967E-2</c:v>
                </c:pt>
                <c:pt idx="9">
                  <c:v>1.8645711144703737E-2</c:v>
                </c:pt>
                <c:pt idx="10">
                  <c:v>1.8706355210330504E-2</c:v>
                </c:pt>
                <c:pt idx="11">
                  <c:v>1.8766999275957274E-2</c:v>
                </c:pt>
                <c:pt idx="12">
                  <c:v>1.8827643341584044E-2</c:v>
                </c:pt>
                <c:pt idx="13">
                  <c:v>1.8794564760333081E-2</c:v>
                </c:pt>
                <c:pt idx="14">
                  <c:v>1.8761486179082111E-2</c:v>
                </c:pt>
                <c:pt idx="15">
                  <c:v>1.8728407597831148E-2</c:v>
                </c:pt>
                <c:pt idx="16">
                  <c:v>1.8695329016580185E-2</c:v>
                </c:pt>
                <c:pt idx="17">
                  <c:v>1.8662250435329219E-2</c:v>
                </c:pt>
                <c:pt idx="18">
                  <c:v>1.8629171854078252E-2</c:v>
                </c:pt>
                <c:pt idx="19">
                  <c:v>1.859609327282729E-2</c:v>
                </c:pt>
                <c:pt idx="20">
                  <c:v>1.8563014691576323E-2</c:v>
                </c:pt>
                <c:pt idx="21">
                  <c:v>1.852993611032536E-2</c:v>
                </c:pt>
                <c:pt idx="22">
                  <c:v>1.8496857529074394E-2</c:v>
                </c:pt>
                <c:pt idx="23">
                  <c:v>1.8463778947823431E-2</c:v>
                </c:pt>
                <c:pt idx="24">
                  <c:v>1.8430700366572468E-2</c:v>
                </c:pt>
                <c:pt idx="25">
                  <c:v>1.8397621785321498E-2</c:v>
                </c:pt>
                <c:pt idx="26">
                  <c:v>1.8364543204070535E-2</c:v>
                </c:pt>
                <c:pt idx="27">
                  <c:v>1.8331464622819565E-2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1.733080925299478E-2</c:v>
                </c:pt>
                <c:pt idx="1">
                  <c:v>1.7310352749506382E-2</c:v>
                </c:pt>
                <c:pt idx="2">
                  <c:v>1.7281312363546224E-2</c:v>
                </c:pt>
                <c:pt idx="3">
                  <c:v>1.7240276404346045E-2</c:v>
                </c:pt>
                <c:pt idx="4">
                  <c:v>1.7182682087087495E-2</c:v>
                </c:pt>
                <c:pt idx="5">
                  <c:v>1.7102642755878597E-2</c:v>
                </c:pt>
                <c:pt idx="6">
                  <c:v>1.6992982971883966E-2</c:v>
                </c:pt>
                <c:pt idx="7">
                  <c:v>1.6845741332136243E-2</c:v>
                </c:pt>
                <c:pt idx="8">
                  <c:v>1.6697360059426493E-2</c:v>
                </c:pt>
                <c:pt idx="9">
                  <c:v>1.6499410775137627E-2</c:v>
                </c:pt>
                <c:pt idx="10">
                  <c:v>1.6253553678021081E-2</c:v>
                </c:pt>
                <c:pt idx="11">
                  <c:v>1.5970411683245658E-2</c:v>
                </c:pt>
                <c:pt idx="12">
                  <c:v>1.5669752747350177E-2</c:v>
                </c:pt>
                <c:pt idx="13">
                  <c:v>1.5309103140169622E-2</c:v>
                </c:pt>
                <c:pt idx="14">
                  <c:v>1.4979380264861031E-2</c:v>
                </c:pt>
                <c:pt idx="15">
                  <c:v>1.46961328982962E-2</c:v>
                </c:pt>
                <c:pt idx="16">
                  <c:v>1.4464932157283242E-2</c:v>
                </c:pt>
                <c:pt idx="17">
                  <c:v>1.4283110630502752E-2</c:v>
                </c:pt>
                <c:pt idx="18">
                  <c:v>1.4143296362620975E-2</c:v>
                </c:pt>
                <c:pt idx="19">
                  <c:v>1.4036638637300956E-2</c:v>
                </c:pt>
                <c:pt idx="20">
                  <c:v>1.3954829232215828E-2</c:v>
                </c:pt>
                <c:pt idx="21">
                  <c:v>1.3890987721672203E-2</c:v>
                </c:pt>
                <c:pt idx="22">
                  <c:v>1.3839824365067713E-2</c:v>
                </c:pt>
                <c:pt idx="23">
                  <c:v>1.3797458623386652E-2</c:v>
                </c:pt>
                <c:pt idx="24">
                  <c:v>1.3761129000392745E-2</c:v>
                </c:pt>
                <c:pt idx="25">
                  <c:v>1.3728909253217401E-2</c:v>
                </c:pt>
                <c:pt idx="26">
                  <c:v>1.3699473450737468E-2</c:v>
                </c:pt>
                <c:pt idx="27">
                  <c:v>1.3671916904513842E-2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2.5968273679995914E-2</c:v>
                </c:pt>
                <c:pt idx="1">
                  <c:v>2.593839312458121E-2</c:v>
                </c:pt>
                <c:pt idx="2">
                  <c:v>2.5895971938453964E-2</c:v>
                </c:pt>
                <c:pt idx="3">
                  <c:v>2.5836023509259044E-2</c:v>
                </c:pt>
                <c:pt idx="4">
                  <c:v>2.5751876435665517E-2</c:v>
                </c:pt>
                <c:pt idx="5">
                  <c:v>2.5634919154230967E-2</c:v>
                </c:pt>
                <c:pt idx="6">
                  <c:v>2.5474646279400454E-2</c:v>
                </c:pt>
                <c:pt idx="7">
                  <c:v>2.5259386137815573E-2</c:v>
                </c:pt>
                <c:pt idx="8">
                  <c:v>2.5043569768212433E-2</c:v>
                </c:pt>
                <c:pt idx="9">
                  <c:v>2.4755127629695312E-2</c:v>
                </c:pt>
                <c:pt idx="10">
                  <c:v>2.4396386979861233E-2</c:v>
                </c:pt>
                <c:pt idx="11">
                  <c:v>2.3982790832993116E-2</c:v>
                </c:pt>
                <c:pt idx="12">
                  <c:v>2.3543216160743952E-2</c:v>
                </c:pt>
                <c:pt idx="13">
                  <c:v>2.301361404635642E-2</c:v>
                </c:pt>
                <c:pt idx="14">
                  <c:v>2.2529039958164972E-2</c:v>
                </c:pt>
                <c:pt idx="15">
                  <c:v>2.2112432409508692E-2</c:v>
                </c:pt>
                <c:pt idx="16">
                  <c:v>2.1772100772396816E-2</c:v>
                </c:pt>
                <c:pt idx="17">
                  <c:v>2.1504231619367167E-2</c:v>
                </c:pt>
                <c:pt idx="18">
                  <c:v>2.1298061879597003E-2</c:v>
                </c:pt>
                <c:pt idx="19">
                  <c:v>2.1140621942879335E-2</c:v>
                </c:pt>
                <c:pt idx="20">
                  <c:v>2.1019717107869148E-2</c:v>
                </c:pt>
                <c:pt idx="21">
                  <c:v>2.0925238942223551E-2</c:v>
                </c:pt>
                <c:pt idx="22">
                  <c:v>2.084941145304834E-2</c:v>
                </c:pt>
                <c:pt idx="23">
                  <c:v>2.0786528017647802E-2</c:v>
                </c:pt>
                <c:pt idx="24">
                  <c:v>2.0732526603508328E-2</c:v>
                </c:pt>
                <c:pt idx="25">
                  <c:v>2.0684573291471178E-2</c:v>
                </c:pt>
                <c:pt idx="26">
                  <c:v>2.0640717103109853E-2</c:v>
                </c:pt>
                <c:pt idx="27">
                  <c:v>2.0599626753889825E-2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2.4687970144163886E-2</c:v>
                </c:pt>
                <c:pt idx="1">
                  <c:v>2.4658150257554357E-2</c:v>
                </c:pt>
                <c:pt idx="2">
                  <c:v>2.4615815190623752E-2</c:v>
                </c:pt>
                <c:pt idx="3">
                  <c:v>2.4555988439006207E-2</c:v>
                </c:pt>
                <c:pt idx="4">
                  <c:v>2.4472012112348274E-2</c:v>
                </c:pt>
                <c:pt idx="5">
                  <c:v>2.4355292064000778E-2</c:v>
                </c:pt>
                <c:pt idx="6">
                  <c:v>2.419534411125826E-2</c:v>
                </c:pt>
                <c:pt idx="7">
                  <c:v>2.3980520056302738E-2</c:v>
                </c:pt>
                <c:pt idx="8">
                  <c:v>2.3765272746153199E-2</c:v>
                </c:pt>
                <c:pt idx="9">
                  <c:v>2.3477545650632203E-2</c:v>
                </c:pt>
                <c:pt idx="10">
                  <c:v>2.3119660699143972E-2</c:v>
                </c:pt>
                <c:pt idx="11">
                  <c:v>2.2707029101169868E-2</c:v>
                </c:pt>
                <c:pt idx="12">
                  <c:v>2.2268469201250148E-2</c:v>
                </c:pt>
                <c:pt idx="13">
                  <c:v>2.1739858420950289E-2</c:v>
                </c:pt>
                <c:pt idx="14">
                  <c:v>2.1256183792978365E-2</c:v>
                </c:pt>
                <c:pt idx="15">
                  <c:v>2.0840338441510967E-2</c:v>
                </c:pt>
                <c:pt idx="16">
                  <c:v>2.0500615725524966E-2</c:v>
                </c:pt>
                <c:pt idx="17">
                  <c:v>2.0233210334321263E-2</c:v>
                </c:pt>
                <c:pt idx="18">
                  <c:v>2.0027381016520622E-2</c:v>
                </c:pt>
                <c:pt idx="19">
                  <c:v>1.9870184227604844E-2</c:v>
                </c:pt>
                <c:pt idx="20">
                  <c:v>1.974944967972302E-2</c:v>
                </c:pt>
                <c:pt idx="21">
                  <c:v>1.9655089133499476E-2</c:v>
                </c:pt>
                <c:pt idx="22">
                  <c:v>1.9579342109169975E-2</c:v>
                </c:pt>
                <c:pt idx="23">
                  <c:v>1.9516513359357897E-2</c:v>
                </c:pt>
                <c:pt idx="24">
                  <c:v>1.9462548944390402E-2</c:v>
                </c:pt>
                <c:pt idx="25">
                  <c:v>1.9414620589317796E-2</c:v>
                </c:pt>
                <c:pt idx="26">
                  <c:v>1.9370781200629024E-2</c:v>
                </c:pt>
                <c:pt idx="27">
                  <c:v>1.9329702144425247E-2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2.1502702114462001E-2</c:v>
                </c:pt>
                <c:pt idx="1">
                  <c:v>2.1483876947371597E-2</c:v>
                </c:pt>
                <c:pt idx="2">
                  <c:v>2.1457152991067086E-2</c:v>
                </c:pt>
                <c:pt idx="3">
                  <c:v>2.1419391414333189E-2</c:v>
                </c:pt>
                <c:pt idx="4">
                  <c:v>2.1366394926292366E-2</c:v>
                </c:pt>
                <c:pt idx="5">
                  <c:v>2.1292749517544649E-2</c:v>
                </c:pt>
                <c:pt idx="6">
                  <c:v>2.1191857961637306E-2</c:v>
                </c:pt>
                <c:pt idx="7">
                  <c:v>2.1056404243935477E-2</c:v>
                </c:pt>
                <c:pt idx="8">
                  <c:v>2.0918666677397765E-2</c:v>
                </c:pt>
                <c:pt idx="9">
                  <c:v>2.07353712044493E-2</c:v>
                </c:pt>
                <c:pt idx="10">
                  <c:v>2.0508070442159868E-2</c:v>
                </c:pt>
                <c:pt idx="11">
                  <c:v>2.0246558840251564E-2</c:v>
                </c:pt>
                <c:pt idx="12">
                  <c:v>1.9969027449121338E-2</c:v>
                </c:pt>
                <c:pt idx="13">
                  <c:v>1.9638359056286941E-2</c:v>
                </c:pt>
                <c:pt idx="14">
                  <c:v>1.9336184763466699E-2</c:v>
                </c:pt>
                <c:pt idx="15">
                  <c:v>1.9076757498978143E-2</c:v>
                </c:pt>
                <c:pt idx="16">
                  <c:v>1.8865162056427177E-2</c:v>
                </c:pt>
                <c:pt idx="17">
                  <c:v>1.8698923764597957E-2</c:v>
                </c:pt>
                <c:pt idx="18">
                  <c:v>1.8571257769043809E-2</c:v>
                </c:pt>
                <c:pt idx="19">
                  <c:v>1.8474029784385844E-2</c:v>
                </c:pt>
                <c:pt idx="20">
                  <c:v>1.839960897760276E-2</c:v>
                </c:pt>
                <c:pt idx="21">
                  <c:v>1.8341678187342864E-2</c:v>
                </c:pt>
                <c:pt idx="22">
                  <c:v>1.8295381809768661E-2</c:v>
                </c:pt>
                <c:pt idx="23">
                  <c:v>1.8257158309606739E-2</c:v>
                </c:pt>
                <c:pt idx="24">
                  <c:v>1.822447345105712E-2</c:v>
                </c:pt>
                <c:pt idx="25">
                  <c:v>1.8195559632301295E-2</c:v>
                </c:pt>
                <c:pt idx="26">
                  <c:v>1.8169200180071933E-2</c:v>
                </c:pt>
                <c:pt idx="27">
                  <c:v>1.8144564980957366E-2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2.5397503776248789E-2</c:v>
                </c:pt>
                <c:pt idx="1">
                  <c:v>2.5368236930157044E-2</c:v>
                </c:pt>
                <c:pt idx="2">
                  <c:v>2.5326685247445795E-2</c:v>
                </c:pt>
                <c:pt idx="3">
                  <c:v>2.5267962025626426E-2</c:v>
                </c:pt>
                <c:pt idx="4">
                  <c:v>2.5185527710871205E-2</c:v>
                </c:pt>
                <c:pt idx="5">
                  <c:v>2.5070937420385783E-2</c:v>
                </c:pt>
                <c:pt idx="6">
                  <c:v>2.4913882486899699E-2</c:v>
                </c:pt>
                <c:pt idx="7">
                  <c:v>2.4702897640694305E-2</c:v>
                </c:pt>
                <c:pt idx="8">
                  <c:v>2.4492252575286769E-2</c:v>
                </c:pt>
                <c:pt idx="9">
                  <c:v>2.4210298522401783E-2</c:v>
                </c:pt>
                <c:pt idx="10">
                  <c:v>2.3859238467470331E-2</c:v>
                </c:pt>
                <c:pt idx="11">
                  <c:v>2.3454140879343735E-2</c:v>
                </c:pt>
                <c:pt idx="12">
                  <c:v>2.3023291909204453E-2</c:v>
                </c:pt>
                <c:pt idx="13">
                  <c:v>2.2502365264200665E-2</c:v>
                </c:pt>
                <c:pt idx="14">
                  <c:v>2.202543012936484E-2</c:v>
                </c:pt>
                <c:pt idx="15">
                  <c:v>2.1615130425203431E-2</c:v>
                </c:pt>
                <c:pt idx="16">
                  <c:v>2.1279738113232204E-2</c:v>
                </c:pt>
                <c:pt idx="17">
                  <c:v>2.1015581941587189E-2</c:v>
                </c:pt>
                <c:pt idx="18">
                  <c:v>2.0812123275565544E-2</c:v>
                </c:pt>
                <c:pt idx="19">
                  <c:v>2.0656626212764755E-2</c:v>
                </c:pt>
                <c:pt idx="20">
                  <c:v>2.0537100380756703E-2</c:v>
                </c:pt>
                <c:pt idx="21">
                  <c:v>2.0443599487487085E-2</c:v>
                </c:pt>
                <c:pt idx="22">
                  <c:v>2.0368468803134681E-2</c:v>
                </c:pt>
                <c:pt idx="23">
                  <c:v>2.0306089035269769E-2</c:v>
                </c:pt>
                <c:pt idx="24">
                  <c:v>2.0252459516457724E-2</c:v>
                </c:pt>
                <c:pt idx="25">
                  <c:v>2.0204788754750347E-2</c:v>
                </c:pt>
                <c:pt idx="26">
                  <c:v>2.0161154792252896E-2</c:v>
                </c:pt>
                <c:pt idx="27">
                  <c:v>2.0120246053379153E-2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2.2041384862265825E-2</c:v>
                </c:pt>
                <c:pt idx="1">
                  <c:v>2.1828994846337033E-2</c:v>
                </c:pt>
                <c:pt idx="2">
                  <c:v>2.1601689630994451E-2</c:v>
                </c:pt>
                <c:pt idx="3">
                  <c:v>2.1406759800299571E-2</c:v>
                </c:pt>
                <c:pt idx="4">
                  <c:v>2.1183039436081109E-2</c:v>
                </c:pt>
                <c:pt idx="5">
                  <c:v>2.0920398211960293E-2</c:v>
                </c:pt>
                <c:pt idx="6">
                  <c:v>2.0606529179695937E-2</c:v>
                </c:pt>
                <c:pt idx="7">
                  <c:v>2.0227834802383431E-2</c:v>
                </c:pt>
                <c:pt idx="8">
                  <c:v>1.9885940453952304E-2</c:v>
                </c:pt>
                <c:pt idx="9">
                  <c:v>1.9456751621860023E-2</c:v>
                </c:pt>
                <c:pt idx="10">
                  <c:v>1.8942827443098775E-2</c:v>
                </c:pt>
                <c:pt idx="11">
                  <c:v>1.8362459770413571E-2</c:v>
                </c:pt>
                <c:pt idx="12">
                  <c:v>1.7750178468871752E-2</c:v>
                </c:pt>
                <c:pt idx="13">
                  <c:v>1.7039529428979155E-2</c:v>
                </c:pt>
                <c:pt idx="14">
                  <c:v>1.638566098777924E-2</c:v>
                </c:pt>
                <c:pt idx="15">
                  <c:v>1.5815809013511345E-2</c:v>
                </c:pt>
                <c:pt idx="16">
                  <c:v>1.5339460345856787E-2</c:v>
                </c:pt>
                <c:pt idx="17">
                  <c:v>1.495148715701535E-2</c:v>
                </c:pt>
                <c:pt idx="18">
                  <c:v>1.4646304566640287E-2</c:v>
                </c:pt>
                <c:pt idx="19">
                  <c:v>1.4400052835032979E-2</c:v>
                </c:pt>
                <c:pt idx="20">
                  <c:v>1.4197855394316264E-2</c:v>
                </c:pt>
                <c:pt idx="21">
                  <c:v>1.4027432190797355E-2</c:v>
                </c:pt>
                <c:pt idx="22">
                  <c:v>1.3879369836166113E-2</c:v>
                </c:pt>
                <c:pt idx="23">
                  <c:v>1.3764119638679836E-2</c:v>
                </c:pt>
                <c:pt idx="24">
                  <c:v>1.3659435132682085E-2</c:v>
                </c:pt>
                <c:pt idx="25">
                  <c:v>1.3561928298669436E-2</c:v>
                </c:pt>
                <c:pt idx="26">
                  <c:v>1.3469272288699539E-2</c:v>
                </c:pt>
                <c:pt idx="27">
                  <c:v>1.3379883134876433E-2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3.3105868080487003E-2</c:v>
                </c:pt>
                <c:pt idx="1">
                  <c:v>3.2788504566390667E-2</c:v>
                </c:pt>
                <c:pt idx="2">
                  <c:v>3.2448854034334909E-2</c:v>
                </c:pt>
                <c:pt idx="3">
                  <c:v>3.2157580380057914E-2</c:v>
                </c:pt>
                <c:pt idx="4">
                  <c:v>3.1823286507284325E-2</c:v>
                </c:pt>
                <c:pt idx="5">
                  <c:v>3.1430835188567478E-2</c:v>
                </c:pt>
                <c:pt idx="6">
                  <c:v>3.0961836781981243E-2</c:v>
                </c:pt>
                <c:pt idx="7">
                  <c:v>3.0395973185112765E-2</c:v>
                </c:pt>
                <c:pt idx="8">
                  <c:v>2.9885097985102631E-2</c:v>
                </c:pt>
                <c:pt idx="9">
                  <c:v>2.9243783112705937E-2</c:v>
                </c:pt>
                <c:pt idx="10">
                  <c:v>2.8475852555153638E-2</c:v>
                </c:pt>
                <c:pt idx="11">
                  <c:v>2.7608638890397191E-2</c:v>
                </c:pt>
                <c:pt idx="12">
                  <c:v>2.6693738325871907E-2</c:v>
                </c:pt>
                <c:pt idx="13">
                  <c:v>2.5631851892071227E-2</c:v>
                </c:pt>
                <c:pt idx="14">
                  <c:v>2.4654809796432101E-2</c:v>
                </c:pt>
                <c:pt idx="15">
                  <c:v>2.3803309200806054E-2</c:v>
                </c:pt>
                <c:pt idx="16">
                  <c:v>2.3091525803451633E-2</c:v>
                </c:pt>
                <c:pt idx="17">
                  <c:v>2.2511797354129615E-2</c:v>
                </c:pt>
                <c:pt idx="18">
                  <c:v>2.205577865240814E-2</c:v>
                </c:pt>
                <c:pt idx="19">
                  <c:v>2.1687817312260202E-2</c:v>
                </c:pt>
                <c:pt idx="20">
                  <c:v>2.1385684040851369E-2</c:v>
                </c:pt>
                <c:pt idx="21">
                  <c:v>2.1131029383400571E-2</c:v>
                </c:pt>
                <c:pt idx="22">
                  <c:v>2.0909787396268267E-2</c:v>
                </c:pt>
                <c:pt idx="23">
                  <c:v>2.0737574933669262E-2</c:v>
                </c:pt>
                <c:pt idx="24">
                  <c:v>2.0581150242284404E-2</c:v>
                </c:pt>
                <c:pt idx="25">
                  <c:v>2.0435450778233152E-2</c:v>
                </c:pt>
                <c:pt idx="26">
                  <c:v>2.0296999651905019E-2</c:v>
                </c:pt>
                <c:pt idx="27">
                  <c:v>2.0163430021264243E-2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3.1835966511754063E-2</c:v>
                </c:pt>
                <c:pt idx="1">
                  <c:v>3.1518602997657727E-2</c:v>
                </c:pt>
                <c:pt idx="2">
                  <c:v>3.117895246560197E-2</c:v>
                </c:pt>
                <c:pt idx="3">
                  <c:v>3.0887678811324967E-2</c:v>
                </c:pt>
                <c:pt idx="4">
                  <c:v>3.0553384938551378E-2</c:v>
                </c:pt>
                <c:pt idx="5">
                  <c:v>3.0160933619834535E-2</c:v>
                </c:pt>
                <c:pt idx="6">
                  <c:v>2.9691935213248297E-2</c:v>
                </c:pt>
                <c:pt idx="7">
                  <c:v>2.9126071616379826E-2</c:v>
                </c:pt>
                <c:pt idx="8">
                  <c:v>2.8615196416369698E-2</c:v>
                </c:pt>
                <c:pt idx="9">
                  <c:v>2.7973881543972998E-2</c:v>
                </c:pt>
                <c:pt idx="10">
                  <c:v>2.7205950986420695E-2</c:v>
                </c:pt>
                <c:pt idx="11">
                  <c:v>2.6338737321664259E-2</c:v>
                </c:pt>
                <c:pt idx="12">
                  <c:v>2.5423836757138968E-2</c:v>
                </c:pt>
                <c:pt idx="13">
                  <c:v>2.4361950323338287E-2</c:v>
                </c:pt>
                <c:pt idx="14">
                  <c:v>2.3384908227699158E-2</c:v>
                </c:pt>
                <c:pt idx="15">
                  <c:v>2.2533407632073111E-2</c:v>
                </c:pt>
                <c:pt idx="16">
                  <c:v>2.1821624234718694E-2</c:v>
                </c:pt>
                <c:pt idx="17">
                  <c:v>2.1241895785396675E-2</c:v>
                </c:pt>
                <c:pt idx="18">
                  <c:v>2.0785877083675203E-2</c:v>
                </c:pt>
                <c:pt idx="19">
                  <c:v>2.0417915743527262E-2</c:v>
                </c:pt>
                <c:pt idx="20">
                  <c:v>2.0115782472118423E-2</c:v>
                </c:pt>
                <c:pt idx="21">
                  <c:v>1.9861127814667631E-2</c:v>
                </c:pt>
                <c:pt idx="22">
                  <c:v>1.9639885827535328E-2</c:v>
                </c:pt>
                <c:pt idx="23">
                  <c:v>1.9467673364936312E-2</c:v>
                </c:pt>
                <c:pt idx="24">
                  <c:v>1.9311248673551468E-2</c:v>
                </c:pt>
                <c:pt idx="25">
                  <c:v>1.9165549209500213E-2</c:v>
                </c:pt>
                <c:pt idx="26">
                  <c:v>1.902709808317208E-2</c:v>
                </c:pt>
                <c:pt idx="27">
                  <c:v>1.8893528452531304E-2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2.5594574169206932E-2</c:v>
                </c:pt>
                <c:pt idx="1">
                  <c:v>2.5405511597315363E-2</c:v>
                </c:pt>
                <c:pt idx="2">
                  <c:v>2.5203172007909048E-2</c:v>
                </c:pt>
                <c:pt idx="3">
                  <c:v>2.5029651915787963E-2</c:v>
                </c:pt>
                <c:pt idx="4">
                  <c:v>2.4830503442359542E-2</c:v>
                </c:pt>
                <c:pt idx="5">
                  <c:v>2.4596708905926721E-2</c:v>
                </c:pt>
                <c:pt idx="6">
                  <c:v>2.4317313067956123E-2</c:v>
                </c:pt>
                <c:pt idx="7">
                  <c:v>2.3980211850544941E-2</c:v>
                </c:pt>
                <c:pt idx="8">
                  <c:v>2.3675868802464712E-2</c:v>
                </c:pt>
                <c:pt idx="9">
                  <c:v>2.3293819090440076E-2</c:v>
                </c:pt>
                <c:pt idx="10">
                  <c:v>2.2836340773632401E-2</c:v>
                </c:pt>
                <c:pt idx="11">
                  <c:v>2.2319716654740793E-2</c:v>
                </c:pt>
                <c:pt idx="12">
                  <c:v>2.1774684078306409E-2</c:v>
                </c:pt>
                <c:pt idx="13">
                  <c:v>2.1142087792615616E-2</c:v>
                </c:pt>
                <c:pt idx="14">
                  <c:v>2.0560035719068861E-2</c:v>
                </c:pt>
                <c:pt idx="15">
                  <c:v>2.0052772327324993E-2</c:v>
                </c:pt>
                <c:pt idx="16">
                  <c:v>1.9628742488492633E-2</c:v>
                </c:pt>
                <c:pt idx="17">
                  <c:v>1.9283381579757987E-2</c:v>
                </c:pt>
                <c:pt idx="18">
                  <c:v>1.9011718125237685E-2</c:v>
                </c:pt>
                <c:pt idx="19">
                  <c:v>1.8792512973306072E-2</c:v>
                </c:pt>
                <c:pt idx="20">
                  <c:v>1.861252349496538E-2</c:v>
                </c:pt>
                <c:pt idx="21">
                  <c:v>1.8460818392320222E-2</c:v>
                </c:pt>
                <c:pt idx="22">
                  <c:v>1.8329018178244776E-2</c:v>
                </c:pt>
                <c:pt idx="23">
                  <c:v>1.8226426261894663E-2</c:v>
                </c:pt>
                <c:pt idx="24">
                  <c:v>1.8133239574871819E-2</c:v>
                </c:pt>
                <c:pt idx="25">
                  <c:v>1.8046442214201087E-2</c:v>
                </c:pt>
                <c:pt idx="26">
                  <c:v>1.7963962896755239E-2</c:v>
                </c:pt>
                <c:pt idx="27">
                  <c:v>1.7884391626669393E-2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3.259174240264022E-2</c:v>
                </c:pt>
                <c:pt idx="1">
                  <c:v>3.22752640405706E-2</c:v>
                </c:pt>
                <c:pt idx="2">
                  <c:v>3.1936560820803331E-2</c:v>
                </c:pt>
                <c:pt idx="3">
                  <c:v>3.1646099551863517E-2</c:v>
                </c:pt>
                <c:pt idx="4">
                  <c:v>3.1312738051230582E-2</c:v>
                </c:pt>
                <c:pt idx="5">
                  <c:v>3.0921381310386485E-2</c:v>
                </c:pt>
                <c:pt idx="6">
                  <c:v>3.0453690977575811E-2</c:v>
                </c:pt>
                <c:pt idx="7">
                  <c:v>2.9889405619185808E-2</c:v>
                </c:pt>
                <c:pt idx="8">
                  <c:v>2.9379955290651447E-2</c:v>
                </c:pt>
                <c:pt idx="9">
                  <c:v>2.8740429096328457E-2</c:v>
                </c:pt>
                <c:pt idx="10">
                  <c:v>2.7974640358043965E-2</c:v>
                </c:pt>
                <c:pt idx="11">
                  <c:v>2.7109845421020403E-2</c:v>
                </c:pt>
                <c:pt idx="12">
                  <c:v>2.6197496586775868E-2</c:v>
                </c:pt>
                <c:pt idx="13">
                  <c:v>2.5138571838510121E-2</c:v>
                </c:pt>
                <c:pt idx="14">
                  <c:v>2.4164254790813564E-2</c:v>
                </c:pt>
                <c:pt idx="15">
                  <c:v>2.3315129097923604E-2</c:v>
                </c:pt>
                <c:pt idx="16">
                  <c:v>2.2605330920951378E-2</c:v>
                </c:pt>
                <c:pt idx="17">
                  <c:v>2.2027219380281626E-2</c:v>
                </c:pt>
                <c:pt idx="18">
                  <c:v>2.1572472550908797E-2</c:v>
                </c:pt>
                <c:pt idx="19">
                  <c:v>2.1205537484139853E-2</c:v>
                </c:pt>
                <c:pt idx="20">
                  <c:v>2.0904246886402203E-2</c:v>
                </c:pt>
                <c:pt idx="21">
                  <c:v>2.0650302481000374E-2</c:v>
                </c:pt>
                <c:pt idx="22">
                  <c:v>2.0429677555327892E-2</c:v>
                </c:pt>
                <c:pt idx="23">
                  <c:v>2.025794540695381E-2</c:v>
                </c:pt>
                <c:pt idx="24">
                  <c:v>2.0101956996447061E-2</c:v>
                </c:pt>
                <c:pt idx="25">
                  <c:v>1.9956663899763721E-2</c:v>
                </c:pt>
                <c:pt idx="26">
                  <c:v>1.9818598924614371E-2</c:v>
                </c:pt>
                <c:pt idx="27">
                  <c:v>1.9685401830273497E-2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9.6329818300335598E-3</c:v>
                </c:pt>
                <c:pt idx="1">
                  <c:v>9.2303429293741478E-3</c:v>
                </c:pt>
                <c:pt idx="2">
                  <c:v>8.8276409691577726E-3</c:v>
                </c:pt>
                <c:pt idx="3">
                  <c:v>8.4248662164749522E-3</c:v>
                </c:pt>
                <c:pt idx="4">
                  <c:v>8.0220124249604091E-3</c:v>
                </c:pt>
                <c:pt idx="5">
                  <c:v>7.6190816848594762E-3</c:v>
                </c:pt>
                <c:pt idx="6">
                  <c:v>7.2160927201254874E-3</c:v>
                </c:pt>
                <c:pt idx="7">
                  <c:v>6.8130944825055282E-3</c:v>
                </c:pt>
                <c:pt idx="8">
                  <c:v>6.7505615046608717E-3</c:v>
                </c:pt>
                <c:pt idx="9">
                  <c:v>6.687513817148113E-3</c:v>
                </c:pt>
                <c:pt idx="10">
                  <c:v>6.6238001984855579E-3</c:v>
                </c:pt>
                <c:pt idx="11">
                  <c:v>6.5592529229094422E-3</c:v>
                </c:pt>
                <c:pt idx="12">
                  <c:v>6.4937121163509172E-3</c:v>
                </c:pt>
                <c:pt idx="13">
                  <c:v>6.4270728469293468E-3</c:v>
                </c:pt>
                <c:pt idx="14">
                  <c:v>6.3593564982319557E-3</c:v>
                </c:pt>
                <c:pt idx="15">
                  <c:v>6.2907902360815155E-3</c:v>
                </c:pt>
                <c:pt idx="16">
                  <c:v>6.2218512589350197E-3</c:v>
                </c:pt>
                <c:pt idx="17">
                  <c:v>6.1532195882066229E-3</c:v>
                </c:pt>
                <c:pt idx="18">
                  <c:v>6.0856202831816404E-3</c:v>
                </c:pt>
                <c:pt idx="19">
                  <c:v>6.0196183970710158E-3</c:v>
                </c:pt>
                <c:pt idx="20">
                  <c:v>5.9554802171725083E-3</c:v>
                </c:pt>
                <c:pt idx="21">
                  <c:v>5.8931672629732625E-3</c:v>
                </c:pt>
                <c:pt idx="22">
                  <c:v>5.832433431939581E-3</c:v>
                </c:pt>
                <c:pt idx="23">
                  <c:v>5.7729476393109692E-3</c:v>
                </c:pt>
                <c:pt idx="24">
                  <c:v>5.7143853339199843E-3</c:v>
                </c:pt>
                <c:pt idx="25">
                  <c:v>5.6564746349533519E-3</c:v>
                </c:pt>
                <c:pt idx="26">
                  <c:v>5.5990082800811023E-3</c:v>
                </c:pt>
                <c:pt idx="27">
                  <c:v>5.5418375817325935E-3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1.2057520951081122E-2</c:v>
                </c:pt>
                <c:pt idx="1">
                  <c:v>1.1579972487508333E-2</c:v>
                </c:pt>
                <c:pt idx="2">
                  <c:v>1.110234923236798E-2</c:v>
                </c:pt>
                <c:pt idx="3">
                  <c:v>1.0624639641976727E-2</c:v>
                </c:pt>
                <c:pt idx="4">
                  <c:v>1.0146836307854828E-2</c:v>
                </c:pt>
                <c:pt idx="5">
                  <c:v>9.6689417091304648E-3</c:v>
                </c:pt>
                <c:pt idx="6">
                  <c:v>9.1909780532831772E-3</c:v>
                </c:pt>
                <c:pt idx="7">
                  <c:v>8.7130033993618287E-3</c:v>
                </c:pt>
                <c:pt idx="8">
                  <c:v>8.6388363791274694E-3</c:v>
                </c:pt>
                <c:pt idx="9">
                  <c:v>8.5640588892867565E-3</c:v>
                </c:pt>
                <c:pt idx="10">
                  <c:v>8.4884915741288425E-3</c:v>
                </c:pt>
                <c:pt idx="11">
                  <c:v>8.4119355030967055E-3</c:v>
                </c:pt>
                <c:pt idx="12">
                  <c:v>8.3342010581086857E-3</c:v>
                </c:pt>
                <c:pt idx="13">
                  <c:v>8.2551637850738005E-3</c:v>
                </c:pt>
                <c:pt idx="14">
                  <c:v>8.1748490459210808E-3</c:v>
                </c:pt>
                <c:pt idx="15">
                  <c:v>8.093526269882188E-3</c:v>
                </c:pt>
                <c:pt idx="16">
                  <c:v>8.0117614365223903E-3</c:v>
                </c:pt>
                <c:pt idx="17">
                  <c:v>7.9303610828677807E-3</c:v>
                </c:pt>
                <c:pt idx="18">
                  <c:v>7.8501851629544286E-3</c:v>
                </c:pt>
                <c:pt idx="19">
                  <c:v>7.7719038561720605E-3</c:v>
                </c:pt>
                <c:pt idx="20">
                  <c:v>7.6958329916412722E-3</c:v>
                </c:pt>
                <c:pt idx="21">
                  <c:v>7.6219269296840279E-3</c:v>
                </c:pt>
                <c:pt idx="22">
                  <c:v>7.5498937812487309E-3</c:v>
                </c:pt>
                <c:pt idx="23">
                  <c:v>7.4793408644101434E-3</c:v>
                </c:pt>
                <c:pt idx="24">
                  <c:v>7.4098832463882769E-3</c:v>
                </c:pt>
                <c:pt idx="25">
                  <c:v>7.3411984638929693E-3</c:v>
                </c:pt>
                <c:pt idx="26">
                  <c:v>7.2730406941607668E-3</c:v>
                </c:pt>
                <c:pt idx="27">
                  <c:v>7.205233586817187E-3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1.2594506619149039E-2</c:v>
                </c:pt>
                <c:pt idx="1">
                  <c:v>1.206797882597904E-2</c:v>
                </c:pt>
                <c:pt idx="2">
                  <c:v>1.1541368570311471E-2</c:v>
                </c:pt>
                <c:pt idx="3">
                  <c:v>1.1014663124495476E-2</c:v>
                </c:pt>
                <c:pt idx="4">
                  <c:v>1.0487854320207227E-2</c:v>
                </c:pt>
                <c:pt idx="5">
                  <c:v>9.9609448908444705E-3</c:v>
                </c:pt>
                <c:pt idx="6">
                  <c:v>9.4339593215769443E-3</c:v>
                </c:pt>
                <c:pt idx="7">
                  <c:v>8.9069616262277655E-3</c:v>
                </c:pt>
                <c:pt idx="8">
                  <c:v>8.8251877321232179E-3</c:v>
                </c:pt>
                <c:pt idx="9">
                  <c:v>8.7427407561449927E-3</c:v>
                </c:pt>
                <c:pt idx="10">
                  <c:v>8.6594229471247293E-3</c:v>
                </c:pt>
                <c:pt idx="11">
                  <c:v>8.5750149713713468E-3</c:v>
                </c:pt>
                <c:pt idx="12">
                  <c:v>8.4893077627948149E-3</c:v>
                </c:pt>
                <c:pt idx="13">
                  <c:v>8.4021641027819914E-3</c:v>
                </c:pt>
                <c:pt idx="14">
                  <c:v>8.3136119544854042E-3</c:v>
                </c:pt>
                <c:pt idx="15">
                  <c:v>8.2239483809040601E-3</c:v>
                </c:pt>
                <c:pt idx="16">
                  <c:v>8.1337974107894093E-3</c:v>
                </c:pt>
                <c:pt idx="17">
                  <c:v>8.0440483029138136E-3</c:v>
                </c:pt>
                <c:pt idx="18">
                  <c:v>7.9556492117272993E-3</c:v>
                </c:pt>
                <c:pt idx="19">
                  <c:v>7.8693390529672516E-3</c:v>
                </c:pt>
                <c:pt idx="20">
                  <c:v>7.7854660484845883E-3</c:v>
                </c:pt>
                <c:pt idx="21">
                  <c:v>7.7039798776086521E-3</c:v>
                </c:pt>
                <c:pt idx="22">
                  <c:v>7.6245587139492218E-3</c:v>
                </c:pt>
                <c:pt idx="23">
                  <c:v>7.5467696005118053E-3</c:v>
                </c:pt>
                <c:pt idx="24">
                  <c:v>7.4701881242312867E-3</c:v>
                </c:pt>
                <c:pt idx="25">
                  <c:v>7.3944587486595367E-3</c:v>
                </c:pt>
                <c:pt idx="26">
                  <c:v>7.3193104384419805E-3</c:v>
                </c:pt>
                <c:pt idx="27">
                  <c:v>7.2445487559862371E-3</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9.6278470383299765E-3</c:v>
                </c:pt>
                <c:pt idx="1">
                  <c:v>9.2252081376705663E-3</c:v>
                </c:pt>
                <c:pt idx="2">
                  <c:v>8.8225061774541876E-3</c:v>
                </c:pt>
                <c:pt idx="3">
                  <c:v>8.4197314247713689E-3</c:v>
                </c:pt>
                <c:pt idx="4">
                  <c:v>8.0168776332568241E-3</c:v>
                </c:pt>
                <c:pt idx="5">
                  <c:v>7.6139468931558946E-3</c:v>
                </c:pt>
                <c:pt idx="6">
                  <c:v>7.2109579284219049E-3</c:v>
                </c:pt>
                <c:pt idx="7">
                  <c:v>6.8079596908019449E-3</c:v>
                </c:pt>
                <c:pt idx="8">
                  <c:v>6.7454267129572901E-3</c:v>
                </c:pt>
                <c:pt idx="9">
                  <c:v>6.6823790254445297E-3</c:v>
                </c:pt>
                <c:pt idx="10">
                  <c:v>6.6186654067819746E-3</c:v>
                </c:pt>
                <c:pt idx="11">
                  <c:v>6.5541181312058598E-3</c:v>
                </c:pt>
                <c:pt idx="12">
                  <c:v>6.4885773246473348E-3</c:v>
                </c:pt>
                <c:pt idx="13">
                  <c:v>6.4219380552257644E-3</c:v>
                </c:pt>
                <c:pt idx="14">
                  <c:v>6.3542217065283733E-3</c:v>
                </c:pt>
                <c:pt idx="15">
                  <c:v>6.2856554443779331E-3</c:v>
                </c:pt>
                <c:pt idx="16">
                  <c:v>6.2167164672314373E-3</c:v>
                </c:pt>
                <c:pt idx="17">
                  <c:v>6.1480847965030404E-3</c:v>
                </c:pt>
                <c:pt idx="18">
                  <c:v>6.080485491478058E-3</c:v>
                </c:pt>
                <c:pt idx="19">
                  <c:v>6.0144836053674334E-3</c:v>
                </c:pt>
                <c:pt idx="20">
                  <c:v>5.9503454254689267E-3</c:v>
                </c:pt>
                <c:pt idx="21">
                  <c:v>5.8880324712696818E-3</c:v>
                </c:pt>
                <c:pt idx="22">
                  <c:v>5.8272986402359986E-3</c:v>
                </c:pt>
                <c:pt idx="23">
                  <c:v>5.7678128476073868E-3</c:v>
                </c:pt>
                <c:pt idx="24">
                  <c:v>5.7092505422164019E-3</c:v>
                </c:pt>
                <c:pt idx="25">
                  <c:v>5.6513398432497686E-3</c:v>
                </c:pt>
                <c:pt idx="26">
                  <c:v>5.5938734883775199E-3</c:v>
                </c:pt>
                <c:pt idx="27">
                  <c:v>5.5367027900290119E-3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2.4923789525740158E-2</c:v>
                </c:pt>
                <c:pt idx="1">
                  <c:v>2.4416083715852424E-2</c:v>
                </c:pt>
                <c:pt idx="2">
                  <c:v>2.3906967115697828E-2</c:v>
                </c:pt>
                <c:pt idx="3">
                  <c:v>2.3548562090972724E-2</c:v>
                </c:pt>
                <c:pt idx="4">
                  <c:v>2.3187284113625063E-2</c:v>
                </c:pt>
                <c:pt idx="5">
                  <c:v>2.2821977349752443E-2</c:v>
                </c:pt>
                <c:pt idx="6">
                  <c:v>2.2451044304131057E-2</c:v>
                </c:pt>
                <c:pt idx="7">
                  <c:v>2.2072301620546561E-2</c:v>
                </c:pt>
                <c:pt idx="8">
                  <c:v>2.2018091090346213E-2</c:v>
                </c:pt>
                <c:pt idx="9">
                  <c:v>2.1947852501608051E-2</c:v>
                </c:pt>
                <c:pt idx="10">
                  <c:v>2.1855907554102088E-2</c:v>
                </c:pt>
                <c:pt idx="11">
                  <c:v>2.1735347784127789E-2</c:v>
                </c:pt>
                <c:pt idx="12">
                  <c:v>2.1578529990514954E-2</c:v>
                </c:pt>
                <c:pt idx="13">
                  <c:v>2.1037981815482987E-2</c:v>
                </c:pt>
                <c:pt idx="14">
                  <c:v>2.0456140000173005E-2</c:v>
                </c:pt>
                <c:pt idx="15">
                  <c:v>1.9836633727021439E-2</c:v>
                </c:pt>
                <c:pt idx="16">
                  <c:v>1.9191178924685852E-2</c:v>
                </c:pt>
                <c:pt idx="17">
                  <c:v>1.8539099314420805E-2</c:v>
                </c:pt>
                <c:pt idx="18">
                  <c:v>1.7927125563217079E-2</c:v>
                </c:pt>
                <c:pt idx="19">
                  <c:v>1.7350683006029509E-2</c:v>
                </c:pt>
                <c:pt idx="20">
                  <c:v>1.6821913666525579E-2</c:v>
                </c:pt>
                <c:pt idx="21">
                  <c:v>1.6343730764072611E-2</c:v>
                </c:pt>
                <c:pt idx="22">
                  <c:v>1.5911914678636535E-2</c:v>
                </c:pt>
                <c:pt idx="23">
                  <c:v>1.5569844571100338E-2</c:v>
                </c:pt>
                <c:pt idx="24">
                  <c:v>1.5257113301882359E-2</c:v>
                </c:pt>
                <c:pt idx="25">
                  <c:v>1.4966023619376432E-2</c:v>
                </c:pt>
                <c:pt idx="26">
                  <c:v>1.4690356690689721E-2</c:v>
                </c:pt>
                <c:pt idx="27">
                  <c:v>1.4425422774934169E-2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2.9910973319097162E-2</c:v>
                </c:pt>
                <c:pt idx="1">
                  <c:v>2.9315496469921227E-2</c:v>
                </c:pt>
                <c:pt idx="2">
                  <c:v>2.8718384679899428E-2</c:v>
                </c:pt>
                <c:pt idx="3">
                  <c:v>2.829808434851017E-2</c:v>
                </c:pt>
                <c:pt idx="4">
                  <c:v>2.7874454497744623E-2</c:v>
                </c:pt>
                <c:pt idx="5">
                  <c:v>2.7446155146313565E-2</c:v>
                </c:pt>
                <c:pt idx="6">
                  <c:v>2.7011334002958715E-2</c:v>
                </c:pt>
                <c:pt idx="7">
                  <c:v>2.6567458991246292E-2</c:v>
                </c:pt>
                <c:pt idx="8">
                  <c:v>2.6504432101979364E-2</c:v>
                </c:pt>
                <c:pt idx="9">
                  <c:v>2.6422826408124191E-2</c:v>
                </c:pt>
                <c:pt idx="10">
                  <c:v>2.6316056131214387E-2</c:v>
                </c:pt>
                <c:pt idx="11">
                  <c:v>2.6176105056044334E-2</c:v>
                </c:pt>
                <c:pt idx="12">
                  <c:v>2.5994097666884354E-2</c:v>
                </c:pt>
                <c:pt idx="13">
                  <c:v>2.5362343583974711E-2</c:v>
                </c:pt>
                <c:pt idx="14">
                  <c:v>2.4682597805428017E-2</c:v>
                </c:pt>
                <c:pt idx="15">
                  <c:v>2.3959015191690601E-2</c:v>
                </c:pt>
                <c:pt idx="16">
                  <c:v>2.3205138511366304E-2</c:v>
                </c:pt>
                <c:pt idx="17">
                  <c:v>2.2443368044398605E-2</c:v>
                </c:pt>
                <c:pt idx="18">
                  <c:v>2.1728297258878836E-2</c:v>
                </c:pt>
                <c:pt idx="19">
                  <c:v>2.1054348455654653E-2</c:v>
                </c:pt>
                <c:pt idx="20">
                  <c:v>2.0435696460498705E-2</c:v>
                </c:pt>
                <c:pt idx="21">
                  <c:v>1.9875792067660186E-2</c:v>
                </c:pt>
                <c:pt idx="22">
                  <c:v>1.9369778474017628E-2</c:v>
                </c:pt>
                <c:pt idx="23">
                  <c:v>1.8968776330358102E-2</c:v>
                </c:pt>
                <c:pt idx="24">
                  <c:v>1.8601909865228992E-2</c:v>
                </c:pt>
                <c:pt idx="25">
                  <c:v>1.8260230928546645E-2</c:v>
                </c:pt>
                <c:pt idx="26">
                  <c:v>1.7936505848952837E-2</c:v>
                </c:pt>
                <c:pt idx="27">
                  <c:v>1.7625277468725924E-2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3.2051015374837219E-2</c:v>
                </c:pt>
                <c:pt idx="1">
                  <c:v>3.1398165086876831E-2</c:v>
                </c:pt>
                <c:pt idx="2">
                  <c:v>3.0743539906185859E-2</c:v>
                </c:pt>
                <c:pt idx="3">
                  <c:v>3.0282800930662816E-2</c:v>
                </c:pt>
                <c:pt idx="4">
                  <c:v>2.9818447368746896E-2</c:v>
                </c:pt>
                <c:pt idx="5">
                  <c:v>2.9349024516550075E-2</c:v>
                </c:pt>
                <c:pt idx="6">
                  <c:v>2.8872521461947485E-2</c:v>
                </c:pt>
                <c:pt idx="7">
                  <c:v>2.8386189203195997E-2</c:v>
                </c:pt>
                <c:pt idx="8">
                  <c:v>2.8317580410948624E-2</c:v>
                </c:pt>
                <c:pt idx="9">
                  <c:v>2.8228798646464177E-2</c:v>
                </c:pt>
                <c:pt idx="10">
                  <c:v>2.8112690888630089E-2</c:v>
                </c:pt>
                <c:pt idx="11">
                  <c:v>2.7960548382774002E-2</c:v>
                </c:pt>
                <c:pt idx="12">
                  <c:v>2.7762724988122794E-2</c:v>
                </c:pt>
                <c:pt idx="13">
                  <c:v>2.7072189546714948E-2</c:v>
                </c:pt>
                <c:pt idx="14">
                  <c:v>2.6329501331925895E-2</c:v>
                </c:pt>
                <c:pt idx="15">
                  <c:v>2.553915061458694E-2</c:v>
                </c:pt>
                <c:pt idx="16">
                  <c:v>2.47158266671311E-2</c:v>
                </c:pt>
                <c:pt idx="17">
                  <c:v>2.3883853367289494E-2</c:v>
                </c:pt>
                <c:pt idx="18">
                  <c:v>2.3102855006681904E-2</c:v>
                </c:pt>
                <c:pt idx="19">
                  <c:v>2.2366495919640256E-2</c:v>
                </c:pt>
                <c:pt idx="20">
                  <c:v>2.1690212573240886E-2</c:v>
                </c:pt>
                <c:pt idx="21">
                  <c:v>2.1077783682357104E-2</c:v>
                </c:pt>
                <c:pt idx="22">
                  <c:v>2.0523948219300835E-2</c:v>
                </c:pt>
                <c:pt idx="23">
                  <c:v>2.0084921325401302E-2</c:v>
                </c:pt>
                <c:pt idx="24">
                  <c:v>1.9683021349668296E-2</c:v>
                </c:pt>
                <c:pt idx="25">
                  <c:v>1.9308518717720647E-2</c:v>
                </c:pt>
                <c:pt idx="26">
                  <c:v>1.8953546351367111E-2</c:v>
                </c:pt>
                <c:pt idx="27">
                  <c:v>1.8612168464710442E-2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2.4918266961334933E-2</c:v>
                </c:pt>
                <c:pt idx="1">
                  <c:v>2.4410561233353702E-2</c:v>
                </c:pt>
                <c:pt idx="2">
                  <c:v>2.3901444750440416E-2</c:v>
                </c:pt>
                <c:pt idx="3">
                  <c:v>2.3543039893424933E-2</c:v>
                </c:pt>
                <c:pt idx="4">
                  <c:v>2.3181762155746164E-2</c:v>
                </c:pt>
                <c:pt idx="5">
                  <c:v>2.2816455733881552E-2</c:v>
                </c:pt>
                <c:pt idx="6">
                  <c:v>2.2445523175259358E-2</c:v>
                </c:pt>
                <c:pt idx="7">
                  <c:v>2.2066781182933846E-2</c:v>
                </c:pt>
                <c:pt idx="8">
                  <c:v>2.2012571629341442E-2</c:v>
                </c:pt>
                <c:pt idx="9">
                  <c:v>2.1942334410913266E-2</c:v>
                </c:pt>
                <c:pt idx="10">
                  <c:v>2.1850391367026472E-2</c:v>
                </c:pt>
                <c:pt idx="11">
                  <c:v>2.1729834203805101E-2</c:v>
                </c:pt>
                <c:pt idx="12">
                  <c:v>2.1573019907867384E-2</c:v>
                </c:pt>
                <c:pt idx="13">
                  <c:v>2.1032476295450922E-2</c:v>
                </c:pt>
                <c:pt idx="14">
                  <c:v>2.045064021068952E-2</c:v>
                </c:pt>
                <c:pt idx="15">
                  <c:v>1.98311407916264E-2</c:v>
                </c:pt>
                <c:pt idx="16">
                  <c:v>1.9185693710422762E-2</c:v>
                </c:pt>
                <c:pt idx="17">
                  <c:v>1.8533622217789682E-2</c:v>
                </c:pt>
                <c:pt idx="18">
                  <c:v>1.7921656391250589E-2</c:v>
                </c:pt>
                <c:pt idx="19">
                  <c:v>1.7345221019616965E-2</c:v>
                </c:pt>
                <c:pt idx="20">
                  <c:v>1.6816457765628845E-2</c:v>
                </c:pt>
                <c:pt idx="21">
                  <c:v>1.6338279722616832E-2</c:v>
                </c:pt>
                <c:pt idx="22">
                  <c:v>1.5906467336826047E-2</c:v>
                </c:pt>
                <c:pt idx="23">
                  <c:v>1.5564399944244673E-2</c:v>
                </c:pt>
                <c:pt idx="24">
                  <c:v>1.5251670613805475E-2</c:v>
                </c:pt>
                <c:pt idx="25">
                  <c:v>1.4960582288918904E-2</c:v>
                </c:pt>
                <c:pt idx="26">
                  <c:v>1.4684916297863858E-2</c:v>
                </c:pt>
                <c:pt idx="27">
                  <c:v>1.4419983023509615E-2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2.2998315569490169E-2</c:v>
                </c:pt>
                <c:pt idx="1">
                  <c:v>2.2634393024589864E-2</c:v>
                </c:pt>
                <c:pt idx="2">
                  <c:v>2.2269124946536122E-2</c:v>
                </c:pt>
                <c:pt idx="3">
                  <c:v>2.2027073534644448E-2</c:v>
                </c:pt>
                <c:pt idx="4">
                  <c:v>2.1782270453848895E-2</c:v>
                </c:pt>
                <c:pt idx="5">
                  <c:v>2.1533589484089601E-2</c:v>
                </c:pt>
                <c:pt idx="6">
                  <c:v>2.1279464879605935E-2</c:v>
                </c:pt>
                <c:pt idx="7">
                  <c:v>2.1017742929588933E-2</c:v>
                </c:pt>
                <c:pt idx="8">
                  <c:v>2.1105606201828202E-2</c:v>
                </c:pt>
                <c:pt idx="9">
                  <c:v>2.1177650656048017E-2</c:v>
                </c:pt>
                <c:pt idx="10">
                  <c:v>2.1228129308547696E-2</c:v>
                </c:pt>
                <c:pt idx="11">
                  <c:v>2.1249968711118561E-2</c:v>
                </c:pt>
                <c:pt idx="12">
                  <c:v>2.1235210753194091E-2</c:v>
                </c:pt>
                <c:pt idx="13">
                  <c:v>2.0757534740871265E-2</c:v>
                </c:pt>
                <c:pt idx="14">
                  <c:v>2.0237962247108485E-2</c:v>
                </c:pt>
                <c:pt idx="15">
                  <c:v>1.9679530491505962E-2</c:v>
                </c:pt>
                <c:pt idx="16">
                  <c:v>1.9093323968095103E-2</c:v>
                </c:pt>
                <c:pt idx="17">
                  <c:v>1.8498195424155255E-2</c:v>
                </c:pt>
                <c:pt idx="18">
                  <c:v>1.7938787287965219E-2</c:v>
                </c:pt>
                <c:pt idx="19">
                  <c:v>1.7412862322402797E-2</c:v>
                </c:pt>
                <c:pt idx="20">
                  <c:v>1.6933109923544031E-2</c:v>
                </c:pt>
                <c:pt idx="21">
                  <c:v>1.6503049519115902E-2</c:v>
                </c:pt>
                <c:pt idx="22">
                  <c:v>1.6118962823123577E-2</c:v>
                </c:pt>
                <c:pt idx="23">
                  <c:v>1.5785437393005246E-2</c:v>
                </c:pt>
                <c:pt idx="24">
                  <c:v>1.5481650037731495E-2</c:v>
                </c:pt>
                <c:pt idx="25">
                  <c:v>1.5199853200703779E-2</c:v>
                </c:pt>
                <c:pt idx="26">
                  <c:v>1.4933761037037892E-2</c:v>
                </c:pt>
                <c:pt idx="27">
                  <c:v>1.467861872983527E-2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2.7704612122780282E-2</c:v>
                </c:pt>
                <c:pt idx="1">
                  <c:v>2.7276786260452542E-2</c:v>
                </c:pt>
                <c:pt idx="2">
                  <c:v>2.6847387850271541E-2</c:v>
                </c:pt>
                <c:pt idx="3">
                  <c:v>2.6562864426850061E-2</c:v>
                </c:pt>
                <c:pt idx="4">
                  <c:v>2.6275125070392171E-2</c:v>
                </c:pt>
                <c:pt idx="5">
                  <c:v>2.5982853355860439E-2</c:v>
                </c:pt>
                <c:pt idx="6">
                  <c:v>2.5684218982168789E-2</c:v>
                </c:pt>
                <c:pt idx="7">
                  <c:v>2.5376704130295514E-2</c:v>
                </c:pt>
                <c:pt idx="8">
                  <c:v>2.5480271151020872E-2</c:v>
                </c:pt>
                <c:pt idx="9">
                  <c:v>2.5565350346154932E-2</c:v>
                </c:pt>
                <c:pt idx="10">
                  <c:v>2.5625223608772438E-2</c:v>
                </c:pt>
                <c:pt idx="11">
                  <c:v>2.5651620602087057E-2</c:v>
                </c:pt>
                <c:pt idx="12">
                  <c:v>2.5635233595032419E-2</c:v>
                </c:pt>
                <c:pt idx="13">
                  <c:v>2.5074783237540383E-2</c:v>
                </c:pt>
                <c:pt idx="14">
                  <c:v>2.446530343935386E-2</c:v>
                </c:pt>
                <c:pt idx="15">
                  <c:v>2.3810317647076126E-2</c:v>
                </c:pt>
                <c:pt idx="16">
                  <c:v>2.3122761313410338E-2</c:v>
                </c:pt>
                <c:pt idx="17">
                  <c:v>2.2424668389097346E-2</c:v>
                </c:pt>
                <c:pt idx="18">
                  <c:v>2.1768411470960286E-2</c:v>
                </c:pt>
                <c:pt idx="19">
                  <c:v>2.1151254240298498E-2</c:v>
                </c:pt>
                <c:pt idx="20">
                  <c:v>2.0588078496111439E-2</c:v>
                </c:pt>
                <c:pt idx="21">
                  <c:v>2.0083035604313407E-2</c:v>
                </c:pt>
                <c:pt idx="22">
                  <c:v>1.9631797839841821E-2</c:v>
                </c:pt>
                <c:pt idx="23">
                  <c:v>1.9239826931317892E-2</c:v>
                </c:pt>
                <c:pt idx="24">
                  <c:v>1.888267749383328E-2</c:v>
                </c:pt>
                <c:pt idx="25">
                  <c:v>1.8551281573668005E-2</c:v>
                </c:pt>
                <c:pt idx="26">
                  <c:v>1.8238279842685313E-2</c:v>
                </c:pt>
                <c:pt idx="27">
                  <c:v>1.7938104362861515E-2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2.9676751363664457E-2</c:v>
                </c:pt>
                <c:pt idx="1">
                  <c:v>2.920714989292654E-2</c:v>
                </c:pt>
                <c:pt idx="2">
                  <c:v>2.873583060407546E-2</c:v>
                </c:pt>
                <c:pt idx="3">
                  <c:v>2.8423552028754601E-2</c:v>
                </c:pt>
                <c:pt idx="4">
                  <c:v>2.8107760404359153E-2</c:v>
                </c:pt>
                <c:pt idx="5">
                  <c:v>2.7787017661645853E-2</c:v>
                </c:pt>
                <c:pt idx="6">
                  <c:v>2.7459324341886956E-2</c:v>
                </c:pt>
                <c:pt idx="7">
                  <c:v>2.712192986719128E-2</c:v>
                </c:pt>
                <c:pt idx="8">
                  <c:v>2.7235852180523733E-2</c:v>
                </c:pt>
                <c:pt idx="9">
                  <c:v>2.7329576842627164E-2</c:v>
                </c:pt>
                <c:pt idx="10">
                  <c:v>2.7395763333870924E-2</c:v>
                </c:pt>
                <c:pt idx="11">
                  <c:v>2.7425374041799809E-2</c:v>
                </c:pt>
                <c:pt idx="12">
                  <c:v>2.7408235781535735E-2</c:v>
                </c:pt>
                <c:pt idx="13">
                  <c:v>2.6794073638392771E-2</c:v>
                </c:pt>
                <c:pt idx="14">
                  <c:v>2.6126323822633489E-2</c:v>
                </c:pt>
                <c:pt idx="15">
                  <c:v>2.5408824173406577E-2</c:v>
                </c:pt>
                <c:pt idx="16">
                  <c:v>2.4655697756796185E-2</c:v>
                </c:pt>
                <c:pt idx="17">
                  <c:v>2.3891016404811866E-2</c:v>
                </c:pt>
                <c:pt idx="18">
                  <c:v>2.317215378628816E-2</c:v>
                </c:pt>
                <c:pt idx="19">
                  <c:v>2.2495997487190042E-2</c:v>
                </c:pt>
                <c:pt idx="20">
                  <c:v>2.1878829544572508E-2</c:v>
                </c:pt>
                <c:pt idx="21">
                  <c:v>2.1325202536807752E-2</c:v>
                </c:pt>
                <c:pt idx="22">
                  <c:v>2.0830395878233515E-2</c:v>
                </c:pt>
                <c:pt idx="23">
                  <c:v>2.0400458555636852E-2</c:v>
                </c:pt>
                <c:pt idx="24">
                  <c:v>2.0008595690240959E-2</c:v>
                </c:pt>
                <c:pt idx="25">
                  <c:v>1.9644893713110449E-2</c:v>
                </c:pt>
                <c:pt idx="26">
                  <c:v>1.9301306085896919E-2</c:v>
                </c:pt>
                <c:pt idx="27">
                  <c:v>1.897174450614468E-2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2.2992877245920678E-2</c:v>
                </c:pt>
                <c:pt idx="1">
                  <c:v>2.2628954740214785E-2</c:v>
                </c:pt>
                <c:pt idx="2">
                  <c:v>2.2263686718265549E-2</c:v>
                </c:pt>
                <c:pt idx="3">
                  <c:v>2.2021635386632432E-2</c:v>
                </c:pt>
                <c:pt idx="4">
                  <c:v>2.1776832420538191E-2</c:v>
                </c:pt>
                <c:pt idx="5">
                  <c:v>2.1528151614470435E-2</c:v>
                </c:pt>
                <c:pt idx="6">
                  <c:v>2.1274027243099305E-2</c:v>
                </c:pt>
                <c:pt idx="7">
                  <c:v>2.1012305624019484E-2</c:v>
                </c:pt>
                <c:pt idx="8">
                  <c:v>2.1100169363908218E-2</c:v>
                </c:pt>
                <c:pt idx="9">
                  <c:v>2.1172214474504937E-2</c:v>
                </c:pt>
                <c:pt idx="10">
                  <c:v>2.1222694039229439E-2</c:v>
                </c:pt>
                <c:pt idx="11">
                  <c:v>2.1244534691713526E-2</c:v>
                </c:pt>
                <c:pt idx="12">
                  <c:v>2.1229778412241357E-2</c:v>
                </c:pt>
                <c:pt idx="13">
                  <c:v>2.0752104591739928E-2</c:v>
                </c:pt>
                <c:pt idx="14">
                  <c:v>2.023253485460106E-2</c:v>
                </c:pt>
                <c:pt idx="15">
                  <c:v>1.967410640157554E-2</c:v>
                </c:pt>
                <c:pt idx="16">
                  <c:v>1.9087903605694137E-2</c:v>
                </c:pt>
                <c:pt idx="17">
                  <c:v>1.8492778988924992E-2</c:v>
                </c:pt>
                <c:pt idx="18">
                  <c:v>1.7933374694707696E-2</c:v>
                </c:pt>
                <c:pt idx="19">
                  <c:v>1.7407453219775632E-2</c:v>
                </c:pt>
                <c:pt idx="20">
                  <c:v>1.6927703782377852E-2</c:v>
                </c:pt>
                <c:pt idx="21">
                  <c:v>1.6497645746193251E-2</c:v>
                </c:pt>
                <c:pt idx="22">
                  <c:v>1.6113560855271731E-2</c:v>
                </c:pt>
                <c:pt idx="23">
                  <c:v>1.5780036750920552E-2</c:v>
                </c:pt>
                <c:pt idx="24">
                  <c:v>1.5476250342977905E-2</c:v>
                </c:pt>
                <c:pt idx="25">
                  <c:v>1.5194454169604736E-2</c:v>
                </c:pt>
                <c:pt idx="26">
                  <c:v>1.4928362464427932E-2</c:v>
                </c:pt>
                <c:pt idx="27">
                  <c:v>1.4673220470927728E-2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4.2129683891405201E-2</c:v>
                </c:pt>
                <c:pt idx="1">
                  <c:v>4.0611689626645735E-2</c:v>
                </c:pt>
                <c:pt idx="2">
                  <c:v>3.9092656946201787E-2</c:v>
                </c:pt>
                <c:pt idx="3">
                  <c:v>3.7722627064995927E-2</c:v>
                </c:pt>
                <c:pt idx="4">
                  <c:v>3.6350607101092142E-2</c:v>
                </c:pt>
                <c:pt idx="5">
                  <c:v>3.4975876510663917E-2</c:v>
                </c:pt>
                <c:pt idx="6">
                  <c:v>3.3597476576523962E-2</c:v>
                </c:pt>
                <c:pt idx="7">
                  <c:v>3.2214151545508815E-2</c:v>
                </c:pt>
                <c:pt idx="8">
                  <c:v>3.1536854593077659E-2</c:v>
                </c:pt>
                <c:pt idx="9">
                  <c:v>3.0849387802531499E-2</c:v>
                </c:pt>
                <c:pt idx="10">
                  <c:v>3.0148468469748758E-2</c:v>
                </c:pt>
                <c:pt idx="11">
                  <c:v>2.9430266740142881E-2</c:v>
                </c:pt>
                <c:pt idx="12">
                  <c:v>2.8690802840276364E-2</c:v>
                </c:pt>
                <c:pt idx="13">
                  <c:v>2.7780428420692425E-2</c:v>
                </c:pt>
                <c:pt idx="14">
                  <c:v>2.6845881787997156E-2</c:v>
                </c:pt>
                <c:pt idx="15">
                  <c:v>2.5890425466203595E-2</c:v>
                </c:pt>
                <c:pt idx="16">
                  <c:v>2.4922408539528273E-2</c:v>
                </c:pt>
                <c:pt idx="17">
                  <c:v>2.3954708730572722E-2</c:v>
                </c:pt>
                <c:pt idx="18">
                  <c:v>2.3236140868807494E-2</c:v>
                </c:pt>
                <c:pt idx="19">
                  <c:v>2.2541569638306926E-2</c:v>
                </c:pt>
                <c:pt idx="20">
                  <c:v>2.1878399800555479E-2</c:v>
                </c:pt>
                <c:pt idx="21">
                  <c:v>2.1248132866068851E-2</c:v>
                </c:pt>
                <c:pt idx="22">
                  <c:v>2.0647765371884147E-2</c:v>
                </c:pt>
                <c:pt idx="23">
                  <c:v>2.0222097306986396E-2</c:v>
                </c:pt>
                <c:pt idx="24">
                  <c:v>1.9814768152020018E-2</c:v>
                </c:pt>
                <c:pt idx="25">
                  <c:v>1.9420935195158577E-2</c:v>
                </c:pt>
                <c:pt idx="26">
                  <c:v>1.90366953960317E-2</c:v>
                </c:pt>
                <c:pt idx="27">
                  <c:v>1.86591129127694E-2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5.0400453579734043E-2</c:v>
                </c:pt>
                <c:pt idx="1">
                  <c:v>4.8607823135756102E-2</c:v>
                </c:pt>
                <c:pt idx="2">
                  <c:v>4.6813966405478705E-2</c:v>
                </c:pt>
                <c:pt idx="3">
                  <c:v>4.5196070125351297E-2</c:v>
                </c:pt>
                <c:pt idx="4">
                  <c:v>4.3575823715903114E-2</c:v>
                </c:pt>
                <c:pt idx="5">
                  <c:v>4.1952376272206798E-2</c:v>
                </c:pt>
                <c:pt idx="6">
                  <c:v>4.0324595625546716E-2</c:v>
                </c:pt>
                <c:pt idx="7">
                  <c:v>3.8690998831353671E-2</c:v>
                </c:pt>
                <c:pt idx="8">
                  <c:v>3.7891165021221355E-2</c:v>
                </c:pt>
                <c:pt idx="9">
                  <c:v>3.7079321441461754E-2</c:v>
                </c:pt>
                <c:pt idx="10">
                  <c:v>3.6251591479703207E-2</c:v>
                </c:pt>
                <c:pt idx="11">
                  <c:v>3.5403452382410175E-2</c:v>
                </c:pt>
                <c:pt idx="12">
                  <c:v>3.4530204353812752E-2</c:v>
                </c:pt>
                <c:pt idx="13">
                  <c:v>3.3455124600317437E-2</c:v>
                </c:pt>
                <c:pt idx="14">
                  <c:v>3.2351499386455332E-2</c:v>
                </c:pt>
                <c:pt idx="15">
                  <c:v>3.1223181493495625E-2</c:v>
                </c:pt>
                <c:pt idx="16">
                  <c:v>3.0080030525583952E-2</c:v>
                </c:pt>
                <c:pt idx="17">
                  <c:v>2.8937254048467132E-2</c:v>
                </c:pt>
                <c:pt idx="18">
                  <c:v>2.8088682578226044E-2</c:v>
                </c:pt>
                <c:pt idx="19">
                  <c:v>2.7268449220161386E-2</c:v>
                </c:pt>
                <c:pt idx="20">
                  <c:v>2.6485298408409449E-2</c:v>
                </c:pt>
                <c:pt idx="21">
                  <c:v>2.5741003307418134E-2</c:v>
                </c:pt>
                <c:pt idx="22">
                  <c:v>2.5032017066405704E-2</c:v>
                </c:pt>
                <c:pt idx="23">
                  <c:v>2.4529336951019498E-2</c:v>
                </c:pt>
                <c:pt idx="24">
                  <c:v>2.404831362908472E-2</c:v>
                </c:pt>
                <c:pt idx="25">
                  <c:v>2.3583228243255851E-2</c:v>
                </c:pt>
                <c:pt idx="26">
                  <c:v>2.3129471613409849E-2</c:v>
                </c:pt>
                <c:pt idx="27">
                  <c:v>2.2683576743895276E-2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5.47327667247514E-2</c:v>
                </c:pt>
                <c:pt idx="1">
                  <c:v>5.2760566471284451E-2</c:v>
                </c:pt>
                <c:pt idx="2">
                  <c:v>5.0787017093039039E-2</c:v>
                </c:pt>
                <c:pt idx="3">
                  <c:v>4.9007054321309071E-2</c:v>
                </c:pt>
                <c:pt idx="4">
                  <c:v>4.7224506005158789E-2</c:v>
                </c:pt>
                <c:pt idx="5">
                  <c:v>4.5438436003556418E-2</c:v>
                </c:pt>
                <c:pt idx="6">
                  <c:v>4.3647598737171625E-2</c:v>
                </c:pt>
                <c:pt idx="7">
                  <c:v>4.1850362713208411E-2</c:v>
                </c:pt>
                <c:pt idx="8">
                  <c:v>4.0970408649963805E-2</c:v>
                </c:pt>
                <c:pt idx="9">
                  <c:v>4.0077241784949272E-2</c:v>
                </c:pt>
                <c:pt idx="10">
                  <c:v>3.9166597181168078E-2</c:v>
                </c:pt>
                <c:pt idx="11">
                  <c:v>3.823349903577189E-2</c:v>
                </c:pt>
                <c:pt idx="12">
                  <c:v>3.7272776769158127E-2</c:v>
                </c:pt>
                <c:pt idx="13">
                  <c:v>3.6090005066566892E-2</c:v>
                </c:pt>
                <c:pt idx="14">
                  <c:v>3.4875828472711097E-2</c:v>
                </c:pt>
                <c:pt idx="15">
                  <c:v>3.3634485706296596E-2</c:v>
                </c:pt>
                <c:pt idx="16">
                  <c:v>3.2376824019115014E-2</c:v>
                </c:pt>
                <c:pt idx="17">
                  <c:v>3.1119574335892745E-2</c:v>
                </c:pt>
                <c:pt idx="18">
                  <c:v>3.0186000506263591E-2</c:v>
                </c:pt>
                <c:pt idx="19">
                  <c:v>2.9283603449407031E-2</c:v>
                </c:pt>
                <c:pt idx="20">
                  <c:v>2.8422003539270161E-2</c:v>
                </c:pt>
                <c:pt idx="21">
                  <c:v>2.7603151560179624E-2</c:v>
                </c:pt>
                <c:pt idx="22">
                  <c:v>2.6823145369318298E-2</c:v>
                </c:pt>
                <c:pt idx="23">
                  <c:v>2.6270111220920409E-2</c:v>
                </c:pt>
                <c:pt idx="24">
                  <c:v>2.5740903251352445E-2</c:v>
                </c:pt>
                <c:pt idx="25">
                  <c:v>2.5229229738891024E-2</c:v>
                </c:pt>
                <c:pt idx="26">
                  <c:v>2.4730019796651754E-2</c:v>
                </c:pt>
                <c:pt idx="27">
                  <c:v>2.4239459136126077E-2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4.2124403613936684E-2</c:v>
                </c:pt>
                <c:pt idx="1">
                  <c:v>4.0606409349177218E-2</c:v>
                </c:pt>
                <c:pt idx="2">
                  <c:v>3.9087376668733256E-2</c:v>
                </c:pt>
                <c:pt idx="3">
                  <c:v>3.7717346787527417E-2</c:v>
                </c:pt>
                <c:pt idx="4">
                  <c:v>3.6345326823623625E-2</c:v>
                </c:pt>
                <c:pt idx="5">
                  <c:v>3.49705962331954E-2</c:v>
                </c:pt>
                <c:pt idx="6">
                  <c:v>3.3592196299055445E-2</c:v>
                </c:pt>
                <c:pt idx="7">
                  <c:v>3.2208871268040291E-2</c:v>
                </c:pt>
                <c:pt idx="8">
                  <c:v>3.1531574315609143E-2</c:v>
                </c:pt>
                <c:pt idx="9">
                  <c:v>3.0844107525062982E-2</c:v>
                </c:pt>
                <c:pt idx="10">
                  <c:v>3.0143188192280242E-2</c:v>
                </c:pt>
                <c:pt idx="11">
                  <c:v>2.9424986462674364E-2</c:v>
                </c:pt>
                <c:pt idx="12">
                  <c:v>2.8685522562807847E-2</c:v>
                </c:pt>
                <c:pt idx="13">
                  <c:v>2.7775148143223904E-2</c:v>
                </c:pt>
                <c:pt idx="14">
                  <c:v>2.6840601510528639E-2</c:v>
                </c:pt>
                <c:pt idx="15">
                  <c:v>2.5885145188735078E-2</c:v>
                </c:pt>
                <c:pt idx="16">
                  <c:v>2.4917128262059756E-2</c:v>
                </c:pt>
                <c:pt idx="17">
                  <c:v>2.3949428453104209E-2</c:v>
                </c:pt>
                <c:pt idx="18">
                  <c:v>2.323086059133898E-2</c:v>
                </c:pt>
                <c:pt idx="19">
                  <c:v>2.2536289360838409E-2</c:v>
                </c:pt>
                <c:pt idx="20">
                  <c:v>2.1873119523086963E-2</c:v>
                </c:pt>
                <c:pt idx="21">
                  <c:v>2.1242852588600328E-2</c:v>
                </c:pt>
                <c:pt idx="22">
                  <c:v>2.064248509441563E-2</c:v>
                </c:pt>
                <c:pt idx="23">
                  <c:v>2.0216817029517883E-2</c:v>
                </c:pt>
                <c:pt idx="24">
                  <c:v>1.9809487874551505E-2</c:v>
                </c:pt>
                <c:pt idx="25">
                  <c:v>1.941565491769006E-2</c:v>
                </c:pt>
                <c:pt idx="26">
                  <c:v>1.9031415118563186E-2</c:v>
                </c:pt>
                <c:pt idx="27">
                  <c:v>1.8653832635300887E-2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6.4142656974671992E-3</c:v>
                </c:pt>
                <c:pt idx="1">
                  <c:v>6.2338140930852095E-3</c:v>
                </c:pt>
                <c:pt idx="2">
                  <c:v>6.0533514305393735E-3</c:v>
                </c:pt>
                <c:pt idx="3">
                  <c:v>5.8728807206088656E-3</c:v>
                </c:pt>
                <c:pt idx="4">
                  <c:v>5.692409637868559E-3</c:v>
                </c:pt>
                <c:pt idx="5">
                  <c:v>5.5119539329444717E-3</c:v>
                </c:pt>
                <c:pt idx="6">
                  <c:v>5.3315428102707983E-3</c:v>
                </c:pt>
                <c:pt idx="7">
                  <c:v>5.1512271589205533E-3</c:v>
                </c:pt>
                <c:pt idx="8">
                  <c:v>5.1236716179551434E-3</c:v>
                </c:pt>
                <c:pt idx="9">
                  <c:v>5.096077724557127E-3</c:v>
                </c:pt>
                <c:pt idx="10">
                  <c:v>5.0684463020238078E-3</c:v>
                </c:pt>
                <c:pt idx="11">
                  <c:v>5.0407860100282875E-3</c:v>
                </c:pt>
                <c:pt idx="12">
                  <c:v>5.0131186047361305E-3</c:v>
                </c:pt>
                <c:pt idx="13">
                  <c:v>4.985484907952707E-3</c:v>
                </c:pt>
                <c:pt idx="14">
                  <c:v>4.9579489722493585E-3</c:v>
                </c:pt>
                <c:pt idx="15">
                  <c:v>4.9305958366278081E-3</c:v>
                </c:pt>
                <c:pt idx="16">
                  <c:v>4.9035180512606909E-3</c:v>
                </c:pt>
                <c:pt idx="17">
                  <c:v>4.8767910918961366E-3</c:v>
                </c:pt>
                <c:pt idx="18">
                  <c:v>4.8504474393706067E-3</c:v>
                </c:pt>
                <c:pt idx="19">
                  <c:v>4.8244648070301707E-3</c:v>
                </c:pt>
                <c:pt idx="20">
                  <c:v>4.798776489092391E-3</c:v>
                </c:pt>
                <c:pt idx="21">
                  <c:v>4.7732962837053576E-3</c:v>
                </c:pt>
                <c:pt idx="22">
                  <c:v>4.7479427237667217E-3</c:v>
                </c:pt>
                <c:pt idx="23">
                  <c:v>4.7226527793011487E-3</c:v>
                </c:pt>
                <c:pt idx="24">
                  <c:v>4.6973846754088215E-3</c:v>
                </c:pt>
                <c:pt idx="25">
                  <c:v>4.672114396236539E-3</c:v>
                </c:pt>
                <c:pt idx="26">
                  <c:v>4.6468303126383399E-3</c:v>
                </c:pt>
                <c:pt idx="27">
                  <c:v>4.6215283757355171E-3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8.2399739101303247E-3</c:v>
                </c:pt>
                <c:pt idx="1">
                  <c:v>8.0259499142354071E-3</c:v>
                </c:pt>
                <c:pt idx="2">
                  <c:v>7.8119128028438329E-3</c:v>
                </c:pt>
                <c:pt idx="3">
                  <c:v>7.5978661468797419E-3</c:v>
                </c:pt>
                <c:pt idx="4">
                  <c:v>7.3838190487458891E-3</c:v>
                </c:pt>
                <c:pt idx="5">
                  <c:v>7.1697901894173209E-3</c:v>
                </c:pt>
                <c:pt idx="6">
                  <c:v>6.9558142067113358E-3</c:v>
                </c:pt>
                <c:pt idx="7">
                  <c:v>6.741951457435464E-3</c:v>
                </c:pt>
                <c:pt idx="8">
                  <c:v>6.7092693041974193E-3</c:v>
                </c:pt>
                <c:pt idx="9">
                  <c:v>6.6765416631904698E-3</c:v>
                </c:pt>
                <c:pt idx="10">
                  <c:v>6.6437695108835099E-3</c:v>
                </c:pt>
                <c:pt idx="11">
                  <c:v>6.6109631180516146E-3</c:v>
                </c:pt>
                <c:pt idx="12">
                  <c:v>6.5781482885190557E-3</c:v>
                </c:pt>
                <c:pt idx="13">
                  <c:v>6.5453734388456943E-3</c:v>
                </c:pt>
                <c:pt idx="14">
                  <c:v>6.5127145383603261E-3</c:v>
                </c:pt>
                <c:pt idx="15">
                  <c:v>6.4802724472743014E-3</c:v>
                </c:pt>
                <c:pt idx="16">
                  <c:v>6.4481569343970242E-3</c:v>
                </c:pt>
                <c:pt idx="17">
                  <c:v>6.4164575174762732E-3</c:v>
                </c:pt>
                <c:pt idx="18">
                  <c:v>6.3852127202948302E-3</c:v>
                </c:pt>
                <c:pt idx="19">
                  <c:v>6.3543961098445449E-3</c:v>
                </c:pt>
                <c:pt idx="20">
                  <c:v>6.3239285699648526E-3</c:v>
                </c:pt>
                <c:pt idx="21">
                  <c:v>6.2937078612499992E-3</c:v>
                </c:pt>
                <c:pt idx="22">
                  <c:v>6.2636373599274323E-3</c:v>
                </c:pt>
                <c:pt idx="23">
                  <c:v>6.233642309514776E-3</c:v>
                </c:pt>
                <c:pt idx="24">
                  <c:v>6.2036731630378279E-3</c:v>
                </c:pt>
                <c:pt idx="25">
                  <c:v>6.1737014365776804E-3</c:v>
                </c:pt>
                <c:pt idx="26">
                  <c:v>6.1437133374263285E-3</c:v>
                </c:pt>
                <c:pt idx="27">
                  <c:v>6.1137040634253043E-3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8.3854162919468761E-3</c:v>
                </c:pt>
                <c:pt idx="1">
                  <c:v>8.149441116985812E-3</c:v>
                </c:pt>
                <c:pt idx="2">
                  <c:v>7.9134514813489487E-3</c:v>
                </c:pt>
                <c:pt idx="3">
                  <c:v>7.6774513222090555E-3</c:v>
                </c:pt>
                <c:pt idx="4">
                  <c:v>7.4414506755486522E-3</c:v>
                </c:pt>
                <c:pt idx="5">
                  <c:v>7.205470138340231E-3</c:v>
                </c:pt>
                <c:pt idx="6">
                  <c:v>6.969547900997736E-3</c:v>
                </c:pt>
                <c:pt idx="7">
                  <c:v>6.7337505107704929E-3</c:v>
                </c:pt>
                <c:pt idx="8">
                  <c:v>6.6977163418157253E-3</c:v>
                </c:pt>
                <c:pt idx="9">
                  <c:v>6.6616320196798574E-3</c:v>
                </c:pt>
                <c:pt idx="10">
                  <c:v>6.6254986209824396E-3</c:v>
                </c:pt>
                <c:pt idx="11">
                  <c:v>6.5893274699113762E-3</c:v>
                </c:pt>
                <c:pt idx="12">
                  <c:v>6.5531470168370166E-3</c:v>
                </c:pt>
                <c:pt idx="13">
                  <c:v>6.5170106441202321E-3</c:v>
                </c:pt>
                <c:pt idx="14">
                  <c:v>6.4810021128158526E-3</c:v>
                </c:pt>
                <c:pt idx="15">
                  <c:v>6.4452326277722877E-3</c:v>
                </c:pt>
                <c:pt idx="16">
                  <c:v>6.4098232161383661E-3</c:v>
                </c:pt>
                <c:pt idx="17">
                  <c:v>6.3748725769693336E-3</c:v>
                </c:pt>
                <c:pt idx="18">
                  <c:v>6.3404231852051771E-3</c:v>
                </c:pt>
                <c:pt idx="19">
                  <c:v>6.3064458967599917E-3</c:v>
                </c:pt>
                <c:pt idx="20">
                  <c:v>6.2728534809952038E-3</c:v>
                </c:pt>
                <c:pt idx="21">
                  <c:v>6.2395332124121593E-3</c:v>
                </c:pt>
                <c:pt idx="22">
                  <c:v>6.206378557107789E-3</c:v>
                </c:pt>
                <c:pt idx="23">
                  <c:v>6.1733070912681938E-3</c:v>
                </c:pt>
                <c:pt idx="24">
                  <c:v>6.1402641861782268E-3</c:v>
                </c:pt>
                <c:pt idx="25">
                  <c:v>6.107218436491397E-3</c:v>
                </c:pt>
                <c:pt idx="26">
                  <c:v>6.0741546348629834E-3</c:v>
                </c:pt>
                <c:pt idx="27">
                  <c:v>6.0410674866054441E-3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6.4091309057636167E-3</c:v>
                </c:pt>
                <c:pt idx="1">
                  <c:v>6.2286793013816271E-3</c:v>
                </c:pt>
                <c:pt idx="2">
                  <c:v>6.048216638835791E-3</c:v>
                </c:pt>
                <c:pt idx="3">
                  <c:v>5.867745928905284E-3</c:v>
                </c:pt>
                <c:pt idx="4">
                  <c:v>5.6872748461649757E-3</c:v>
                </c:pt>
                <c:pt idx="5">
                  <c:v>5.5068191412408884E-3</c:v>
                </c:pt>
                <c:pt idx="6">
                  <c:v>5.326408018567215E-3</c:v>
                </c:pt>
                <c:pt idx="7">
                  <c:v>5.1460923672169709E-3</c:v>
                </c:pt>
                <c:pt idx="8">
                  <c:v>5.118536826251561E-3</c:v>
                </c:pt>
                <c:pt idx="9">
                  <c:v>5.0909429328535438E-3</c:v>
                </c:pt>
                <c:pt idx="10">
                  <c:v>5.0633115103202245E-3</c:v>
                </c:pt>
                <c:pt idx="11">
                  <c:v>5.035651218324705E-3</c:v>
                </c:pt>
                <c:pt idx="12">
                  <c:v>5.0079838130325481E-3</c:v>
                </c:pt>
                <c:pt idx="13">
                  <c:v>4.9803501162491246E-3</c:v>
                </c:pt>
                <c:pt idx="14">
                  <c:v>4.9528141805457761E-3</c:v>
                </c:pt>
                <c:pt idx="15">
                  <c:v>4.9254610449242266E-3</c:v>
                </c:pt>
                <c:pt idx="16">
                  <c:v>4.8983832595571094E-3</c:v>
                </c:pt>
                <c:pt idx="17">
                  <c:v>4.8716563001925551E-3</c:v>
                </c:pt>
                <c:pt idx="18">
                  <c:v>4.8453126476670251E-3</c:v>
                </c:pt>
                <c:pt idx="19">
                  <c:v>4.8193300153265882E-3</c:v>
                </c:pt>
                <c:pt idx="20">
                  <c:v>4.7936416973888094E-3</c:v>
                </c:pt>
                <c:pt idx="21">
                  <c:v>4.7681614920017743E-3</c:v>
                </c:pt>
                <c:pt idx="22">
                  <c:v>4.7428079320631401E-3</c:v>
                </c:pt>
                <c:pt idx="23">
                  <c:v>4.7175179875975672E-3</c:v>
                </c:pt>
                <c:pt idx="24">
                  <c:v>4.6922498837052382E-3</c:v>
                </c:pt>
                <c:pt idx="25">
                  <c:v>4.6669796045329566E-3</c:v>
                </c:pt>
                <c:pt idx="26">
                  <c:v>4.6416955209347584E-3</c:v>
                </c:pt>
                <c:pt idx="27">
                  <c:v>4.6163935840319338E-3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1.7783083301043669E-3</c:v>
                </c:pt>
                <c:pt idx="1">
                  <c:v>3.9670353002494918E-3</c:v>
                </c:pt>
                <c:pt idx="2">
                  <c:v>1.2272875676237464E-2</c:v>
                </c:pt>
                <c:pt idx="3">
                  <c:v>1.1281068013309969E-2</c:v>
                </c:pt>
                <c:pt idx="4">
                  <c:v>2.4929435480202329E-2</c:v>
                </c:pt>
                <c:pt idx="5" formatCode="General">
                  <c:v>1.7783083301043669E-3</c:v>
                </c:pt>
                <c:pt idx="6">
                  <c:v>3.9670353002494918E-3</c:v>
                </c:pt>
                <c:pt idx="7">
                  <c:v>1.2272875676237464E-2</c:v>
                </c:pt>
                <c:pt idx="8">
                  <c:v>1.1281068013309969E-2</c:v>
                </c:pt>
                <c:pt idx="9">
                  <c:v>2.4929435480202329E-2</c:v>
                </c:pt>
                <c:pt idx="10">
                  <c:v>1.7783083301043669E-3</c:v>
                </c:pt>
                <c:pt idx="11">
                  <c:v>3.9670353002494918E-3</c:v>
                </c:pt>
                <c:pt idx="12">
                  <c:v>1.2272875676237464E-2</c:v>
                </c:pt>
                <c:pt idx="13">
                  <c:v>1.1281068013309969E-2</c:v>
                </c:pt>
                <c:pt idx="14">
                  <c:v>2.4929435480202329E-2</c:v>
                </c:pt>
                <c:pt idx="15">
                  <c:v>1.7783083301043669E-3</c:v>
                </c:pt>
                <c:pt idx="16">
                  <c:v>3.9670353002494918E-3</c:v>
                </c:pt>
                <c:pt idx="17">
                  <c:v>1.2272875676237464E-2</c:v>
                </c:pt>
                <c:pt idx="18">
                  <c:v>1.1281068013309969E-2</c:v>
                </c:pt>
                <c:pt idx="19">
                  <c:v>2.4929435480202329E-2</c:v>
                </c:pt>
                <c:pt idx="20">
                  <c:v>1.9863208475390157E-3</c:v>
                </c:pt>
                <c:pt idx="21">
                  <c:v>1.3290239431595586E-3</c:v>
                </c:pt>
                <c:pt idx="22">
                  <c:v>1.4120879396070311E-3</c:v>
                </c:pt>
                <c:pt idx="23">
                  <c:v>4.2873120819145651E-3</c:v>
                </c:pt>
                <c:pt idx="24">
                  <c:v>1.9863208475390157E-3</c:v>
                </c:pt>
                <c:pt idx="25">
                  <c:v>1.3290239431595586E-3</c:v>
                </c:pt>
                <c:pt idx="26">
                  <c:v>1.4120879396070311E-3</c:v>
                </c:pt>
                <c:pt idx="27">
                  <c:v>4.2873120819145651E-3</c:v>
                </c:pt>
                <c:pt idx="28">
                  <c:v>1.9863208475390157E-3</c:v>
                </c:pt>
                <c:pt idx="29">
                  <c:v>1.3290239431595586E-3</c:v>
                </c:pt>
                <c:pt idx="30">
                  <c:v>1.4120879396070311E-3</c:v>
                </c:pt>
                <c:pt idx="31">
                  <c:v>4.2873120819145651E-3</c:v>
                </c:pt>
                <c:pt idx="32">
                  <c:v>1.9863208475390157E-3</c:v>
                </c:pt>
                <c:pt idx="33">
                  <c:v>1.3290239431595586E-3</c:v>
                </c:pt>
                <c:pt idx="34">
                  <c:v>1.4120879396070311E-3</c:v>
                </c:pt>
                <c:pt idx="35">
                  <c:v>4.2873120819145651E-3</c:v>
                </c:pt>
                <c:pt idx="36">
                  <c:v>1.5890566780312125E-3</c:v>
                </c:pt>
                <c:pt idx="37">
                  <c:v>1.063219154527647E-3</c:v>
                </c:pt>
                <c:pt idx="38">
                  <c:v>1.1296703516856248E-3</c:v>
                </c:pt>
                <c:pt idx="39">
                  <c:v>3.4298496655316519E-3</c:v>
                </c:pt>
                <c:pt idx="40">
                  <c:v>6.7070446072256132E-3</c:v>
                </c:pt>
                <c:pt idx="41">
                  <c:v>5.6498629919985045E-3</c:v>
                </c:pt>
                <c:pt idx="42">
                  <c:v>1.9709416352132133E-2</c:v>
                </c:pt>
                <c:pt idx="43">
                  <c:v>6.7070446072256132E-3</c:v>
                </c:pt>
                <c:pt idx="44">
                  <c:v>5.6498629919985045E-3</c:v>
                </c:pt>
                <c:pt idx="45">
                  <c:v>1.9709416352132133E-2</c:v>
                </c:pt>
                <c:pt idx="46">
                  <c:v>6.7070446072256132E-3</c:v>
                </c:pt>
                <c:pt idx="47">
                  <c:v>5.6498629919985045E-3</c:v>
                </c:pt>
                <c:pt idx="48">
                  <c:v>1.9709416352132133E-2</c:v>
                </c:pt>
                <c:pt idx="49">
                  <c:v>6.7070446072256132E-3</c:v>
                </c:pt>
                <c:pt idx="50">
                  <c:v>5.6498629919985045E-3</c:v>
                </c:pt>
                <c:pt idx="51">
                  <c:v>1.9709416352132133E-2</c:v>
                </c:pt>
                <c:pt idx="52">
                  <c:v>6.7070446072256132E-3</c:v>
                </c:pt>
                <c:pt idx="53">
                  <c:v>5.6498629919985045E-3</c:v>
                </c:pt>
                <c:pt idx="54">
                  <c:v>1.9709416352132133E-2</c:v>
                </c:pt>
                <c:pt idx="55" formatCode="0.00000">
                  <c:v>8.3893771583125115E-4</c:v>
                </c:pt>
                <c:pt idx="56">
                  <c:v>1.8714952165904367E-3</c:v>
                </c:pt>
                <c:pt idx="57">
                  <c:v>1.0358284649412651E-2</c:v>
                </c:pt>
                <c:pt idx="58">
                  <c:v>1.0257993776547255E-2</c:v>
                </c:pt>
                <c:pt idx="59">
                  <c:v>1.6567975451505536E-2</c:v>
                </c:pt>
                <c:pt idx="60" formatCode="General">
                  <c:v>8.3893771583125115E-4</c:v>
                </c:pt>
                <c:pt idx="61">
                  <c:v>1.8714952165904367E-3</c:v>
                </c:pt>
                <c:pt idx="62">
                  <c:v>1.0358284649412651E-2</c:v>
                </c:pt>
                <c:pt idx="63">
                  <c:v>1.0257993776547255E-2</c:v>
                </c:pt>
                <c:pt idx="64">
                  <c:v>1.6567975451505536E-2</c:v>
                </c:pt>
                <c:pt idx="65">
                  <c:v>8.3893771583125115E-4</c:v>
                </c:pt>
                <c:pt idx="66">
                  <c:v>1.8714952165904367E-3</c:v>
                </c:pt>
                <c:pt idx="67">
                  <c:v>1.0358284649412651E-2</c:v>
                </c:pt>
                <c:pt idx="68">
                  <c:v>1.0257993776547255E-2</c:v>
                </c:pt>
                <c:pt idx="69">
                  <c:v>1.6567975451505536E-2</c:v>
                </c:pt>
                <c:pt idx="70">
                  <c:v>8.3893771583125115E-4</c:v>
                </c:pt>
                <c:pt idx="71">
                  <c:v>1.8714952165904367E-3</c:v>
                </c:pt>
                <c:pt idx="72">
                  <c:v>1.0358284649412651E-2</c:v>
                </c:pt>
                <c:pt idx="73">
                  <c:v>1.0257993776547255E-2</c:v>
                </c:pt>
                <c:pt idx="74">
                  <c:v>1.6567975451505536E-2</c:v>
                </c:pt>
                <c:pt idx="75">
                  <c:v>9.4423626496312793E-4</c:v>
                </c:pt>
                <c:pt idx="76">
                  <c:v>1.4325231484959115E-3</c:v>
                </c:pt>
                <c:pt idx="77">
                  <c:v>1.522055845276906E-3</c:v>
                </c:pt>
                <c:pt idx="78">
                  <c:v>3.4230929504727972E-3</c:v>
                </c:pt>
                <c:pt idx="79">
                  <c:v>9.4423626496312793E-4</c:v>
                </c:pt>
                <c:pt idx="80">
                  <c:v>1.4325231484959115E-3</c:v>
                </c:pt>
                <c:pt idx="81">
                  <c:v>1.522055845276906E-3</c:v>
                </c:pt>
                <c:pt idx="82">
                  <c:v>3.4230929504727972E-3</c:v>
                </c:pt>
                <c:pt idx="83">
                  <c:v>9.4423626496312793E-4</c:v>
                </c:pt>
                <c:pt idx="84">
                  <c:v>1.4325231484959115E-3</c:v>
                </c:pt>
                <c:pt idx="85">
                  <c:v>1.522055845276906E-3</c:v>
                </c:pt>
                <c:pt idx="86">
                  <c:v>3.4230929504727972E-3</c:v>
                </c:pt>
                <c:pt idx="87">
                  <c:v>9.4423626496312793E-4</c:v>
                </c:pt>
                <c:pt idx="88">
                  <c:v>1.4325231484959115E-3</c:v>
                </c:pt>
                <c:pt idx="89">
                  <c:v>1.522055845276906E-3</c:v>
                </c:pt>
                <c:pt idx="90">
                  <c:v>3.4230929504727972E-3</c:v>
                </c:pt>
                <c:pt idx="91">
                  <c:v>7.5538901197050236E-4</c:v>
                </c:pt>
                <c:pt idx="92">
                  <c:v>1.1460185187967293E-3</c:v>
                </c:pt>
                <c:pt idx="93">
                  <c:v>1.2176446762215247E-3</c:v>
                </c:pt>
                <c:pt idx="94">
                  <c:v>2.7384743603782375E-3</c:v>
                </c:pt>
                <c:pt idx="95">
                  <c:v>2.9533510719556709E-3</c:v>
                </c:pt>
                <c:pt idx="96">
                  <c:v>5.5719568088488311E-3</c:v>
                </c:pt>
                <c:pt idx="97">
                  <c:v>1.3466646239242928E-2</c:v>
                </c:pt>
                <c:pt idx="98">
                  <c:v>2.9533510719556709E-3</c:v>
                </c:pt>
                <c:pt idx="99">
                  <c:v>4.985922725015586E-3</c:v>
                </c:pt>
                <c:pt idx="100">
                  <c:v>1.3466646239242928E-2</c:v>
                </c:pt>
                <c:pt idx="101">
                  <c:v>2.9533510719556709E-3</c:v>
                </c:pt>
                <c:pt idx="102">
                  <c:v>4.985922725015586E-3</c:v>
                </c:pt>
                <c:pt idx="103">
                  <c:v>1.3466646239242928E-2</c:v>
                </c:pt>
                <c:pt idx="104">
                  <c:v>2.9533510719556709E-3</c:v>
                </c:pt>
                <c:pt idx="105">
                  <c:v>4.9859227250155852E-3</c:v>
                </c:pt>
                <c:pt idx="106">
                  <c:v>1.3466646239242928E-2</c:v>
                </c:pt>
                <c:pt idx="107">
                  <c:v>2.9533510719556709E-3</c:v>
                </c:pt>
                <c:pt idx="108">
                  <c:v>4.985922725015586E-3</c:v>
                </c:pt>
                <c:pt idx="109">
                  <c:v>1.3466646239242928E-2</c:v>
                </c:pt>
                <c:pt idx="110" formatCode="0.00000">
                  <c:v>5.0846159148288761E-4</c:v>
                </c:pt>
                <c:pt idx="111">
                  <c:v>1.1342718515609E-3</c:v>
                </c:pt>
                <c:pt idx="112">
                  <c:v>6.5156977611726787E-3</c:v>
                </c:pt>
                <c:pt idx="113">
                  <c:v>6.8423242323661987E-3</c:v>
                </c:pt>
                <c:pt idx="114">
                  <c:v>9.7494494830798577E-3</c:v>
                </c:pt>
                <c:pt idx="115" formatCode="General">
                  <c:v>5.0846159148288761E-4</c:v>
                </c:pt>
                <c:pt idx="116">
                  <c:v>1.1342718515609E-3</c:v>
                </c:pt>
                <c:pt idx="117">
                  <c:v>6.5156977611726787E-3</c:v>
                </c:pt>
                <c:pt idx="118">
                  <c:v>6.8423242323661987E-3</c:v>
                </c:pt>
                <c:pt idx="119">
                  <c:v>9.7494494830798577E-3</c:v>
                </c:pt>
                <c:pt idx="120">
                  <c:v>5.0846159148288761E-4</c:v>
                </c:pt>
                <c:pt idx="121">
                  <c:v>1.1342718515609E-3</c:v>
                </c:pt>
                <c:pt idx="122">
                  <c:v>6.5156977611726787E-3</c:v>
                </c:pt>
                <c:pt idx="123">
                  <c:v>6.8423242323661987E-3</c:v>
                </c:pt>
                <c:pt idx="124">
                  <c:v>9.7494494830798577E-3</c:v>
                </c:pt>
                <c:pt idx="125">
                  <c:v>5.0846159148288761E-4</c:v>
                </c:pt>
                <c:pt idx="126">
                  <c:v>1.1342718515609E-3</c:v>
                </c:pt>
                <c:pt idx="127">
                  <c:v>6.5156977611726787E-3</c:v>
                </c:pt>
                <c:pt idx="128">
                  <c:v>6.8423242323661987E-3</c:v>
                </c:pt>
                <c:pt idx="129">
                  <c:v>9.7494494830798577E-3</c:v>
                </c:pt>
                <c:pt idx="130">
                  <c:v>6.1155198507974618E-4</c:v>
                </c:pt>
                <c:pt idx="131">
                  <c:v>1.2466950298238237E-3</c:v>
                </c:pt>
                <c:pt idx="132">
                  <c:v>1.3246134691878124E-3</c:v>
                </c:pt>
                <c:pt idx="133">
                  <c:v>2.1857187249993688E-3</c:v>
                </c:pt>
                <c:pt idx="134">
                  <c:v>6.1155198507974618E-4</c:v>
                </c:pt>
                <c:pt idx="135">
                  <c:v>1.2466950298238237E-3</c:v>
                </c:pt>
                <c:pt idx="136">
                  <c:v>1.3246134691878124E-3</c:v>
                </c:pt>
                <c:pt idx="137">
                  <c:v>2.1857187249993688E-3</c:v>
                </c:pt>
                <c:pt idx="138">
                  <c:v>6.1155198507974618E-4</c:v>
                </c:pt>
                <c:pt idx="139">
                  <c:v>1.2466950298238237E-3</c:v>
                </c:pt>
                <c:pt idx="140">
                  <c:v>1.3246134691878124E-3</c:v>
                </c:pt>
                <c:pt idx="141">
                  <c:v>2.1857187249993688E-3</c:v>
                </c:pt>
                <c:pt idx="142">
                  <c:v>6.1155198507974618E-4</c:v>
                </c:pt>
                <c:pt idx="143">
                  <c:v>1.2466950298238237E-3</c:v>
                </c:pt>
                <c:pt idx="144">
                  <c:v>1.3246134691878124E-3</c:v>
                </c:pt>
                <c:pt idx="145">
                  <c:v>2.1857187249993688E-3</c:v>
                </c:pt>
                <c:pt idx="146">
                  <c:v>4.8924158806379694E-4</c:v>
                </c:pt>
                <c:pt idx="147">
                  <c:v>9.9735602385905885E-4</c:v>
                </c:pt>
                <c:pt idx="148">
                  <c:v>1.05969077535025E-3</c:v>
                </c:pt>
                <c:pt idx="149">
                  <c:v>1.7485749799994951E-3</c:v>
                </c:pt>
                <c:pt idx="150">
                  <c:v>1.7136393401738417E-3</c:v>
                </c:pt>
                <c:pt idx="151">
                  <c:v>4.0342174151229478E-3</c:v>
                </c:pt>
                <c:pt idx="152">
                  <c:v>8.478341840292853E-3</c:v>
                </c:pt>
                <c:pt idx="153">
                  <c:v>1.7136393401738417E-3</c:v>
                </c:pt>
                <c:pt idx="154">
                  <c:v>4.06392166231242E-3</c:v>
                </c:pt>
                <c:pt idx="155">
                  <c:v>8.478341840292853E-3</c:v>
                </c:pt>
                <c:pt idx="156">
                  <c:v>1.7136393401738417E-3</c:v>
                </c:pt>
                <c:pt idx="157">
                  <c:v>4.06392166231242E-3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2.0569799349757336E-3</c:v>
                </c:pt>
                <c:pt idx="1">
                  <c:v>3.0869690973969691E-3</c:v>
                </c:pt>
                <c:pt idx="2">
                  <c:v>7.4197014833875218E-3</c:v>
                </c:pt>
                <c:pt idx="3">
                  <c:v>6.9528722157986764E-3</c:v>
                </c:pt>
                <c:pt idx="4">
                  <c:v>1.3114340768592438E-2</c:v>
                </c:pt>
                <c:pt idx="5" formatCode="General">
                  <c:v>3.5451549468971432E-3</c:v>
                </c:pt>
                <c:pt idx="6">
                  <c:v>5.1739750177028166E-3</c:v>
                </c:pt>
                <c:pt idx="7">
                  <c:v>1.2025737860664625E-2</c:v>
                </c:pt>
                <c:pt idx="8">
                  <c:v>1.1287496228198541E-2</c:v>
                </c:pt>
                <c:pt idx="9">
                  <c:v>2.1031213939593334E-2</c:v>
                </c:pt>
                <c:pt idx="10">
                  <c:v>4.0316221878138464E-3</c:v>
                </c:pt>
                <c:pt idx="11">
                  <c:v>6.0519855448708856E-3</c:v>
                </c:pt>
                <c:pt idx="12">
                  <c:v>1.4550806763544664E-2</c:v>
                </c:pt>
                <c:pt idx="13">
                  <c:v>1.3635103200197313E-2</c:v>
                </c:pt>
                <c:pt idx="14">
                  <c:v>2.5721060746062008E-2</c:v>
                </c:pt>
                <c:pt idx="15">
                  <c:v>2.0553368016305871E-3</c:v>
                </c:pt>
                <c:pt idx="16">
                  <c:v>3.0853259640518226E-3</c:v>
                </c:pt>
                <c:pt idx="17">
                  <c:v>7.4180583500423752E-3</c:v>
                </c:pt>
                <c:pt idx="18">
                  <c:v>6.9512290824535299E-3</c:v>
                </c:pt>
                <c:pt idx="19">
                  <c:v>1.3112697635247292E-2</c:v>
                </c:pt>
                <c:pt idx="20">
                  <c:v>5.3098305385236681E-3</c:v>
                </c:pt>
                <c:pt idx="21">
                  <c:v>4.5331909329826905E-3</c:v>
                </c:pt>
                <c:pt idx="22">
                  <c:v>6.1224324961737259E-3</c:v>
                </c:pt>
                <c:pt idx="23">
                  <c:v>7.8707835286277034E-3</c:v>
                </c:pt>
                <c:pt idx="24">
                  <c:v>1.2774641951516773E-2</c:v>
                </c:pt>
                <c:pt idx="25">
                  <c:v>1.0919336227168881E-2</c:v>
                </c:pt>
                <c:pt idx="26">
                  <c:v>1.4715857739236346E-2</c:v>
                </c:pt>
                <c:pt idx="27">
                  <c:v>1.8892474094543074E-2</c:v>
                </c:pt>
                <c:pt idx="28">
                  <c:v>1.2023226120295865E-2</c:v>
                </c:pt>
                <c:pt idx="29">
                  <c:v>1.0167920395947974E-2</c:v>
                </c:pt>
                <c:pt idx="30">
                  <c:v>1.3964441908015442E-2</c:v>
                </c:pt>
                <c:pt idx="31">
                  <c:v>1.8141058263322171E-2</c:v>
                </c:pt>
                <c:pt idx="32">
                  <c:v>5.3244331059987254E-3</c:v>
                </c:pt>
                <c:pt idx="33">
                  <c:v>4.7874970824148422E-3</c:v>
                </c:pt>
                <c:pt idx="34">
                  <c:v>5.8862319902999987E-3</c:v>
                </c:pt>
                <c:pt idx="35">
                  <c:v>7.094968506564478E-3</c:v>
                </c:pt>
                <c:pt idx="36">
                  <c:v>1.436637360417075E-2</c:v>
                </c:pt>
                <c:pt idx="37">
                  <c:v>1.2234929353408296E-2</c:v>
                </c:pt>
                <c:pt idx="38">
                  <c:v>1.6596514532388126E-2</c:v>
                </c:pt>
                <c:pt idx="39">
                  <c:v>2.1394766810345162E-2</c:v>
                </c:pt>
                <c:pt idx="40">
                  <c:v>7.1307176621036375E-2</c:v>
                </c:pt>
                <c:pt idx="41">
                  <c:v>9.0484330568541216E-2</c:v>
                </c:pt>
                <c:pt idx="42">
                  <c:v>0.1072551205491602</c:v>
                </c:pt>
                <c:pt idx="43">
                  <c:v>2.9343363622621049E-2</c:v>
                </c:pt>
                <c:pt idx="44">
                  <c:v>3.591058071772936E-2</c:v>
                </c:pt>
                <c:pt idx="45">
                  <c:v>4.586801060469306E-2</c:v>
                </c:pt>
                <c:pt idx="46">
                  <c:v>3.2896210730224702E-2</c:v>
                </c:pt>
                <c:pt idx="47">
                  <c:v>4.063880062077449E-2</c:v>
                </c:pt>
                <c:pt idx="48">
                  <c:v>5.1908170399832532E-2</c:v>
                </c:pt>
                <c:pt idx="49">
                  <c:v>4.2408575053991981E-2</c:v>
                </c:pt>
                <c:pt idx="50">
                  <c:v>5.3061998235730642E-2</c:v>
                </c:pt>
                <c:pt idx="51">
                  <c:v>6.5164123584634109E-2</c:v>
                </c:pt>
                <c:pt idx="52">
                  <c:v>3.3414262094814663E-2</c:v>
                </c:pt>
                <c:pt idx="53">
                  <c:v>4.1573008468517095E-2</c:v>
                </c:pt>
                <c:pt idx="54">
                  <c:v>5.1985756382567139E-2</c:v>
                </c:pt>
                <c:pt idx="55" formatCode="0.00000">
                  <c:v>1.6174664349952817E-3</c:v>
                </c:pt>
                <c:pt idx="56">
                  <c:v>2.1033758471172516E-3</c:v>
                </c:pt>
                <c:pt idx="57">
                  <c:v>6.4815858794727982E-3</c:v>
                </c:pt>
                <c:pt idx="58">
                  <c:v>6.4297160574348783E-3</c:v>
                </c:pt>
                <c:pt idx="59">
                  <c:v>9.1624962093665649E-3</c:v>
                </c:pt>
                <c:pt idx="60" formatCode="General">
                  <c:v>2.8501103422768938E-3</c:v>
                </c:pt>
                <c:pt idx="61">
                  <c:v>3.6185252265627981E-3</c:v>
                </c:pt>
                <c:pt idx="62">
                  <c:v>1.0542206207962267E-2</c:v>
                </c:pt>
                <c:pt idx="63">
                  <c:v>1.0460179512646488E-2</c:v>
                </c:pt>
                <c:pt idx="64">
                  <c:v>1.4781785334305905E-2</c:v>
                </c:pt>
                <c:pt idx="65">
                  <c:v>3.1694995532368067E-3</c:v>
                </c:pt>
                <c:pt idx="66">
                  <c:v>4.1226295539375929E-3</c:v>
                </c:pt>
                <c:pt idx="67">
                  <c:v>1.2710656925096552E-2</c:v>
                </c:pt>
                <c:pt idx="68">
                  <c:v>1.2608912274176015E-2</c:v>
                </c:pt>
                <c:pt idx="69">
                  <c:v>1.796936564911894E-2</c:v>
                </c:pt>
                <c:pt idx="70">
                  <c:v>1.6158233016501356E-3</c:v>
                </c:pt>
                <c:pt idx="71">
                  <c:v>2.101732713772105E-3</c:v>
                </c:pt>
                <c:pt idx="72">
                  <c:v>6.4799427461276517E-3</c:v>
                </c:pt>
                <c:pt idx="73">
                  <c:v>6.4280729240897318E-3</c:v>
                </c:pt>
                <c:pt idx="74">
                  <c:v>9.1608530760214184E-3</c:v>
                </c:pt>
                <c:pt idx="75">
                  <c:v>4.7419658327266575E-3</c:v>
                </c:pt>
                <c:pt idx="76">
                  <c:v>4.5914092359843912E-3</c:v>
                </c:pt>
                <c:pt idx="77">
                  <c:v>5.6727629725938505E-3</c:v>
                </c:pt>
                <c:pt idx="78">
                  <c:v>6.5616045778966701E-3</c:v>
                </c:pt>
                <c:pt idx="79">
                  <c:v>1.1418076265446135E-2</c:v>
                </c:pt>
                <c:pt idx="80">
                  <c:v>1.1058413284339607E-2</c:v>
                </c:pt>
                <c:pt idx="81">
                  <c:v>1.364164721068443E-2</c:v>
                </c:pt>
                <c:pt idx="82">
                  <c:v>1.5764991045574495E-2</c:v>
                </c:pt>
                <c:pt idx="83">
                  <c:v>1.0666660434225223E-2</c:v>
                </c:pt>
                <c:pt idx="84">
                  <c:v>1.0306997453118697E-2</c:v>
                </c:pt>
                <c:pt idx="85">
                  <c:v>1.2890231379463523E-2</c:v>
                </c:pt>
                <c:pt idx="86">
                  <c:v>1.501357521435359E-2</c:v>
                </c:pt>
                <c:pt idx="87">
                  <c:v>4.9318352847069653E-3</c:v>
                </c:pt>
                <c:pt idx="88">
                  <c:v>4.8277467733789797E-3</c:v>
                </c:pt>
                <c:pt idx="89">
                  <c:v>5.5753493567139139E-3</c:v>
                </c:pt>
                <c:pt idx="90">
                  <c:v>6.1898571332195639E-3</c:v>
                </c:pt>
                <c:pt idx="91">
                  <c:v>1.2807900467150062E-2</c:v>
                </c:pt>
                <c:pt idx="92">
                  <c:v>1.2394706251646289E-2</c:v>
                </c:pt>
                <c:pt idx="93">
                  <c:v>1.5362421506563365E-2</c:v>
                </c:pt>
                <c:pt idx="94">
                  <c:v>1.7801797912227767E-2</c:v>
                </c:pt>
                <c:pt idx="95">
                  <c:v>6.9103491380650001E-2</c:v>
                </c:pt>
                <c:pt idx="96">
                  <c:v>7.4785156649354201E-2</c:v>
                </c:pt>
                <c:pt idx="97">
                  <c:v>8.5825240766145991E-2</c:v>
                </c:pt>
                <c:pt idx="98">
                  <c:v>2.7498818167278977E-2</c:v>
                </c:pt>
                <c:pt idx="99">
                  <c:v>2.9939434767307871E-2</c:v>
                </c:pt>
                <c:pt idx="100">
                  <c:v>3.6441308633568564E-2</c:v>
                </c:pt>
                <c:pt idx="101">
                  <c:v>3.0843138957113776E-2</c:v>
                </c:pt>
                <c:pt idx="102">
                  <c:v>3.3647752834689841E-2</c:v>
                </c:pt>
                <c:pt idx="103">
                  <c:v>4.102728579875424E-2</c:v>
                </c:pt>
                <c:pt idx="104">
                  <c:v>4.0463983463688361E-2</c:v>
                </c:pt>
                <c:pt idx="105">
                  <c:v>4.3795862344498407E-2</c:v>
                </c:pt>
                <c:pt idx="106">
                  <c:v>5.1879122574373285E-2</c:v>
                </c:pt>
                <c:pt idx="107">
                  <c:v>3.162902934130532E-2</c:v>
                </c:pt>
                <c:pt idx="108">
                  <c:v>3.4357933729152593E-2</c:v>
                </c:pt>
                <c:pt idx="109">
                  <c:v>4.1244578015303915E-2</c:v>
                </c:pt>
                <c:pt idx="110" formatCode="0.00000">
                  <c:v>1.4833039920215956E-3</c:v>
                </c:pt>
                <c:pt idx="111">
                  <c:v>1.7778029379406598E-3</c:v>
                </c:pt>
                <c:pt idx="112">
                  <c:v>4.3615159921940021E-3</c:v>
                </c:pt>
                <c:pt idx="113">
                  <c:v>4.4721081299707692E-3</c:v>
                </c:pt>
                <c:pt idx="114">
                  <c:v>5.8106946942033423E-3</c:v>
                </c:pt>
                <c:pt idx="115" formatCode="General">
                  <c:v>2.6379464789696673E-3</c:v>
                </c:pt>
                <c:pt idx="116">
                  <c:v>3.1036657422835378E-3</c:v>
                </c:pt>
                <c:pt idx="117">
                  <c:v>7.1895375490097519E-3</c:v>
                </c:pt>
                <c:pt idx="118">
                  <c:v>7.364427441307898E-3</c:v>
                </c:pt>
                <c:pt idx="119">
                  <c:v>9.4812620080012688E-3</c:v>
                </c:pt>
                <c:pt idx="120">
                  <c:v>2.9063347612499593E-3</c:v>
                </c:pt>
                <c:pt idx="121">
                  <c:v>3.4840057705527402E-3</c:v>
                </c:pt>
                <c:pt idx="122">
                  <c:v>8.5520583000496773E-3</c:v>
                </c:pt>
                <c:pt idx="123">
                  <c:v>8.7689890318425716E-3</c:v>
                </c:pt>
                <c:pt idx="124">
                  <c:v>1.1394678061683388E-2</c:v>
                </c:pt>
                <c:pt idx="125">
                  <c:v>1.4816608586764491E-3</c:v>
                </c:pt>
                <c:pt idx="126">
                  <c:v>1.7761598045955142E-3</c:v>
                </c:pt>
                <c:pt idx="127">
                  <c:v>4.3598728588488539E-3</c:v>
                </c:pt>
                <c:pt idx="128">
                  <c:v>4.4704649966256227E-3</c:v>
                </c:pt>
                <c:pt idx="129">
                  <c:v>5.8090515608581975E-3</c:v>
                </c:pt>
                <c:pt idx="130">
                  <c:v>4.5787890854017566E-3</c:v>
                </c:pt>
                <c:pt idx="131">
                  <c:v>4.4868809192313425E-3</c:v>
                </c:pt>
                <c:pt idx="132">
                  <c:v>4.8923047150582002E-3</c:v>
                </c:pt>
                <c:pt idx="133">
                  <c:v>4.7885093697076827E-3</c:v>
                </c:pt>
                <c:pt idx="134">
                  <c:v>1.1028265146836648E-2</c:v>
                </c:pt>
                <c:pt idx="135">
                  <c:v>1.0808706749873987E-2</c:v>
                </c:pt>
                <c:pt idx="136">
                  <c:v>1.1777219151015933E-2</c:v>
                </c:pt>
                <c:pt idx="137">
                  <c:v>1.1529263603789693E-2</c:v>
                </c:pt>
                <c:pt idx="138">
                  <c:v>1.0276849315615739E-2</c:v>
                </c:pt>
                <c:pt idx="139">
                  <c:v>1.0057290918653081E-2</c:v>
                </c:pt>
                <c:pt idx="140">
                  <c:v>1.1025803319795021E-2</c:v>
                </c:pt>
                <c:pt idx="141">
                  <c:v>1.0777847772568783E-2</c:v>
                </c:pt>
                <c:pt idx="142">
                  <c:v>4.8190217310008585E-3</c:v>
                </c:pt>
                <c:pt idx="143">
                  <c:v>4.7554802827842781E-3</c:v>
                </c:pt>
                <c:pt idx="144">
                  <c:v>5.0357732774300081E-3</c:v>
                </c:pt>
                <c:pt idx="145">
                  <c:v>4.9640135324963142E-3</c:v>
                </c:pt>
                <c:pt idx="146">
                  <c:v>1.2360070949491726E-2</c:v>
                </c:pt>
                <c:pt idx="147">
                  <c:v>1.2107834093446252E-2</c:v>
                </c:pt>
                <c:pt idx="148">
                  <c:v>1.3220497177548854E-2</c:v>
                </c:pt>
                <c:pt idx="149">
                  <c:v>1.2935636618642431E-2</c:v>
                </c:pt>
                <c:pt idx="150">
                  <c:v>6.9105203232298421E-2</c:v>
                </c:pt>
                <c:pt idx="151">
                  <c:v>6.9097068904093562E-2</c:v>
                </c:pt>
                <c:pt idx="152">
                  <c:v>7.5000109931099665E-2</c:v>
                </c:pt>
                <c:pt idx="153">
                  <c:v>2.7150762007794038E-2</c:v>
                </c:pt>
                <c:pt idx="154">
                  <c:v>2.7817221510662411E-2</c:v>
                </c:pt>
                <c:pt idx="155">
                  <c:v>3.1163443233818866E-2</c:v>
                </c:pt>
                <c:pt idx="156">
                  <c:v>3.0471688242364847E-2</c:v>
                </c:pt>
                <c:pt idx="157">
                  <c:v>3.1183649930793887E-2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1.7510189894861146E-3</c:v>
                </c:pt>
                <c:pt idx="3">
                  <c:v>1.2843864944512701E-3</c:v>
                </c:pt>
                <c:pt idx="4">
                  <c:v>1.1611655888857896E-3</c:v>
                </c:pt>
                <c:pt idx="5" formatCode="General">
                  <c:v>0</c:v>
                </c:pt>
                <c:pt idx="6">
                  <c:v>0</c:v>
                </c:pt>
                <c:pt idx="7">
                  <c:v>1.7946332048243002E-3</c:v>
                </c:pt>
                <c:pt idx="8">
                  <c:v>1.3185258345998034E-3</c:v>
                </c:pt>
                <c:pt idx="9">
                  <c:v>1.1775289054720209E-3</c:v>
                </c:pt>
                <c:pt idx="10">
                  <c:v>0</c:v>
                </c:pt>
                <c:pt idx="11">
                  <c:v>0</c:v>
                </c:pt>
                <c:pt idx="12">
                  <c:v>1.7506312167844713E-3</c:v>
                </c:pt>
                <c:pt idx="13">
                  <c:v>1.284082962585361E-3</c:v>
                </c:pt>
                <c:pt idx="14">
                  <c:v>1.1610201031208543E-3</c:v>
                </c:pt>
                <c:pt idx="15">
                  <c:v>0</c:v>
                </c:pt>
                <c:pt idx="16">
                  <c:v>0</c:v>
                </c:pt>
                <c:pt idx="17">
                  <c:v>1.7506312167844713E-3</c:v>
                </c:pt>
                <c:pt idx="18">
                  <c:v>1.284082962585361E-3</c:v>
                </c:pt>
                <c:pt idx="19">
                  <c:v>1.1610201031208543E-3</c:v>
                </c:pt>
                <c:pt idx="20">
                  <c:v>0</c:v>
                </c:pt>
                <c:pt idx="21">
                  <c:v>0</c:v>
                </c:pt>
                <c:pt idx="22">
                  <c:v>4.0036420099615229E-4</c:v>
                </c:pt>
                <c:pt idx="23">
                  <c:v>2.5440916456170339E-4</c:v>
                </c:pt>
                <c:pt idx="24">
                  <c:v>0</c:v>
                </c:pt>
                <c:pt idx="25">
                  <c:v>0</c:v>
                </c:pt>
                <c:pt idx="26">
                  <c:v>4.0282912452609815E-4</c:v>
                </c:pt>
                <c:pt idx="27">
                  <c:v>2.5562755645893408E-4</c:v>
                </c:pt>
                <c:pt idx="28">
                  <c:v>0</c:v>
                </c:pt>
                <c:pt idx="29">
                  <c:v>0</c:v>
                </c:pt>
                <c:pt idx="30">
                  <c:v>3.8226000875932198E-4</c:v>
                </c:pt>
                <c:pt idx="31">
                  <c:v>2.4546040779125158E-4</c:v>
                </c:pt>
                <c:pt idx="32">
                  <c:v>0</c:v>
                </c:pt>
                <c:pt idx="33">
                  <c:v>0</c:v>
                </c:pt>
                <c:pt idx="34">
                  <c:v>5.5675688806499334E-4</c:v>
                </c:pt>
                <c:pt idx="35">
                  <c:v>3.3171281329392316E-4</c:v>
                </c:pt>
                <c:pt idx="36">
                  <c:v>0</c:v>
                </c:pt>
                <c:pt idx="37">
                  <c:v>0</c:v>
                </c:pt>
                <c:pt idx="38">
                  <c:v>2.5124091616929127E-4</c:v>
                </c:pt>
                <c:pt idx="39">
                  <c:v>1.6068357400247577E-4</c:v>
                </c:pt>
                <c:pt idx="40">
                  <c:v>0</c:v>
                </c:pt>
                <c:pt idx="41">
                  <c:v>1.2701981899788134E-2</c:v>
                </c:pt>
                <c:pt idx="42">
                  <c:v>7.1246723029506909E-3</c:v>
                </c:pt>
                <c:pt idx="43">
                  <c:v>0</c:v>
                </c:pt>
                <c:pt idx="44">
                  <c:v>7.0414591282912525E-3</c:v>
                </c:pt>
                <c:pt idx="45">
                  <c:v>4.2559732095678038E-3</c:v>
                </c:pt>
                <c:pt idx="46">
                  <c:v>0</c:v>
                </c:pt>
                <c:pt idx="47">
                  <c:v>7.1098997496071709E-3</c:v>
                </c:pt>
                <c:pt idx="48">
                  <c:v>4.2974127049972416E-3</c:v>
                </c:pt>
                <c:pt idx="49">
                  <c:v>0</c:v>
                </c:pt>
                <c:pt idx="50">
                  <c:v>9.2833814533645614E-3</c:v>
                </c:pt>
                <c:pt idx="51">
                  <c:v>5.3948565408023091E-3</c:v>
                </c:pt>
                <c:pt idx="52">
                  <c:v>0</c:v>
                </c:pt>
                <c:pt idx="53">
                  <c:v>8.1517656946896305E-3</c:v>
                </c:pt>
                <c:pt idx="54">
                  <c:v>4.8236229024654215E-3</c:v>
                </c:pt>
                <c:pt idx="55" formatCode="0.00000">
                  <c:v>0</c:v>
                </c:pt>
                <c:pt idx="56">
                  <c:v>0</c:v>
                </c:pt>
                <c:pt idx="57">
                  <c:v>1.494188510107259E-3</c:v>
                </c:pt>
                <c:pt idx="58">
                  <c:v>1.1709026309665339E-3</c:v>
                </c:pt>
                <c:pt idx="59">
                  <c:v>8.1126268520433087E-4</c:v>
                </c:pt>
                <c:pt idx="60" formatCode="General">
                  <c:v>0</c:v>
                </c:pt>
                <c:pt idx="61">
                  <c:v>0</c:v>
                </c:pt>
                <c:pt idx="62">
                  <c:v>1.5367922527926223E-3</c:v>
                </c:pt>
                <c:pt idx="63">
                  <c:v>1.2045578659817049E-3</c:v>
                </c:pt>
                <c:pt idx="64">
                  <c:v>8.276260017905622E-4</c:v>
                </c:pt>
                <c:pt idx="65">
                  <c:v>0</c:v>
                </c:pt>
                <c:pt idx="66">
                  <c:v>0</c:v>
                </c:pt>
                <c:pt idx="67">
                  <c:v>1.4938097214881544E-3</c:v>
                </c:pt>
                <c:pt idx="68">
                  <c:v>1.1706034032650803E-3</c:v>
                </c:pt>
                <c:pt idx="69">
                  <c:v>8.1111719943939564E-4</c:v>
                </c:pt>
                <c:pt idx="70">
                  <c:v>0</c:v>
                </c:pt>
                <c:pt idx="71">
                  <c:v>0</c:v>
                </c:pt>
                <c:pt idx="72">
                  <c:v>1.4938097214881544E-3</c:v>
                </c:pt>
                <c:pt idx="73">
                  <c:v>1.1706034032650803E-3</c:v>
                </c:pt>
                <c:pt idx="74">
                  <c:v>8.1111719943939564E-4</c:v>
                </c:pt>
                <c:pt idx="75">
                  <c:v>0</c:v>
                </c:pt>
                <c:pt idx="76">
                  <c:v>0</c:v>
                </c:pt>
                <c:pt idx="77">
                  <c:v>2.8904864119112458E-4</c:v>
                </c:pt>
                <c:pt idx="78">
                  <c:v>2.1209226918453804E-4</c:v>
                </c:pt>
                <c:pt idx="79">
                  <c:v>0</c:v>
                </c:pt>
                <c:pt idx="80">
                  <c:v>0</c:v>
                </c:pt>
                <c:pt idx="81">
                  <c:v>2.9096929243943234E-4</c:v>
                </c:pt>
                <c:pt idx="82">
                  <c:v>2.1331066108176873E-4</c:v>
                </c:pt>
                <c:pt idx="83">
                  <c:v>0</c:v>
                </c:pt>
                <c:pt idx="84">
                  <c:v>0</c:v>
                </c:pt>
                <c:pt idx="85">
                  <c:v>2.7494198068144481E-4</c:v>
                </c:pt>
                <c:pt idx="86">
                  <c:v>2.0314351241408624E-4</c:v>
                </c:pt>
                <c:pt idx="87">
                  <c:v>0</c:v>
                </c:pt>
                <c:pt idx="88">
                  <c:v>0</c:v>
                </c:pt>
                <c:pt idx="89">
                  <c:v>4.1090873380485518E-4</c:v>
                </c:pt>
                <c:pt idx="90">
                  <c:v>2.8939591791675781E-4</c:v>
                </c:pt>
                <c:pt idx="91">
                  <c:v>0</c:v>
                </c:pt>
                <c:pt idx="92">
                  <c:v>0</c:v>
                </c:pt>
                <c:pt idx="93">
                  <c:v>1.8150103418036918E-4</c:v>
                </c:pt>
                <c:pt idx="94">
                  <c:v>1.3369888709529806E-4</c:v>
                </c:pt>
                <c:pt idx="95">
                  <c:v>0</c:v>
                </c:pt>
                <c:pt idx="96">
                  <c:v>8.054003272115931E-3</c:v>
                </c:pt>
                <c:pt idx="97">
                  <c:v>4.1744594293029319E-3</c:v>
                </c:pt>
                <c:pt idx="98">
                  <c:v>0</c:v>
                </c:pt>
                <c:pt idx="99">
                  <c:v>4.5038312884752088E-3</c:v>
                </c:pt>
                <c:pt idx="100">
                  <c:v>2.4758327376699363E-3</c:v>
                </c:pt>
                <c:pt idx="101">
                  <c:v>0</c:v>
                </c:pt>
                <c:pt idx="102">
                  <c:v>4.5162392669286788E-3</c:v>
                </c:pt>
                <c:pt idx="103">
                  <c:v>2.4870383616679564E-3</c:v>
                </c:pt>
                <c:pt idx="104">
                  <c:v>0</c:v>
                </c:pt>
                <c:pt idx="105">
                  <c:v>5.8783299503231135E-3</c:v>
                </c:pt>
                <c:pt idx="106">
                  <c:v>3.1448672633386382E-3</c:v>
                </c:pt>
                <c:pt idx="107">
                  <c:v>0</c:v>
                </c:pt>
                <c:pt idx="108">
                  <c:v>5.1685123029004132E-3</c:v>
                </c:pt>
                <c:pt idx="109">
                  <c:v>2.8021682077467025E-3</c:v>
                </c:pt>
                <c:pt idx="110" formatCode="0.00000">
                  <c:v>0</c:v>
                </c:pt>
                <c:pt idx="111">
                  <c:v>0</c:v>
                </c:pt>
                <c:pt idx="112">
                  <c:v>8.094818986598834E-4</c:v>
                </c:pt>
                <c:pt idx="113">
                  <c:v>7.1707742300858301E-4</c:v>
                </c:pt>
                <c:pt idx="114">
                  <c:v>5.1448859271592019E-4</c:v>
                </c:pt>
                <c:pt idx="115" formatCode="General">
                  <c:v>0</c:v>
                </c:pt>
                <c:pt idx="116">
                  <c:v>0</c:v>
                </c:pt>
                <c:pt idx="117">
                  <c:v>8.4378183489417294E-4</c:v>
                </c:pt>
                <c:pt idx="118">
                  <c:v>7.4671054395598381E-4</c:v>
                </c:pt>
                <c:pt idx="119">
                  <c:v>5.3085190930215326E-4</c:v>
                </c:pt>
                <c:pt idx="120">
                  <c:v>0</c:v>
                </c:pt>
                <c:pt idx="121">
                  <c:v>0</c:v>
                </c:pt>
                <c:pt idx="122">
                  <c:v>8.0917693893891272E-4</c:v>
                </c:pt>
                <c:pt idx="123">
                  <c:v>7.1681395580462486E-4</c:v>
                </c:pt>
                <c:pt idx="124">
                  <c:v>5.143431069509867E-4</c:v>
                </c:pt>
                <c:pt idx="125">
                  <c:v>0</c:v>
                </c:pt>
                <c:pt idx="126">
                  <c:v>0</c:v>
                </c:pt>
                <c:pt idx="127">
                  <c:v>8.0917693893891272E-4</c:v>
                </c:pt>
                <c:pt idx="128">
                  <c:v>7.1681395580462486E-4</c:v>
                </c:pt>
                <c:pt idx="129">
                  <c:v>5.143431069509867E-4</c:v>
                </c:pt>
                <c:pt idx="130">
                  <c:v>0</c:v>
                </c:pt>
                <c:pt idx="131">
                  <c:v>0</c:v>
                </c:pt>
                <c:pt idx="132">
                  <c:v>1.58493466725005E-4</c:v>
                </c:pt>
                <c:pt idx="133">
                  <c:v>1.5478010083903697E-4</c:v>
                </c:pt>
                <c:pt idx="134">
                  <c:v>0</c:v>
                </c:pt>
                <c:pt idx="135">
                  <c:v>0</c:v>
                </c:pt>
                <c:pt idx="136">
                  <c:v>1.5971461973468201E-4</c:v>
                </c:pt>
                <c:pt idx="137">
                  <c:v>1.5599849273626766E-4</c:v>
                </c:pt>
                <c:pt idx="138">
                  <c:v>0</c:v>
                </c:pt>
                <c:pt idx="139">
                  <c:v>0</c:v>
                </c:pt>
                <c:pt idx="140">
                  <c:v>1.4952443033536787E-4</c:v>
                </c:pt>
                <c:pt idx="141">
                  <c:v>1.4583134406858343E-4</c:v>
                </c:pt>
                <c:pt idx="142">
                  <c:v>0</c:v>
                </c:pt>
                <c:pt idx="143">
                  <c:v>0</c:v>
                </c:pt>
                <c:pt idx="144">
                  <c:v>2.359723005246131E-4</c:v>
                </c:pt>
                <c:pt idx="145">
                  <c:v>2.3208374957125674E-4</c:v>
                </c:pt>
                <c:pt idx="146">
                  <c:v>0</c:v>
                </c:pt>
                <c:pt idx="147">
                  <c:v>0</c:v>
                </c:pt>
                <c:pt idx="148">
                  <c:v>9.9515614614340865E-5</c:v>
                </c:pt>
                <c:pt idx="149">
                  <c:v>9.7151997135846296E-5</c:v>
                </c:pt>
                <c:pt idx="150">
                  <c:v>0</c:v>
                </c:pt>
                <c:pt idx="151">
                  <c:v>4.6393566245115647E-3</c:v>
                </c:pt>
                <c:pt idx="152">
                  <c:v>1.9546914718768515E-3</c:v>
                </c:pt>
                <c:pt idx="153">
                  <c:v>0</c:v>
                </c:pt>
                <c:pt idx="154">
                  <c:v>2.6088794044930377E-3</c:v>
                </c:pt>
                <c:pt idx="155">
                  <c:v>1.1344983734424621E-3</c:v>
                </c:pt>
                <c:pt idx="156">
                  <c:v>0</c:v>
                </c:pt>
                <c:pt idx="157">
                  <c:v>2.6094535011540812E-3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1.2924904892565415E-2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6.7070446072256132E-3</c:v>
                </c:pt>
                <c:pt idx="1">
                  <c:v>2.8364754866592084E-3</c:v>
                </c:pt>
                <c:pt idx="2">
                  <c:v>1.7136393401738417E-3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7.1307176621036375E-2</c:v>
                </c:pt>
                <c:pt idx="1">
                  <c:v>6.9179871806994975E-2</c:v>
                </c:pt>
                <c:pt idx="2">
                  <c:v>6.9105203232298421E-2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1.2701981899788134E-2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7.0414591282912525E-3</c:v>
                </c:pt>
                <c:pt idx="1">
                  <c:v>4.1417431402014024E-3</c:v>
                </c:pt>
                <c:pt idx="2">
                  <c:v>2.6088794044930377E-3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7.1098997496071709E-3</c:v>
                </c:pt>
                <c:pt idx="1">
                  <c:v>4.1503493238524633E-3</c:v>
                </c:pt>
                <c:pt idx="2">
                  <c:v>2.6094535011540812E-3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9.2833814533645614E-3</c:v>
                </c:pt>
                <c:pt idx="1">
                  <c:v>5.3991542360820599E-3</c:v>
                </c:pt>
                <c:pt idx="2">
                  <c:v>3.4041103604977863E-3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5.6498629919985045E-3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9.0484330568541216E-2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8.1517656946896305E-3</c:v>
                </c:pt>
                <c:pt idx="1">
                  <c:v>4.7483134349781825E-3</c:v>
                </c:pt>
                <c:pt idx="2">
                  <c:v>2.9898538099160307E-3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1.9709416352132133E-2</c:v>
                </c:pt>
                <c:pt idx="1">
                  <c:v>1.3091730925150823E-2</c:v>
                </c:pt>
                <c:pt idx="2">
                  <c:v>8.478341840292853E-3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0.1072551205491602</c:v>
                </c:pt>
                <c:pt idx="1">
                  <c:v>8.3751815500815494E-2</c:v>
                </c:pt>
                <c:pt idx="2">
                  <c:v>7.5000109931099665E-2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7.1246723029506909E-3</c:v>
                </c:pt>
                <c:pt idx="1">
                  <c:v>3.7429787827330946E-3</c:v>
                </c:pt>
                <c:pt idx="2">
                  <c:v>1.9546914718768515E-3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1.9863208475390157E-3</c:v>
                </c:pt>
                <c:pt idx="1">
                  <c:v>9.2344349747041678E-4</c:v>
                </c:pt>
                <c:pt idx="2">
                  <c:v>6.1155198507974618E-4</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5.3098305385236681E-3</c:v>
                </c:pt>
                <c:pt idx="1">
                  <c:v>4.7344000008138834E-3</c:v>
                </c:pt>
                <c:pt idx="2">
                  <c:v>4.5787890854017566E-3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1.3290239431595586E-3</c:v>
                </c:pt>
                <c:pt idx="1">
                  <c:v>1.45839794983E-3</c:v>
                </c:pt>
                <c:pt idx="2">
                  <c:v>1.2466950298238237E-3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4.5331909329826905E-3</c:v>
                </c:pt>
                <c:pt idx="1">
                  <c:v>4.6059638117348142E-3</c:v>
                </c:pt>
                <c:pt idx="2">
                  <c:v>4.4868809192313425E-3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1.4120879396070311E-3</c:v>
                </c:pt>
                <c:pt idx="1">
                  <c:v>1.5495478216943747E-3</c:v>
                </c:pt>
                <c:pt idx="2">
                  <c:v>1.3246134691878124E-3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6.1224324961737259E-3</c:v>
                </c:pt>
                <c:pt idx="1">
                  <c:v>5.5728311990297531E-3</c:v>
                </c:pt>
                <c:pt idx="2">
                  <c:v>4.8923047150582002E-3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4.0036420099615229E-4</c:v>
                </c:pt>
                <c:pt idx="1">
                  <c:v>2.6597796519591335E-4</c:v>
                </c:pt>
                <c:pt idx="2">
                  <c:v>1.58493466725005E-4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4.2873120819145651E-3</c:v>
                </c:pt>
                <c:pt idx="1">
                  <c:v>3.365828019809071E-3</c:v>
                </c:pt>
                <c:pt idx="2">
                  <c:v>2.1857187249993688E-3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7.8707835286277034E-3</c:v>
                </c:pt>
                <c:pt idx="1">
                  <c:v>6.3437187085485756E-3</c:v>
                </c:pt>
                <c:pt idx="2">
                  <c:v>4.7885093697076827E-3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2.5440916456170339E-4</c:v>
                </c:pt>
                <c:pt idx="1">
                  <c:v>2.0504949360965197E-4</c:v>
                </c:pt>
                <c:pt idx="2">
                  <c:v>1.5478010083903697E-4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1.7783083301043669E-3</c:v>
                </c:pt>
                <c:pt idx="1">
                  <c:v>8.1801304208325249E-4</c:v>
                </c:pt>
                <c:pt idx="2">
                  <c:v>5.0846159148288761E-4</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2.0569799349757336E-3</c:v>
                </c:pt>
                <c:pt idx="1">
                  <c:v>1.6086128653017922E-3</c:v>
                </c:pt>
                <c:pt idx="2">
                  <c:v>1.4833039920215956E-3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3.9670353002494918E-3</c:v>
                </c:pt>
                <c:pt idx="1">
                  <c:v>1.8248166299813073E-3</c:v>
                </c:pt>
                <c:pt idx="2">
                  <c:v>1.1342718515609E-3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3.0869690973969691E-3</c:v>
                </c:pt>
                <c:pt idx="1">
                  <c:v>2.0824027890185238E-3</c:v>
                </c:pt>
                <c:pt idx="2">
                  <c:v>1.7778029379406598E-3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1.2272875676237464E-2</c:v>
                </c:pt>
                <c:pt idx="1">
                  <c:v>1.0298472778236077E-2</c:v>
                </c:pt>
                <c:pt idx="2">
                  <c:v>6.5156977611726787E-3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7.4197014833875218E-3</c:v>
                </c:pt>
                <c:pt idx="1">
                  <c:v>6.4389364168107675E-3</c:v>
                </c:pt>
                <c:pt idx="2">
                  <c:v>4.3615159921940021E-3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1.7510189894861146E-3</c:v>
                </c:pt>
                <c:pt idx="1">
                  <c:v>1.4706502873132743E-3</c:v>
                </c:pt>
                <c:pt idx="2">
                  <c:v>8.094818986598834E-4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1.1281068013309969E-2</c:v>
                </c:pt>
                <c:pt idx="1">
                  <c:v>1.0287347344646189E-2</c:v>
                </c:pt>
                <c:pt idx="2">
                  <c:v>6.8423242323661987E-3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6.9528722157986764E-3</c:v>
                </c:pt>
                <c:pt idx="1">
                  <c:v>6.4272387974112985E-3</c:v>
                </c:pt>
                <c:pt idx="2">
                  <c:v>4.4721081299707692E-3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1.2843864944512701E-3</c:v>
                </c:pt>
                <c:pt idx="1">
                  <c:v>1.1638861106157486E-3</c:v>
                </c:pt>
                <c:pt idx="2">
                  <c:v>7.1707742300858301E-4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2.4929435480202329E-2</c:v>
                </c:pt>
                <c:pt idx="1">
                  <c:v>1.6093137076594651E-2</c:v>
                </c:pt>
                <c:pt idx="2">
                  <c:v>9.7494494830798577E-3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1.3114340768592438E-2</c:v>
                </c:pt>
                <c:pt idx="1">
                  <c:v>8.932387507949429E-3</c:v>
                </c:pt>
                <c:pt idx="2">
                  <c:v>5.8106946942033423E-3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1.1611655888857896E-3</c:v>
                </c:pt>
                <c:pt idx="1">
                  <c:v>7.9088847726635492E-4</c:v>
                </c:pt>
                <c:pt idx="2">
                  <c:v>5.1448859271592019E-4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st_calculator_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Parameter Input"/>
      <sheetName val="Transfer costs"/>
      <sheetName val="Output emissions"/>
      <sheetName val="Output fuel scenarios"/>
      <sheetName val="FIGURES"/>
      <sheetName val="Output costs"/>
      <sheetName val="Comments Ruben (temp)"/>
      <sheetName val="Semi-trailer truck (Diesel)"/>
      <sheetName val="Semi-trailer truck (Battery)"/>
      <sheetName val="Semi-trailer truck (Hydrogen)"/>
      <sheetName val="Railway (Diesel)"/>
      <sheetName val="Railway (Catenary)"/>
      <sheetName val="Railway (Battery)"/>
      <sheetName val="Railway (Hydrogen)"/>
      <sheetName val="Short-sea (HFO)"/>
      <sheetName val="Short-sea (MGO)"/>
      <sheetName val="Short-sea (Hydrogen)"/>
      <sheetName val="Short-sea (Ammonia)"/>
      <sheetName val="Short-sea (Methanol)"/>
      <sheetName val="Template_Cost_Calculator"/>
    </sheetNames>
    <sheetDataSet>
      <sheetData sheetId="0" refreshError="1"/>
      <sheetData sheetId="1" refreshError="1">
        <row r="24">
          <cell r="B24">
            <v>25</v>
          </cell>
        </row>
        <row r="25">
          <cell r="B25">
            <v>0.55999999999999994</v>
          </cell>
        </row>
        <row r="36">
          <cell r="B36">
            <v>25</v>
          </cell>
        </row>
        <row r="37">
          <cell r="B37">
            <v>0.64</v>
          </cell>
        </row>
        <row r="49">
          <cell r="B49">
            <v>25</v>
          </cell>
        </row>
        <row r="50">
          <cell r="B50">
            <v>0.6133333333333334</v>
          </cell>
        </row>
        <row r="62">
          <cell r="B62">
            <v>25</v>
          </cell>
        </row>
        <row r="63">
          <cell r="B63">
            <v>0.6133333333333334</v>
          </cell>
        </row>
        <row r="76">
          <cell r="B76">
            <v>25</v>
          </cell>
        </row>
        <row r="77">
          <cell r="B77">
            <v>0.64</v>
          </cell>
        </row>
        <row r="94">
          <cell r="B94">
            <v>2240</v>
          </cell>
        </row>
        <row r="95">
          <cell r="B95">
            <v>0.64</v>
          </cell>
        </row>
        <row r="106">
          <cell r="B106">
            <v>2240</v>
          </cell>
        </row>
        <row r="107">
          <cell r="B107">
            <v>0.42666666666666669</v>
          </cell>
        </row>
        <row r="118">
          <cell r="B118">
            <v>2240</v>
          </cell>
        </row>
        <row r="119">
          <cell r="B119">
            <v>0.42666666666666669</v>
          </cell>
        </row>
        <row r="130">
          <cell r="B130">
            <v>2240</v>
          </cell>
        </row>
        <row r="131">
          <cell r="B131">
            <v>0.72000000000000008</v>
          </cell>
        </row>
        <row r="141">
          <cell r="B141">
            <v>2800</v>
          </cell>
        </row>
        <row r="142">
          <cell r="B142">
            <v>0.42666666666666669</v>
          </cell>
        </row>
        <row r="159">
          <cell r="B159">
            <v>9450</v>
          </cell>
        </row>
        <row r="160">
          <cell r="B160">
            <v>0.68</v>
          </cell>
        </row>
        <row r="171">
          <cell r="B171">
            <v>9450</v>
          </cell>
        </row>
        <row r="172">
          <cell r="B172">
            <v>0.57333333333333336</v>
          </cell>
        </row>
        <row r="183">
          <cell r="B183">
            <v>9450</v>
          </cell>
        </row>
        <row r="184">
          <cell r="B184">
            <v>0.52</v>
          </cell>
        </row>
        <row r="196">
          <cell r="B196">
            <v>9450</v>
          </cell>
        </row>
        <row r="197">
          <cell r="B197">
            <v>0.68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zoomScaleNormal="100" workbookViewId="0">
      <selection activeCell="B15" sqref="B15"/>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39.5703125" customWidth="1"/>
    <col min="10" max="10" width="28.42578125" bestFit="1" customWidth="1"/>
    <col min="11" max="11" width="28.140625" customWidth="1"/>
    <col min="12" max="12" width="26.140625" bestFit="1" customWidth="1"/>
  </cols>
  <sheetData>
    <row r="1" spans="1:12" x14ac:dyDescent="0.25">
      <c r="A1" s="125" t="s">
        <v>1</v>
      </c>
      <c r="B1" s="133" t="s">
        <v>2</v>
      </c>
      <c r="C1" s="133" t="s">
        <v>3</v>
      </c>
      <c r="D1" s="133" t="s">
        <v>4</v>
      </c>
      <c r="E1" s="133" t="s">
        <v>5</v>
      </c>
      <c r="F1" s="133" t="s">
        <v>6</v>
      </c>
      <c r="G1" s="133" t="s">
        <v>7</v>
      </c>
      <c r="H1" s="133" t="s">
        <v>8</v>
      </c>
      <c r="I1" s="133" t="s">
        <v>9</v>
      </c>
      <c r="J1" s="133" t="s">
        <v>10</v>
      </c>
      <c r="K1" s="133" t="s">
        <v>11</v>
      </c>
      <c r="L1" s="133" t="s">
        <v>12</v>
      </c>
    </row>
    <row r="2" spans="1:12" x14ac:dyDescent="0.25">
      <c r="A2">
        <v>1</v>
      </c>
      <c r="B2" s="134" t="s">
        <v>13</v>
      </c>
      <c r="C2" s="135" t="s">
        <v>14</v>
      </c>
      <c r="D2" s="135" t="s">
        <v>15</v>
      </c>
      <c r="E2" s="135" t="s">
        <v>16</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13</v>
      </c>
      <c r="C3" t="s">
        <v>17</v>
      </c>
      <c r="D3" t="s">
        <v>15</v>
      </c>
      <c r="E3" t="s">
        <v>18</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13</v>
      </c>
      <c r="C4" t="s">
        <v>19</v>
      </c>
      <c r="D4" t="s">
        <v>16</v>
      </c>
      <c r="E4" t="s">
        <v>18</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20</v>
      </c>
      <c r="C5" s="168" t="s">
        <v>14</v>
      </c>
      <c r="D5" s="135" t="s">
        <v>15</v>
      </c>
      <c r="E5" s="135" t="s">
        <v>16</v>
      </c>
      <c r="F5" s="136">
        <f t="shared" si="0"/>
        <v>14</v>
      </c>
      <c r="H5" s="125"/>
      <c r="I5" s="166"/>
      <c r="J5" s="166"/>
      <c r="K5" s="166"/>
    </row>
    <row r="6" spans="1:12" x14ac:dyDescent="0.25">
      <c r="A6">
        <v>5</v>
      </c>
      <c r="B6" s="169" t="s">
        <v>20</v>
      </c>
      <c r="C6" s="170" t="s">
        <v>17</v>
      </c>
      <c r="D6" t="s">
        <v>15</v>
      </c>
      <c r="E6" t="s">
        <v>18</v>
      </c>
      <c r="F6" s="138">
        <f t="shared" si="0"/>
        <v>17</v>
      </c>
      <c r="H6" s="125"/>
      <c r="I6" s="166"/>
      <c r="J6" s="166"/>
      <c r="K6" s="166"/>
    </row>
    <row r="7" spans="1:12" x14ac:dyDescent="0.25">
      <c r="A7">
        <v>6</v>
      </c>
      <c r="B7" s="139" t="s">
        <v>20</v>
      </c>
      <c r="C7" s="140" t="s">
        <v>19</v>
      </c>
      <c r="D7" s="140" t="s">
        <v>16</v>
      </c>
      <c r="E7" s="140" t="s">
        <v>18</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21</v>
      </c>
      <c r="C8" t="s">
        <v>14</v>
      </c>
      <c r="D8" t="s">
        <v>15</v>
      </c>
      <c r="E8" t="s">
        <v>16</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21</v>
      </c>
      <c r="C9" t="s">
        <v>17</v>
      </c>
      <c r="D9" t="s">
        <v>15</v>
      </c>
      <c r="E9" t="s">
        <v>18</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21</v>
      </c>
      <c r="C10" t="s">
        <v>19</v>
      </c>
      <c r="D10" t="s">
        <v>16</v>
      </c>
      <c r="E10" t="s">
        <v>18</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v>
      </c>
      <c r="C11" s="135" t="s">
        <v>14</v>
      </c>
      <c r="D11" s="135" t="s">
        <v>15</v>
      </c>
      <c r="E11" s="135" t="s">
        <v>16</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v>
      </c>
      <c r="C12" t="s">
        <v>17</v>
      </c>
      <c r="D12" t="s">
        <v>15</v>
      </c>
      <c r="E12" t="s">
        <v>18</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v>
      </c>
      <c r="C13" s="140" t="s">
        <v>19</v>
      </c>
      <c r="D13" s="140" t="s">
        <v>16</v>
      </c>
      <c r="E13" s="140" t="s">
        <v>18</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23</v>
      </c>
      <c r="C14" s="135" t="s">
        <v>14</v>
      </c>
      <c r="D14" s="135" t="s">
        <v>15</v>
      </c>
      <c r="E14" s="135" t="s">
        <v>16</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23</v>
      </c>
      <c r="C15" t="s">
        <v>17</v>
      </c>
      <c r="D15" t="s">
        <v>15</v>
      </c>
      <c r="E15" t="s">
        <v>18</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23</v>
      </c>
      <c r="C16" s="140" t="s">
        <v>19</v>
      </c>
      <c r="D16" s="140" t="s">
        <v>16</v>
      </c>
      <c r="E16" s="140" t="s">
        <v>18</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24</v>
      </c>
    </row>
    <row r="21" spans="1:9" x14ac:dyDescent="0.25">
      <c r="A21" s="171" t="s">
        <v>25</v>
      </c>
    </row>
    <row r="22" spans="1:9" x14ac:dyDescent="0.25">
      <c r="B22" t="s">
        <v>2</v>
      </c>
      <c r="C22" t="s">
        <v>26</v>
      </c>
      <c r="D22" t="s">
        <v>27</v>
      </c>
      <c r="E22" t="s">
        <v>28</v>
      </c>
      <c r="H22" s="172" t="s">
        <v>29</v>
      </c>
      <c r="I22" t="s">
        <v>27</v>
      </c>
    </row>
    <row r="23" spans="1:9" ht="14.45" customHeight="1" x14ac:dyDescent="0.25">
      <c r="A23" t="s">
        <v>30</v>
      </c>
      <c r="B23" t="s">
        <v>21</v>
      </c>
      <c r="C23" t="s">
        <v>15</v>
      </c>
      <c r="D23">
        <v>199</v>
      </c>
      <c r="E23">
        <v>188</v>
      </c>
      <c r="F23" t="s">
        <v>31</v>
      </c>
      <c r="I23">
        <f>E23/('[1]Parameter Input'!B171*'[1]Parameter Input'!B172)</f>
        <v>3.4699150978220746E-2</v>
      </c>
    </row>
    <row r="24" spans="1:9" x14ac:dyDescent="0.25">
      <c r="A24" t="s">
        <v>32</v>
      </c>
      <c r="B24" t="s">
        <v>22</v>
      </c>
      <c r="C24" t="s">
        <v>15</v>
      </c>
      <c r="D24">
        <v>94</v>
      </c>
      <c r="E24">
        <v>84</v>
      </c>
      <c r="I24">
        <f>E24/('[1]Parameter Input'!B183*'[1]Parameter Input'!B184)</f>
        <v>1.7094017094017096E-2</v>
      </c>
    </row>
    <row r="25" spans="1:9" x14ac:dyDescent="0.25">
      <c r="A25" t="s">
        <v>33</v>
      </c>
      <c r="B25" t="s">
        <v>34</v>
      </c>
      <c r="C25" t="s">
        <v>15</v>
      </c>
      <c r="D25">
        <v>7</v>
      </c>
      <c r="E25">
        <v>37851</v>
      </c>
      <c r="I25">
        <f>E25/('[1]Parameter Input'!B159*'[1]Parameter Input'!B160)</f>
        <v>5.890289449112978</v>
      </c>
    </row>
    <row r="26" spans="1:9" x14ac:dyDescent="0.25">
      <c r="A26" t="s">
        <v>35</v>
      </c>
      <c r="B26" t="s">
        <v>23</v>
      </c>
      <c r="C26" t="s">
        <v>15</v>
      </c>
      <c r="D26">
        <v>76</v>
      </c>
      <c r="E26">
        <v>71</v>
      </c>
      <c r="I26">
        <f>E26/('[1]Parameter Input'!B196*'[1]Parameter Input'!B197)</f>
        <v>1.1048863990040458E-2</v>
      </c>
    </row>
    <row r="28" spans="1:9" x14ac:dyDescent="0.25">
      <c r="A28" t="s">
        <v>36</v>
      </c>
      <c r="B28" t="s">
        <v>21</v>
      </c>
      <c r="C28" t="s">
        <v>16</v>
      </c>
      <c r="D28">
        <v>217</v>
      </c>
      <c r="E28">
        <v>34</v>
      </c>
      <c r="F28" t="s">
        <v>37</v>
      </c>
      <c r="I28">
        <f>E28/('[1]Parameter Input'!B118*'[1]Parameter Input'!B119)</f>
        <v>3.5574776785714288E-2</v>
      </c>
    </row>
    <row r="29" spans="1:9" x14ac:dyDescent="0.25">
      <c r="A29" t="s">
        <v>38</v>
      </c>
      <c r="B29" t="s">
        <v>22</v>
      </c>
      <c r="C29" t="s">
        <v>16</v>
      </c>
      <c r="D29">
        <v>217</v>
      </c>
      <c r="E29">
        <v>34</v>
      </c>
      <c r="I29">
        <f>E29/('[1]Parameter Input'!B130*'[1]Parameter Input'!B131)</f>
        <v>2.1081349206349204E-2</v>
      </c>
    </row>
    <row r="30" spans="1:9" x14ac:dyDescent="0.25">
      <c r="A30" t="s">
        <v>39</v>
      </c>
      <c r="B30" t="s">
        <v>34</v>
      </c>
      <c r="C30" t="s">
        <v>16</v>
      </c>
      <c r="D30">
        <v>2</v>
      </c>
      <c r="E30">
        <v>49</v>
      </c>
      <c r="I30">
        <f>E30/('[1]Parameter Input'!B94*'[1]Parameter Input'!B95)</f>
        <v>3.41796875E-2</v>
      </c>
    </row>
    <row r="31" spans="1:9" x14ac:dyDescent="0.25">
      <c r="A31" t="s">
        <v>40</v>
      </c>
      <c r="B31" t="s">
        <v>23</v>
      </c>
      <c r="C31" t="s">
        <v>16</v>
      </c>
      <c r="D31">
        <v>19</v>
      </c>
      <c r="E31">
        <v>214</v>
      </c>
      <c r="I31">
        <f>E31/('[1]Parameter Input'!B141*'[1]Parameter Input'!B142)</f>
        <v>0.17912946428571427</v>
      </c>
    </row>
    <row r="32" spans="1:9" x14ac:dyDescent="0.25">
      <c r="A32" t="s">
        <v>41</v>
      </c>
      <c r="B32" t="s">
        <v>20</v>
      </c>
      <c r="C32" t="s">
        <v>16</v>
      </c>
      <c r="D32">
        <v>9</v>
      </c>
      <c r="E32">
        <v>85</v>
      </c>
      <c r="I32">
        <f>E32/('[1]Parameter Input'!B106*'[1]Parameter Input'!B107)</f>
        <v>8.8936941964285712E-2</v>
      </c>
    </row>
    <row r="34" spans="1:9" x14ac:dyDescent="0.25">
      <c r="A34" t="s">
        <v>42</v>
      </c>
      <c r="B34" t="s">
        <v>21</v>
      </c>
      <c r="C34" t="s">
        <v>18</v>
      </c>
      <c r="D34">
        <v>179</v>
      </c>
      <c r="E34">
        <v>171</v>
      </c>
      <c r="F34" t="s">
        <v>43</v>
      </c>
      <c r="I34">
        <f>E34/('[1]Parameter Input'!B49*'[1]Parameter Input'!B50)</f>
        <v>11.152173913043477</v>
      </c>
    </row>
    <row r="35" spans="1:9" x14ac:dyDescent="0.25">
      <c r="A35" t="s">
        <v>44</v>
      </c>
      <c r="B35" t="s">
        <v>22</v>
      </c>
      <c r="C35" t="s">
        <v>18</v>
      </c>
      <c r="D35">
        <v>135</v>
      </c>
      <c r="E35">
        <v>158</v>
      </c>
      <c r="I35">
        <f>E35/('[1]Parameter Input'!B62*'[1]Parameter Input'!B63)</f>
        <v>10.304347826086955</v>
      </c>
    </row>
    <row r="36" spans="1:9" x14ac:dyDescent="0.25">
      <c r="A36" t="s">
        <v>45</v>
      </c>
      <c r="B36" t="s">
        <v>34</v>
      </c>
      <c r="C36" t="s">
        <v>18</v>
      </c>
      <c r="D36">
        <v>4</v>
      </c>
      <c r="E36">
        <v>85</v>
      </c>
      <c r="I36">
        <f>E36/('[1]Parameter Input'!B24*'[1]Parameter Input'!B25)</f>
        <v>6.0714285714285721</v>
      </c>
    </row>
    <row r="37" spans="1:9" x14ac:dyDescent="0.25">
      <c r="A37" t="s">
        <v>46</v>
      </c>
      <c r="B37" t="s">
        <v>23</v>
      </c>
      <c r="C37" t="s">
        <v>18</v>
      </c>
      <c r="D37">
        <v>8</v>
      </c>
      <c r="E37">
        <v>339</v>
      </c>
      <c r="I37">
        <f>E37/('[1]Parameter Input'!B76*'[1]Parameter Input'!B77)</f>
        <v>21.1875</v>
      </c>
    </row>
    <row r="38" spans="1:9" x14ac:dyDescent="0.25">
      <c r="A38" t="s">
        <v>47</v>
      </c>
      <c r="B38" t="s">
        <v>20</v>
      </c>
      <c r="C38" t="s">
        <v>18</v>
      </c>
      <c r="D38">
        <v>12</v>
      </c>
      <c r="E38">
        <v>157</v>
      </c>
      <c r="I38">
        <f>E38/('[1]Parameter Input'!B36*'[1]Parameter Input'!B37)</f>
        <v>9.8125</v>
      </c>
    </row>
    <row r="42" spans="1:9" x14ac:dyDescent="0.25">
      <c r="A42" s="171" t="s">
        <v>25</v>
      </c>
      <c r="C42" t="s">
        <v>48</v>
      </c>
      <c r="E42" t="s">
        <v>49</v>
      </c>
      <c r="F42" t="s">
        <v>50</v>
      </c>
    </row>
    <row r="43" spans="1:9" x14ac:dyDescent="0.25">
      <c r="C43" s="133" t="s">
        <v>51</v>
      </c>
      <c r="E43" t="s">
        <v>21</v>
      </c>
      <c r="F43">
        <f>2*170</f>
        <v>340</v>
      </c>
      <c r="G43" t="s">
        <v>52</v>
      </c>
    </row>
    <row r="44" spans="1:9" x14ac:dyDescent="0.25">
      <c r="A44" t="s">
        <v>33</v>
      </c>
      <c r="C44">
        <v>4</v>
      </c>
    </row>
    <row r="45" spans="1:9" x14ac:dyDescent="0.25">
      <c r="A45" t="s">
        <v>33</v>
      </c>
      <c r="C45">
        <v>4</v>
      </c>
    </row>
    <row r="46" spans="1:9" x14ac:dyDescent="0.25">
      <c r="A46" t="s">
        <v>53</v>
      </c>
      <c r="C46">
        <v>2</v>
      </c>
    </row>
    <row r="47" spans="1:9" x14ac:dyDescent="0.25">
      <c r="A47" t="s">
        <v>54</v>
      </c>
      <c r="C47">
        <v>5</v>
      </c>
    </row>
    <row r="48" spans="1:9" x14ac:dyDescent="0.25">
      <c r="A48" t="s">
        <v>54</v>
      </c>
      <c r="C48">
        <v>5</v>
      </c>
    </row>
    <row r="49" spans="1:3" x14ac:dyDescent="0.25">
      <c r="A49" t="s">
        <v>53</v>
      </c>
      <c r="C49">
        <v>2</v>
      </c>
    </row>
    <row r="50" spans="1:3" x14ac:dyDescent="0.25">
      <c r="A50" t="s">
        <v>30</v>
      </c>
      <c r="C50">
        <v>199</v>
      </c>
    </row>
    <row r="51" spans="1:3" x14ac:dyDescent="0.25">
      <c r="A51" t="s">
        <v>30</v>
      </c>
      <c r="C51">
        <v>199</v>
      </c>
    </row>
    <row r="52" spans="1:3" x14ac:dyDescent="0.25">
      <c r="A52" t="s">
        <v>55</v>
      </c>
      <c r="C52">
        <v>217</v>
      </c>
    </row>
    <row r="53" spans="1:3" x14ac:dyDescent="0.25">
      <c r="A53" t="s">
        <v>56</v>
      </c>
      <c r="C53">
        <v>94</v>
      </c>
    </row>
    <row r="54" spans="1:3" x14ac:dyDescent="0.25">
      <c r="A54" t="s">
        <v>56</v>
      </c>
      <c r="C54">
        <v>94</v>
      </c>
    </row>
    <row r="55" spans="1:3" x14ac:dyDescent="0.25">
      <c r="A55" t="s">
        <v>55</v>
      </c>
      <c r="C55">
        <v>217</v>
      </c>
    </row>
    <row r="56" spans="1:3" x14ac:dyDescent="0.25">
      <c r="A56" t="s">
        <v>35</v>
      </c>
      <c r="C56">
        <v>76</v>
      </c>
    </row>
    <row r="57" spans="1:3" x14ac:dyDescent="0.25">
      <c r="A57" t="s">
        <v>35</v>
      </c>
      <c r="C57">
        <v>76</v>
      </c>
    </row>
    <row r="58" spans="1:3" x14ac:dyDescent="0.25">
      <c r="A58" t="s">
        <v>57</v>
      </c>
      <c r="C58">
        <v>31</v>
      </c>
    </row>
    <row r="60" spans="1:3" x14ac:dyDescent="0.25">
      <c r="C60" s="133" t="s">
        <v>58</v>
      </c>
    </row>
    <row r="61" spans="1:3" x14ac:dyDescent="0.25">
      <c r="A61" t="s">
        <v>53</v>
      </c>
      <c r="C61">
        <v>2</v>
      </c>
    </row>
    <row r="62" spans="1:3" x14ac:dyDescent="0.25">
      <c r="A62" t="s">
        <v>59</v>
      </c>
      <c r="C62">
        <v>4</v>
      </c>
    </row>
    <row r="63" spans="1:3" x14ac:dyDescent="0.25">
      <c r="A63" t="s">
        <v>59</v>
      </c>
      <c r="C63">
        <v>4</v>
      </c>
    </row>
    <row r="64" spans="1:3" x14ac:dyDescent="0.25">
      <c r="A64" t="s">
        <v>60</v>
      </c>
      <c r="C64">
        <v>9</v>
      </c>
    </row>
    <row r="65" spans="1:3" x14ac:dyDescent="0.25">
      <c r="A65" t="s">
        <v>61</v>
      </c>
      <c r="C65">
        <v>12</v>
      </c>
    </row>
    <row r="66" spans="1:3" x14ac:dyDescent="0.25">
      <c r="A66" t="s">
        <v>61</v>
      </c>
      <c r="C66">
        <v>12</v>
      </c>
    </row>
    <row r="67" spans="1:3" x14ac:dyDescent="0.25">
      <c r="A67" t="s">
        <v>55</v>
      </c>
      <c r="C67">
        <v>217</v>
      </c>
    </row>
    <row r="68" spans="1:3" x14ac:dyDescent="0.25">
      <c r="A68" t="s">
        <v>62</v>
      </c>
      <c r="C68">
        <v>178</v>
      </c>
    </row>
    <row r="69" spans="1:3" x14ac:dyDescent="0.25">
      <c r="A69" t="s">
        <v>62</v>
      </c>
      <c r="C69">
        <v>178</v>
      </c>
    </row>
    <row r="70" spans="1:3" x14ac:dyDescent="0.25">
      <c r="A70" t="s">
        <v>55</v>
      </c>
      <c r="C70">
        <v>217</v>
      </c>
    </row>
    <row r="71" spans="1:3" x14ac:dyDescent="0.25">
      <c r="A71" t="s">
        <v>63</v>
      </c>
      <c r="C71">
        <v>200</v>
      </c>
    </row>
    <row r="72" spans="1:3" x14ac:dyDescent="0.25">
      <c r="A72" t="s">
        <v>63</v>
      </c>
      <c r="C72">
        <v>200</v>
      </c>
    </row>
    <row r="73" spans="1:3" x14ac:dyDescent="0.25">
      <c r="A73" t="s">
        <v>57</v>
      </c>
      <c r="C73">
        <v>31</v>
      </c>
    </row>
    <row r="74" spans="1:3" x14ac:dyDescent="0.25">
      <c r="A74" t="s">
        <v>64</v>
      </c>
      <c r="C74">
        <v>26</v>
      </c>
    </row>
    <row r="75" spans="1:3" x14ac:dyDescent="0.25">
      <c r="A75" t="s">
        <v>64</v>
      </c>
      <c r="C75">
        <v>26</v>
      </c>
    </row>
    <row r="86" spans="1:7" x14ac:dyDescent="0.25">
      <c r="A86" t="s">
        <v>65</v>
      </c>
    </row>
    <row r="87" spans="1:7" x14ac:dyDescent="0.25">
      <c r="A87" s="184" t="s">
        <v>66</v>
      </c>
      <c r="B87" t="s">
        <v>67</v>
      </c>
      <c r="C87" t="s">
        <v>68</v>
      </c>
    </row>
    <row r="88" spans="1:7" x14ac:dyDescent="0.25">
      <c r="A88" t="s">
        <v>69</v>
      </c>
      <c r="B88">
        <v>525</v>
      </c>
    </row>
    <row r="89" spans="1:7" x14ac:dyDescent="0.25">
      <c r="A89" t="s">
        <v>21</v>
      </c>
      <c r="B89">
        <v>47</v>
      </c>
    </row>
    <row r="90" spans="1:7" x14ac:dyDescent="0.25">
      <c r="A90" t="s">
        <v>70</v>
      </c>
      <c r="B90">
        <v>44</v>
      </c>
    </row>
    <row r="91" spans="1:7" x14ac:dyDescent="0.25">
      <c r="A91" t="s">
        <v>71</v>
      </c>
      <c r="B91">
        <v>734</v>
      </c>
    </row>
    <row r="93" spans="1:7" x14ac:dyDescent="0.25">
      <c r="A93" t="s">
        <v>72</v>
      </c>
    </row>
    <row r="94" spans="1:7" x14ac:dyDescent="0.25">
      <c r="A94" s="184" t="s">
        <v>73</v>
      </c>
      <c r="C94" t="s">
        <v>74</v>
      </c>
    </row>
    <row r="95" spans="1:7" x14ac:dyDescent="0.25">
      <c r="A95" t="s">
        <v>75</v>
      </c>
      <c r="B95">
        <f>5/20</f>
        <v>0.25</v>
      </c>
      <c r="C95" t="s">
        <v>76</v>
      </c>
      <c r="G95" s="173"/>
    </row>
    <row r="96" spans="1:7" x14ac:dyDescent="0.25">
      <c r="A96" t="s">
        <v>77</v>
      </c>
      <c r="B96">
        <f>5/20</f>
        <v>0.25</v>
      </c>
      <c r="C96" t="s">
        <v>78</v>
      </c>
      <c r="G96" s="173"/>
    </row>
    <row r="97" spans="1:7" x14ac:dyDescent="0.25">
      <c r="A97" t="s">
        <v>79</v>
      </c>
      <c r="B97">
        <v>0.1</v>
      </c>
      <c r="C97" t="s">
        <v>78</v>
      </c>
      <c r="G97" s="173"/>
    </row>
    <row r="98" spans="1:7" x14ac:dyDescent="0.25">
      <c r="A98" t="s">
        <v>80</v>
      </c>
      <c r="B98">
        <f>7/20</f>
        <v>0.35</v>
      </c>
      <c r="C98" t="s">
        <v>78</v>
      </c>
      <c r="G98" s="173"/>
    </row>
    <row r="99" spans="1:7" x14ac:dyDescent="0.25">
      <c r="A99" t="s">
        <v>81</v>
      </c>
      <c r="B99">
        <f>25/25</f>
        <v>1</v>
      </c>
      <c r="C99" t="s">
        <v>82</v>
      </c>
      <c r="G99" s="173"/>
    </row>
    <row r="102" spans="1:7" x14ac:dyDescent="0.25">
      <c r="A102" s="184" t="s">
        <v>83</v>
      </c>
      <c r="C102" t="s">
        <v>84</v>
      </c>
    </row>
    <row r="103" spans="1:7" x14ac:dyDescent="0.25">
      <c r="A103" t="s">
        <v>21</v>
      </c>
      <c r="B103">
        <v>8</v>
      </c>
    </row>
    <row r="104" spans="1:7" x14ac:dyDescent="0.25">
      <c r="A104" t="s">
        <v>22</v>
      </c>
      <c r="B104">
        <v>8</v>
      </c>
    </row>
    <row r="105" spans="1:7" x14ac:dyDescent="0.25">
      <c r="A105" t="s">
        <v>34</v>
      </c>
      <c r="B105">
        <v>24</v>
      </c>
    </row>
    <row r="106" spans="1:7" x14ac:dyDescent="0.25">
      <c r="A106" t="s">
        <v>23</v>
      </c>
      <c r="B106">
        <v>24</v>
      </c>
    </row>
    <row r="107" spans="1:7" x14ac:dyDescent="0.25">
      <c r="A107" t="s">
        <v>20</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96"/>
  <sheetViews>
    <sheetView tabSelected="1" topLeftCell="A24" zoomScaleNormal="100" workbookViewId="0">
      <selection activeCell="A57" sqref="A57"/>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85</v>
      </c>
    </row>
    <row r="2" spans="1:37" ht="15.75" thickBot="1" x14ac:dyDescent="0.3">
      <c r="I2" s="152"/>
    </row>
    <row r="3" spans="1:37" ht="15.75" thickBot="1" x14ac:dyDescent="0.3">
      <c r="A3" s="185" t="s">
        <v>85</v>
      </c>
      <c r="B3" s="186">
        <v>2023</v>
      </c>
      <c r="C3" s="186">
        <v>2050</v>
      </c>
      <c r="D3" s="187" t="s">
        <v>86</v>
      </c>
      <c r="E3" s="185" t="s">
        <v>87</v>
      </c>
      <c r="F3" s="186" t="s">
        <v>88</v>
      </c>
      <c r="G3" s="187" t="s">
        <v>89</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90</v>
      </c>
      <c r="B4" s="189">
        <v>0</v>
      </c>
      <c r="C4" s="189">
        <v>0</v>
      </c>
      <c r="D4" s="190" t="s">
        <v>91</v>
      </c>
      <c r="E4" s="191">
        <v>17</v>
      </c>
      <c r="F4" s="189">
        <v>0.9</v>
      </c>
      <c r="G4" s="190">
        <v>0.4</v>
      </c>
      <c r="I4" s="4" t="s">
        <v>92</v>
      </c>
      <c r="J4" s="165">
        <v>9.4166661249999992E-2</v>
      </c>
      <c r="K4" s="165">
        <v>9.4166661249999992E-2</v>
      </c>
      <c r="L4" s="165">
        <v>9.4166661249999992E-2</v>
      </c>
      <c r="M4" s="165">
        <v>9.4166661249999992E-2</v>
      </c>
      <c r="N4" s="165">
        <v>9.4166661249999992E-2</v>
      </c>
      <c r="O4" s="165">
        <v>9.4166661249999992E-2</v>
      </c>
      <c r="P4" s="165">
        <v>9.4166661249999992E-2</v>
      </c>
      <c r="Q4" s="165">
        <v>9.4166661249999992E-2</v>
      </c>
      <c r="R4" s="165">
        <v>9.5999994399999997E-2</v>
      </c>
      <c r="S4" s="165">
        <v>9.7833327550000002E-2</v>
      </c>
      <c r="T4" s="165">
        <v>9.9666660700000007E-2</v>
      </c>
      <c r="U4" s="165">
        <v>0.10149999385000001</v>
      </c>
      <c r="V4" s="165">
        <v>0.103333327</v>
      </c>
      <c r="W4" s="165">
        <v>0.1023333271</v>
      </c>
      <c r="X4" s="165">
        <v>0.10133332719999999</v>
      </c>
      <c r="Y4" s="165">
        <v>0.10033332729999998</v>
      </c>
      <c r="Z4" s="165">
        <v>9.9333327399999977E-2</v>
      </c>
      <c r="AA4" s="165">
        <v>9.8333327499999998E-2</v>
      </c>
      <c r="AB4" s="165">
        <v>9.7333327599999991E-2</v>
      </c>
      <c r="AC4" s="165">
        <v>9.6333327699999985E-2</v>
      </c>
      <c r="AD4" s="165">
        <v>9.5333327799999978E-2</v>
      </c>
      <c r="AE4" s="165">
        <v>9.4333327899999986E-2</v>
      </c>
      <c r="AF4" s="165">
        <v>9.3333328000000007E-2</v>
      </c>
      <c r="AG4" s="165">
        <v>9.2333328100000001E-2</v>
      </c>
      <c r="AH4" s="165">
        <v>9.1333328199999994E-2</v>
      </c>
      <c r="AI4" s="165">
        <v>9.0333328299999988E-2</v>
      </c>
      <c r="AJ4" s="165">
        <v>8.9333328399999981E-2</v>
      </c>
      <c r="AK4" s="165">
        <v>8.8333328500000016E-2</v>
      </c>
    </row>
    <row r="5" spans="1:37" x14ac:dyDescent="0.25">
      <c r="A5" s="175" t="s">
        <v>93</v>
      </c>
      <c r="B5" s="176">
        <v>0.1</v>
      </c>
      <c r="C5" s="176">
        <v>0.1</v>
      </c>
      <c r="D5" s="176" t="s">
        <v>94</v>
      </c>
      <c r="E5" s="176">
        <v>12</v>
      </c>
      <c r="F5" s="176">
        <v>0.9</v>
      </c>
      <c r="G5" s="177">
        <v>0.4</v>
      </c>
      <c r="I5" s="4" t="s">
        <v>95</v>
      </c>
      <c r="J5" s="165">
        <v>0.19695917693522813</v>
      </c>
      <c r="K5" s="165">
        <v>0.1918445490889919</v>
      </c>
      <c r="L5" s="165">
        <v>0.1867299212427557</v>
      </c>
      <c r="M5" s="165">
        <v>0.18316543121930073</v>
      </c>
      <c r="N5" s="165">
        <v>0.1796009411958458</v>
      </c>
      <c r="O5" s="165">
        <v>0.17603645117239083</v>
      </c>
      <c r="P5" s="165">
        <v>0.17247196114893587</v>
      </c>
      <c r="Q5" s="165">
        <v>0.16890747112548093</v>
      </c>
      <c r="R5" s="165">
        <v>0.16876144856602932</v>
      </c>
      <c r="S5" s="165">
        <v>0.16861542600657767</v>
      </c>
      <c r="T5" s="165">
        <v>0.16846940344712602</v>
      </c>
      <c r="U5" s="165">
        <v>0.1683233808876744</v>
      </c>
      <c r="V5" s="165">
        <v>0.16817735832822278</v>
      </c>
      <c r="W5" s="165">
        <v>0.16448316805908789</v>
      </c>
      <c r="X5" s="165">
        <v>0.16078897778995299</v>
      </c>
      <c r="Y5" s="165">
        <v>0.15709478752081807</v>
      </c>
      <c r="Z5" s="165">
        <v>0.15340059725168312</v>
      </c>
      <c r="AA5" s="165">
        <v>0.1497064069825482</v>
      </c>
      <c r="AB5" s="165">
        <v>0.14627718374621171</v>
      </c>
      <c r="AC5" s="165">
        <v>0.14284796050987525</v>
      </c>
      <c r="AD5" s="165">
        <v>0.13941873727353876</v>
      </c>
      <c r="AE5" s="165">
        <v>0.13598951403720227</v>
      </c>
      <c r="AF5" s="165">
        <v>0.13256029080086582</v>
      </c>
      <c r="AG5" s="165">
        <v>0.12972417970496936</v>
      </c>
      <c r="AH5" s="165">
        <v>0.12688806860907287</v>
      </c>
      <c r="AI5" s="165">
        <v>0.12405195751317638</v>
      </c>
      <c r="AJ5" s="165">
        <v>0.12121584641727991</v>
      </c>
      <c r="AK5" s="165">
        <v>0.11837973532138339</v>
      </c>
    </row>
    <row r="6" spans="1:37" x14ac:dyDescent="0.25">
      <c r="A6" s="178" t="s">
        <v>96</v>
      </c>
      <c r="B6" s="179">
        <v>0.06</v>
      </c>
      <c r="C6" s="179">
        <v>0.06</v>
      </c>
      <c r="D6" s="179" t="s">
        <v>94</v>
      </c>
      <c r="E6" s="179">
        <v>17</v>
      </c>
      <c r="F6" s="179">
        <v>0.9</v>
      </c>
      <c r="G6" s="180">
        <v>0.4</v>
      </c>
      <c r="I6" s="4" t="s">
        <v>97</v>
      </c>
      <c r="J6" s="165">
        <v>0.18104231880665794</v>
      </c>
      <c r="K6" s="165">
        <v>0.17732719010569079</v>
      </c>
      <c r="L6" s="165">
        <v>0.17361206140472354</v>
      </c>
      <c r="M6" s="165">
        <v>0.17118675002498271</v>
      </c>
      <c r="N6" s="165">
        <v>0.16876143864524187</v>
      </c>
      <c r="O6" s="165">
        <v>0.16633612726550104</v>
      </c>
      <c r="P6" s="165">
        <v>0.1639108158857602</v>
      </c>
      <c r="Q6" s="165">
        <v>0.16148550450601945</v>
      </c>
      <c r="R6" s="165">
        <v>0.1627875388918204</v>
      </c>
      <c r="S6" s="165">
        <v>0.16408957327762139</v>
      </c>
      <c r="T6" s="165">
        <v>0.16539160766342234</v>
      </c>
      <c r="U6" s="165">
        <v>0.16669364204922332</v>
      </c>
      <c r="V6" s="165">
        <v>0.16799567643502425</v>
      </c>
      <c r="W6" s="165">
        <v>0.16487244686609676</v>
      </c>
      <c r="X6" s="165">
        <v>0.16174921729716923</v>
      </c>
      <c r="Y6" s="165">
        <v>0.15862598772824177</v>
      </c>
      <c r="Z6" s="165">
        <v>0.15550275815931427</v>
      </c>
      <c r="AA6" s="165">
        <v>0.15237952859038681</v>
      </c>
      <c r="AB6" s="165">
        <v>0.14950198735980291</v>
      </c>
      <c r="AC6" s="165">
        <v>0.14662444612921899</v>
      </c>
      <c r="AD6" s="165">
        <v>0.14374690489863506</v>
      </c>
      <c r="AE6" s="165">
        <v>0.14086936366805117</v>
      </c>
      <c r="AF6" s="165">
        <v>0.13799182243746722</v>
      </c>
      <c r="AG6" s="165">
        <v>0.1352562604095163</v>
      </c>
      <c r="AH6" s="165">
        <v>0.13252069838156535</v>
      </c>
      <c r="AI6" s="165">
        <v>0.12978513635361441</v>
      </c>
      <c r="AJ6" s="165">
        <v>0.12704957432566347</v>
      </c>
      <c r="AK6" s="165">
        <v>0.12431401229771254</v>
      </c>
    </row>
    <row r="7" spans="1:37" x14ac:dyDescent="0.25">
      <c r="A7" s="178" t="s">
        <v>98</v>
      </c>
      <c r="B7" s="179">
        <v>3.1399999999999997E-2</v>
      </c>
      <c r="C7" s="179">
        <v>3.1399999999999997E-2</v>
      </c>
      <c r="D7" s="179" t="s">
        <v>94</v>
      </c>
      <c r="E7" s="179">
        <v>17</v>
      </c>
      <c r="F7" s="179">
        <v>0.9</v>
      </c>
      <c r="G7" s="180">
        <v>0.4</v>
      </c>
      <c r="I7" s="4" t="s">
        <v>99</v>
      </c>
      <c r="J7" s="165">
        <v>0.36417427635318367</v>
      </c>
      <c r="K7" s="165">
        <v>0.34953957198802377</v>
      </c>
      <c r="L7" s="165">
        <v>0.33490486762286403</v>
      </c>
      <c r="M7" s="165">
        <v>0.32172366231345256</v>
      </c>
      <c r="N7" s="165">
        <v>0.30854245700404115</v>
      </c>
      <c r="O7" s="165">
        <v>0.29536125169462968</v>
      </c>
      <c r="P7" s="165">
        <v>0.28218004638521826</v>
      </c>
      <c r="Q7" s="165">
        <v>0.26899884107580674</v>
      </c>
      <c r="R7" s="165">
        <v>0.26271894785871058</v>
      </c>
      <c r="S7" s="165">
        <v>0.25643905464161443</v>
      </c>
      <c r="T7" s="165">
        <v>0.25015916142451827</v>
      </c>
      <c r="U7" s="165">
        <v>0.24387926820742209</v>
      </c>
      <c r="V7" s="165">
        <v>0.23759937499032585</v>
      </c>
      <c r="W7" s="165">
        <v>0.22988467822493394</v>
      </c>
      <c r="X7" s="165">
        <v>0.22216998145954203</v>
      </c>
      <c r="Y7" s="165">
        <v>0.21445528469415012</v>
      </c>
      <c r="Z7" s="165">
        <v>0.20674058792875821</v>
      </c>
      <c r="AA7" s="165">
        <v>0.19902589116336625</v>
      </c>
      <c r="AB7" s="165">
        <v>0.19368220926450147</v>
      </c>
      <c r="AC7" s="165">
        <v>0.18833852736563667</v>
      </c>
      <c r="AD7" s="165">
        <v>0.18299484546677189</v>
      </c>
      <c r="AE7" s="165">
        <v>0.17765116356790711</v>
      </c>
      <c r="AF7" s="165">
        <v>0.17230748166904239</v>
      </c>
      <c r="AG7" s="165">
        <v>0.16851782325418166</v>
      </c>
      <c r="AH7" s="165">
        <v>0.16472816483932096</v>
      </c>
      <c r="AI7" s="165">
        <v>0.16093850642446025</v>
      </c>
      <c r="AJ7" s="165">
        <v>0.15714884800959955</v>
      </c>
      <c r="AK7" s="165">
        <v>0.15335918959473879</v>
      </c>
    </row>
    <row r="8" spans="1:37" x14ac:dyDescent="0.25">
      <c r="A8" s="178" t="s">
        <v>92</v>
      </c>
      <c r="B8" s="179">
        <v>0.13371034051801745</v>
      </c>
      <c r="C8" s="179">
        <v>8.7585019329602734E-2</v>
      </c>
      <c r="D8" s="179" t="s">
        <v>94</v>
      </c>
      <c r="E8" s="179">
        <v>12</v>
      </c>
      <c r="F8" s="179">
        <v>0.9</v>
      </c>
      <c r="G8" s="180">
        <v>0.4</v>
      </c>
      <c r="I8" s="4" t="s">
        <v>100</v>
      </c>
      <c r="J8" s="165">
        <v>5.7951260504201685E-2</v>
      </c>
      <c r="K8" s="165">
        <v>5.3954621848739497E-2</v>
      </c>
      <c r="L8" s="165">
        <v>4.9957983193277315E-2</v>
      </c>
      <c r="M8" s="165">
        <v>4.5961344537815127E-2</v>
      </c>
      <c r="N8" s="165">
        <v>4.1964705882352946E-2</v>
      </c>
      <c r="O8" s="165">
        <v>3.7968067226890764E-2</v>
      </c>
      <c r="P8" s="165">
        <v>3.3971428571428583E-2</v>
      </c>
      <c r="Q8" s="165">
        <v>2.9974789915966391E-2</v>
      </c>
      <c r="R8" s="165">
        <v>2.9368157262905165E-2</v>
      </c>
      <c r="S8" s="165">
        <v>2.8761524609843939E-2</v>
      </c>
      <c r="T8" s="165">
        <v>2.8154891956782713E-2</v>
      </c>
      <c r="U8" s="165">
        <v>2.7548259303721487E-2</v>
      </c>
      <c r="V8" s="165">
        <v>2.6941626650660268E-2</v>
      </c>
      <c r="W8" s="165">
        <v>2.6334993997599043E-2</v>
      </c>
      <c r="X8" s="165">
        <v>2.5728361344537817E-2</v>
      </c>
      <c r="Y8" s="165">
        <v>2.5121728691476591E-2</v>
      </c>
      <c r="Z8" s="165">
        <v>2.4515096038415365E-2</v>
      </c>
      <c r="AA8" s="165">
        <v>2.3908463385354146E-2</v>
      </c>
      <c r="AB8" s="165">
        <v>2.330183073229292E-2</v>
      </c>
      <c r="AC8" s="165">
        <v>2.2695198079231694E-2</v>
      </c>
      <c r="AD8" s="165">
        <v>2.2088565426170468E-2</v>
      </c>
      <c r="AE8" s="165">
        <v>2.1481932773109242E-2</v>
      </c>
      <c r="AF8" s="165">
        <v>2.0875300120048023E-2</v>
      </c>
      <c r="AG8" s="165">
        <v>2.0268667466986797E-2</v>
      </c>
      <c r="AH8" s="165">
        <v>1.9662034813925571E-2</v>
      </c>
      <c r="AI8" s="165">
        <v>1.9055402160864345E-2</v>
      </c>
      <c r="AJ8" s="165">
        <v>1.8448769507803119E-2</v>
      </c>
      <c r="AK8" s="165">
        <v>1.78421368547419E-2</v>
      </c>
    </row>
    <row r="9" spans="1:37" x14ac:dyDescent="0.25">
      <c r="A9" s="178" t="s">
        <v>95</v>
      </c>
      <c r="B9" s="179">
        <v>0.2544561408768215</v>
      </c>
      <c r="C9" s="179">
        <v>0.10949010032952979</v>
      </c>
      <c r="D9" s="179" t="s">
        <v>94</v>
      </c>
      <c r="E9" s="179">
        <v>12</v>
      </c>
      <c r="F9" s="179">
        <v>0.9</v>
      </c>
      <c r="G9" s="180">
        <v>0.4</v>
      </c>
      <c r="I9" s="4" t="s">
        <v>101</v>
      </c>
      <c r="J9" s="165">
        <v>5.7951260504201685E-2</v>
      </c>
      <c r="K9" s="165">
        <v>5.3954621848739497E-2</v>
      </c>
      <c r="L9" s="165">
        <v>4.9957983193277315E-2</v>
      </c>
      <c r="M9" s="165">
        <v>4.5961344537815127E-2</v>
      </c>
      <c r="N9" s="165">
        <v>4.1964705882352946E-2</v>
      </c>
      <c r="O9" s="165">
        <v>3.7968067226890764E-2</v>
      </c>
      <c r="P9" s="165">
        <v>3.3971428571428583E-2</v>
      </c>
      <c r="Q9" s="165">
        <v>2.9974789915966391E-2</v>
      </c>
      <c r="R9" s="165">
        <v>2.9368157262905165E-2</v>
      </c>
      <c r="S9" s="165">
        <v>2.8761524609843939E-2</v>
      </c>
      <c r="T9" s="165">
        <v>2.8154891956782713E-2</v>
      </c>
      <c r="U9" s="165">
        <v>2.7548259303721487E-2</v>
      </c>
      <c r="V9" s="165">
        <v>2.6941626650660268E-2</v>
      </c>
      <c r="W9" s="165">
        <v>2.6334993997599043E-2</v>
      </c>
      <c r="X9" s="165">
        <v>2.5728361344537817E-2</v>
      </c>
      <c r="Y9" s="165">
        <v>2.5121728691476591E-2</v>
      </c>
      <c r="Z9" s="165">
        <v>2.4515096038415365E-2</v>
      </c>
      <c r="AA9" s="165">
        <v>2.3908463385354146E-2</v>
      </c>
      <c r="AB9" s="165">
        <v>2.330183073229292E-2</v>
      </c>
      <c r="AC9" s="165">
        <v>2.2695198079231694E-2</v>
      </c>
      <c r="AD9" s="165">
        <v>2.2088565426170468E-2</v>
      </c>
      <c r="AE9" s="165">
        <v>2.1481932773109242E-2</v>
      </c>
      <c r="AF9" s="165">
        <v>2.0875300120048023E-2</v>
      </c>
      <c r="AG9" s="165">
        <v>2.0268667466986797E-2</v>
      </c>
      <c r="AH9" s="165">
        <v>1.9662034813925571E-2</v>
      </c>
      <c r="AI9" s="165">
        <v>1.9055402160864345E-2</v>
      </c>
      <c r="AJ9" s="165">
        <v>1.8448769507803119E-2</v>
      </c>
      <c r="AK9" s="165">
        <v>1.78421368547419E-2</v>
      </c>
    </row>
    <row r="10" spans="1:37" x14ac:dyDescent="0.25">
      <c r="A10" s="178" t="s">
        <v>97</v>
      </c>
      <c r="B10" s="179">
        <v>0.23976160758395154</v>
      </c>
      <c r="C10" s="179">
        <v>0.11428118371505049</v>
      </c>
      <c r="D10" s="179" t="s">
        <v>94</v>
      </c>
      <c r="E10" s="179">
        <v>14</v>
      </c>
      <c r="F10" s="179">
        <v>0.9</v>
      </c>
      <c r="G10" s="180">
        <v>0.4</v>
      </c>
      <c r="I10" s="4" t="s">
        <v>102</v>
      </c>
      <c r="J10" s="165">
        <v>2.5977890665149557E-2</v>
      </c>
      <c r="K10" s="165">
        <v>2.418631199858752E-2</v>
      </c>
      <c r="L10" s="165">
        <v>2.2394733332025477E-2</v>
      </c>
      <c r="M10" s="165">
        <v>2.060315466546344E-2</v>
      </c>
      <c r="N10" s="165">
        <v>1.8811575998901403E-2</v>
      </c>
      <c r="O10" s="165">
        <v>1.7019997332339366E-2</v>
      </c>
      <c r="P10" s="165">
        <v>1.5228418665777328E-2</v>
      </c>
      <c r="Q10" s="165">
        <v>1.3436839999215288E-2</v>
      </c>
      <c r="R10" s="165">
        <v>1.3164903951612121E-2</v>
      </c>
      <c r="S10" s="165">
        <v>1.2892967904008954E-2</v>
      </c>
      <c r="T10" s="165">
        <v>1.2621031856405788E-2</v>
      </c>
      <c r="U10" s="165">
        <v>1.2349095808802621E-2</v>
      </c>
      <c r="V10" s="165">
        <v>1.2077159761199453E-2</v>
      </c>
      <c r="W10" s="165">
        <v>1.1805223713596286E-2</v>
      </c>
      <c r="X10" s="165">
        <v>1.153328766599312E-2</v>
      </c>
      <c r="Y10" s="165">
        <v>1.1261351618389953E-2</v>
      </c>
      <c r="Z10" s="165">
        <v>1.0989415570786787E-2</v>
      </c>
      <c r="AA10" s="165">
        <v>1.0717479523183622E-2</v>
      </c>
      <c r="AB10" s="165">
        <v>1.0445543475580455E-2</v>
      </c>
      <c r="AC10" s="165">
        <v>1.0173607427977288E-2</v>
      </c>
      <c r="AD10" s="165">
        <v>9.9016713803741219E-3</v>
      </c>
      <c r="AE10" s="165">
        <v>9.6297353327709553E-3</v>
      </c>
      <c r="AF10" s="165">
        <v>9.3577992851677887E-3</v>
      </c>
      <c r="AG10" s="165">
        <v>9.0858632375646221E-3</v>
      </c>
      <c r="AH10" s="165">
        <v>8.8139271899614555E-3</v>
      </c>
      <c r="AI10" s="165">
        <v>8.5419911423582889E-3</v>
      </c>
      <c r="AJ10" s="165">
        <v>8.2700550947551223E-3</v>
      </c>
      <c r="AK10" s="165">
        <v>7.9981190471519557E-3</v>
      </c>
    </row>
    <row r="11" spans="1:37" x14ac:dyDescent="0.25">
      <c r="A11" s="181" t="s">
        <v>99</v>
      </c>
      <c r="B11" s="182">
        <v>0.46076973995226939</v>
      </c>
      <c r="C11" s="182">
        <v>0.14224714585492179</v>
      </c>
      <c r="D11" s="182" t="s">
        <v>94</v>
      </c>
      <c r="E11" s="182">
        <v>17</v>
      </c>
      <c r="F11" s="182">
        <v>0.9</v>
      </c>
      <c r="G11" s="183">
        <v>0.4</v>
      </c>
      <c r="J11" s="123"/>
    </row>
    <row r="12" spans="1:37" x14ac:dyDescent="0.25">
      <c r="A12" s="4" t="s">
        <v>103</v>
      </c>
    </row>
    <row r="13" spans="1:37" x14ac:dyDescent="0.25">
      <c r="I13" s="152" t="s">
        <v>104</v>
      </c>
    </row>
    <row r="14" spans="1:37" ht="15.75" thickBot="1" x14ac:dyDescent="0.3"/>
    <row r="15" spans="1:37" x14ac:dyDescent="0.25">
      <c r="I15" s="192" t="s">
        <v>105</v>
      </c>
      <c r="J15" s="193" t="s">
        <v>94</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4">
        <v>2023</v>
      </c>
      <c r="K16" s="4">
        <v>2024</v>
      </c>
      <c r="L16" s="4">
        <v>2025</v>
      </c>
      <c r="M16" s="4">
        <v>2026</v>
      </c>
      <c r="N16" s="4">
        <v>2027</v>
      </c>
      <c r="O16" s="4">
        <v>2028</v>
      </c>
      <c r="P16" s="4">
        <v>2029</v>
      </c>
      <c r="Q16" s="4">
        <v>2030</v>
      </c>
      <c r="R16" s="4">
        <v>2031</v>
      </c>
      <c r="S16" s="4">
        <v>2032</v>
      </c>
      <c r="T16" s="4">
        <v>2033</v>
      </c>
      <c r="U16" s="4">
        <v>2034</v>
      </c>
      <c r="V16" s="4">
        <v>2035</v>
      </c>
      <c r="W16" s="4">
        <v>2036</v>
      </c>
      <c r="X16" s="4">
        <v>2037</v>
      </c>
      <c r="Y16" s="4">
        <v>2038</v>
      </c>
      <c r="Z16" s="4">
        <v>2039</v>
      </c>
      <c r="AA16" s="4">
        <v>2040</v>
      </c>
      <c r="AB16" s="4">
        <v>2041</v>
      </c>
      <c r="AC16" s="4">
        <v>2042</v>
      </c>
      <c r="AD16" s="4">
        <v>2043</v>
      </c>
      <c r="AE16" s="4">
        <v>2044</v>
      </c>
      <c r="AF16" s="4">
        <v>2045</v>
      </c>
      <c r="AG16" s="4">
        <v>2046</v>
      </c>
      <c r="AH16" s="4">
        <v>2047</v>
      </c>
      <c r="AI16" s="4">
        <v>2048</v>
      </c>
      <c r="AJ16" s="4">
        <v>2049</v>
      </c>
      <c r="AK16" s="103">
        <v>2050</v>
      </c>
    </row>
    <row r="17" spans="9:37" x14ac:dyDescent="0.25">
      <c r="I17" s="102" t="s">
        <v>92</v>
      </c>
      <c r="J17" s="4">
        <v>7.5233329809999999E-2</v>
      </c>
      <c r="K17" s="4">
        <v>7.5233329809999999E-2</v>
      </c>
      <c r="L17" s="4">
        <v>7.5233329809999999E-2</v>
      </c>
      <c r="M17" s="4">
        <v>7.5233329809999999E-2</v>
      </c>
      <c r="N17" s="4">
        <v>7.5233329809999999E-2</v>
      </c>
      <c r="O17" s="4">
        <v>7.5233329809999999E-2</v>
      </c>
      <c r="P17" s="4">
        <v>7.5233329809999999E-2</v>
      </c>
      <c r="Q17" s="4">
        <v>7.5233329809999999E-2</v>
      </c>
      <c r="R17" s="4">
        <v>7.6599996340000004E-2</v>
      </c>
      <c r="S17" s="4">
        <v>7.7966662870000009E-2</v>
      </c>
      <c r="T17" s="4">
        <v>7.9333329400000013E-2</v>
      </c>
      <c r="U17" s="4">
        <v>8.0699995930000018E-2</v>
      </c>
      <c r="V17" s="4">
        <v>8.2066662460000009E-2</v>
      </c>
      <c r="W17" s="4">
        <v>8.1106662556000006E-2</v>
      </c>
      <c r="X17" s="4">
        <v>8.0146662651999989E-2</v>
      </c>
      <c r="Y17" s="4">
        <v>7.9186662747999986E-2</v>
      </c>
      <c r="Z17" s="4">
        <v>7.8226662843999983E-2</v>
      </c>
      <c r="AA17" s="4">
        <v>7.7266662939999994E-2</v>
      </c>
      <c r="AB17" s="4">
        <v>7.6306663035999991E-2</v>
      </c>
      <c r="AC17" s="4">
        <v>7.5346663131999989E-2</v>
      </c>
      <c r="AD17" s="4">
        <v>7.4386663227999986E-2</v>
      </c>
      <c r="AE17" s="4">
        <v>7.3426663323999983E-2</v>
      </c>
      <c r="AF17" s="4">
        <v>7.2466663419999994E-2</v>
      </c>
      <c r="AG17" s="4">
        <v>7.1506663515999991E-2</v>
      </c>
      <c r="AH17" s="4">
        <v>7.0546663611999988E-2</v>
      </c>
      <c r="AI17" s="4">
        <v>6.9586663707999985E-2</v>
      </c>
      <c r="AJ17" s="4">
        <v>6.8626663803999982E-2</v>
      </c>
      <c r="AK17" s="103">
        <v>6.7666663899999993E-2</v>
      </c>
    </row>
    <row r="18" spans="9:37" x14ac:dyDescent="0.25">
      <c r="I18" s="102" t="s">
        <v>95</v>
      </c>
      <c r="J18" s="4">
        <v>0.16755030740877733</v>
      </c>
      <c r="K18" s="4">
        <v>0.16246311320948742</v>
      </c>
      <c r="L18" s="4">
        <v>0.1573759190101976</v>
      </c>
      <c r="M18" s="4">
        <v>0.15390105952791075</v>
      </c>
      <c r="N18" s="4">
        <v>0.1504262000456239</v>
      </c>
      <c r="O18" s="4">
        <v>0.14695134056333706</v>
      </c>
      <c r="P18" s="4">
        <v>0.14347648108105024</v>
      </c>
      <c r="Q18" s="4">
        <v>0.14000162159876336</v>
      </c>
      <c r="R18" s="4">
        <v>0.13928851087301347</v>
      </c>
      <c r="S18" s="4">
        <v>0.13857540014726355</v>
      </c>
      <c r="T18" s="4">
        <v>0.13786228942151366</v>
      </c>
      <c r="U18" s="4">
        <v>0.13714917869576373</v>
      </c>
      <c r="V18" s="4">
        <v>0.13643606797001384</v>
      </c>
      <c r="W18" s="4">
        <v>0.13294825106115046</v>
      </c>
      <c r="X18" s="4">
        <v>0.12946043415228706</v>
      </c>
      <c r="Y18" s="4">
        <v>0.12597261724342368</v>
      </c>
      <c r="Z18" s="4">
        <v>0.12248480033456027</v>
      </c>
      <c r="AA18" s="4">
        <v>0.11899698342569687</v>
      </c>
      <c r="AB18" s="4">
        <v>0.11578161519050338</v>
      </c>
      <c r="AC18" s="4">
        <v>0.1125662469553099</v>
      </c>
      <c r="AD18" s="4">
        <v>0.10935087872011641</v>
      </c>
      <c r="AE18" s="4">
        <v>0.10613551048492292</v>
      </c>
      <c r="AF18" s="4">
        <v>0.10292014224972944</v>
      </c>
      <c r="AG18" s="4">
        <v>0.10028722302472504</v>
      </c>
      <c r="AH18" s="4">
        <v>9.7654303799720649E-2</v>
      </c>
      <c r="AI18" s="4">
        <v>9.5021384574716261E-2</v>
      </c>
      <c r="AJ18" s="4">
        <v>9.238846534971186E-2</v>
      </c>
      <c r="AK18" s="103">
        <v>8.9755546124707486E-2</v>
      </c>
    </row>
    <row r="19" spans="9:37" x14ac:dyDescent="0.25">
      <c r="I19" s="102" t="s">
        <v>97</v>
      </c>
      <c r="J19" s="4">
        <v>0.14785151321799878</v>
      </c>
      <c r="K19" s="4">
        <v>0.14416734608940909</v>
      </c>
      <c r="L19" s="4">
        <v>0.14048317896081941</v>
      </c>
      <c r="M19" s="4">
        <v>0.13815902447403705</v>
      </c>
      <c r="N19" s="4">
        <v>0.13583486998725472</v>
      </c>
      <c r="O19" s="4">
        <v>0.13351071550047239</v>
      </c>
      <c r="P19" s="4">
        <v>0.13118656101369006</v>
      </c>
      <c r="Q19" s="4">
        <v>0.1288624065269077</v>
      </c>
      <c r="R19" s="4">
        <v>0.12952442606744893</v>
      </c>
      <c r="S19" s="4">
        <v>0.13018644560799014</v>
      </c>
      <c r="T19" s="4">
        <v>0.13084846514853138</v>
      </c>
      <c r="U19" s="4">
        <v>0.13151048468907259</v>
      </c>
      <c r="V19" s="4">
        <v>0.13217250422961382</v>
      </c>
      <c r="W19" s="4">
        <v>0.12928218732240185</v>
      </c>
      <c r="X19" s="4">
        <v>0.1263918704151899</v>
      </c>
      <c r="Y19" s="4">
        <v>0.12350155350797795</v>
      </c>
      <c r="Z19" s="4">
        <v>0.120611236600766</v>
      </c>
      <c r="AA19" s="4">
        <v>0.11772091969355404</v>
      </c>
      <c r="AB19" s="4">
        <v>0.11508473489323738</v>
      </c>
      <c r="AC19" s="4">
        <v>0.11244855009292071</v>
      </c>
      <c r="AD19" s="4">
        <v>0.10981236529260403</v>
      </c>
      <c r="AE19" s="4">
        <v>0.10717618049228736</v>
      </c>
      <c r="AF19" s="4">
        <v>0.1045399956919707</v>
      </c>
      <c r="AG19" s="4">
        <v>0.10203375570164211</v>
      </c>
      <c r="AH19" s="4">
        <v>9.9527515711313519E-2</v>
      </c>
      <c r="AI19" s="4">
        <v>9.7021275720984915E-2</v>
      </c>
      <c r="AJ19" s="4">
        <v>9.4515035730656324E-2</v>
      </c>
      <c r="AK19" s="103">
        <v>9.2008795740327734E-2</v>
      </c>
    </row>
    <row r="20" spans="9:37" x14ac:dyDescent="0.25">
      <c r="I20" s="102" t="s">
        <v>99</v>
      </c>
      <c r="J20" s="4">
        <v>0.32741318944512032</v>
      </c>
      <c r="K20" s="4">
        <v>0.31281277713864336</v>
      </c>
      <c r="L20" s="4">
        <v>0.29821236483216634</v>
      </c>
      <c r="M20" s="4">
        <v>0.28514319769921503</v>
      </c>
      <c r="N20" s="4">
        <v>0.27207403056626372</v>
      </c>
      <c r="O20" s="4">
        <v>0.25900486343331242</v>
      </c>
      <c r="P20" s="4">
        <v>0.24593569630036111</v>
      </c>
      <c r="Q20" s="4">
        <v>0.23286652916740982</v>
      </c>
      <c r="R20" s="4">
        <v>0.22587777574244078</v>
      </c>
      <c r="S20" s="4">
        <v>0.21888902231747173</v>
      </c>
      <c r="T20" s="4">
        <v>0.21190026889250269</v>
      </c>
      <c r="U20" s="4">
        <v>0.20491151546753364</v>
      </c>
      <c r="V20" s="4">
        <v>0.19792276204256468</v>
      </c>
      <c r="W20" s="4">
        <v>0.19046603197751216</v>
      </c>
      <c r="X20" s="4">
        <v>0.18300930191245968</v>
      </c>
      <c r="Y20" s="4">
        <v>0.17555257184740719</v>
      </c>
      <c r="Z20" s="4">
        <v>0.16809584178235468</v>
      </c>
      <c r="AA20" s="4">
        <v>0.16063911171730211</v>
      </c>
      <c r="AB20" s="4">
        <v>0.15556274856986607</v>
      </c>
      <c r="AC20" s="4">
        <v>0.15048638542243004</v>
      </c>
      <c r="AD20" s="4">
        <v>0.145410022274994</v>
      </c>
      <c r="AE20" s="4">
        <v>0.14033365912755799</v>
      </c>
      <c r="AF20" s="4">
        <v>0.13525729598012193</v>
      </c>
      <c r="AG20" s="4">
        <v>0.13172162740387633</v>
      </c>
      <c r="AH20" s="4">
        <v>0.12818595882763073</v>
      </c>
      <c r="AI20" s="4">
        <v>0.12465029025138512</v>
      </c>
      <c r="AJ20" s="4">
        <v>0.12111462167513951</v>
      </c>
      <c r="AK20" s="103">
        <v>0.11757895309889392</v>
      </c>
    </row>
    <row r="21" spans="9:37" x14ac:dyDescent="0.25">
      <c r="I21" s="102" t="s">
        <v>100</v>
      </c>
      <c r="J21" s="4">
        <v>6.7157803121248486E-2</v>
      </c>
      <c r="K21" s="4">
        <v>6.62300120048019E-2</v>
      </c>
      <c r="L21" s="4">
        <v>6.5302220888355342E-2</v>
      </c>
      <c r="M21" s="4">
        <v>6.437442977190877E-2</v>
      </c>
      <c r="N21" s="4">
        <v>6.3446638655462198E-2</v>
      </c>
      <c r="O21" s="4">
        <v>6.2518847539015626E-2</v>
      </c>
      <c r="P21" s="4">
        <v>6.1591056422569047E-2</v>
      </c>
      <c r="Q21" s="4">
        <v>6.0663265306122455E-2</v>
      </c>
      <c r="R21" s="4">
        <v>6.0591896758703488E-2</v>
      </c>
      <c r="S21" s="4">
        <v>6.0520528211284522E-2</v>
      </c>
      <c r="T21" s="4">
        <v>6.0449159663865555E-2</v>
      </c>
      <c r="U21" s="4">
        <v>6.0377791116446589E-2</v>
      </c>
      <c r="V21" s="4">
        <v>6.0306422569027615E-2</v>
      </c>
      <c r="W21" s="4">
        <v>6.0235054021608649E-2</v>
      </c>
      <c r="X21" s="4">
        <v>6.0163685474189682E-2</v>
      </c>
      <c r="Y21" s="4">
        <v>6.0092316926770716E-2</v>
      </c>
      <c r="Z21" s="4">
        <v>6.0020948379351749E-2</v>
      </c>
      <c r="AA21" s="4">
        <v>5.9949579831932782E-2</v>
      </c>
      <c r="AB21" s="4">
        <v>5.9878211284513816E-2</v>
      </c>
      <c r="AC21" s="4">
        <v>5.9806842737094849E-2</v>
      </c>
      <c r="AD21" s="4">
        <v>5.9735474189675883E-2</v>
      </c>
      <c r="AE21" s="4">
        <v>5.9664105642256916E-2</v>
      </c>
      <c r="AF21" s="4">
        <v>5.959273709483795E-2</v>
      </c>
      <c r="AG21" s="4">
        <v>5.9521368547418983E-2</v>
      </c>
      <c r="AH21" s="4">
        <v>5.9450000000000017E-2</v>
      </c>
      <c r="AI21" s="4">
        <v>5.937863145258105E-2</v>
      </c>
      <c r="AJ21" s="4">
        <v>5.9307262905162084E-2</v>
      </c>
      <c r="AK21" s="103">
        <v>5.923589435774311E-2</v>
      </c>
    </row>
    <row r="22" spans="9:37" x14ac:dyDescent="0.25">
      <c r="I22" s="102" t="s">
        <v>101</v>
      </c>
      <c r="J22" s="4">
        <v>6.7157803121248486E-2</v>
      </c>
      <c r="K22" s="4">
        <v>6.62300120048019E-2</v>
      </c>
      <c r="L22" s="4">
        <v>6.5302220888355342E-2</v>
      </c>
      <c r="M22" s="4">
        <v>6.437442977190877E-2</v>
      </c>
      <c r="N22" s="4">
        <v>6.3446638655462198E-2</v>
      </c>
      <c r="O22" s="4">
        <v>6.2518847539015626E-2</v>
      </c>
      <c r="P22" s="4">
        <v>6.1591056422569047E-2</v>
      </c>
      <c r="Q22" s="4">
        <v>6.0663265306122455E-2</v>
      </c>
      <c r="R22" s="4">
        <v>6.0591896758703488E-2</v>
      </c>
      <c r="S22" s="4">
        <v>6.0520528211284522E-2</v>
      </c>
      <c r="T22" s="4">
        <v>6.0449159663865555E-2</v>
      </c>
      <c r="U22" s="4">
        <v>6.0377791116446589E-2</v>
      </c>
      <c r="V22" s="4">
        <v>6.0306422569027615E-2</v>
      </c>
      <c r="W22" s="4">
        <v>6.0235054021608649E-2</v>
      </c>
      <c r="X22" s="4">
        <v>6.0163685474189682E-2</v>
      </c>
      <c r="Y22" s="4">
        <v>6.0092316926770716E-2</v>
      </c>
      <c r="Z22" s="4">
        <v>6.0020948379351749E-2</v>
      </c>
      <c r="AA22" s="4">
        <v>5.9949579831932782E-2</v>
      </c>
      <c r="AB22" s="4">
        <v>5.9878211284513816E-2</v>
      </c>
      <c r="AC22" s="4">
        <v>5.9806842737094849E-2</v>
      </c>
      <c r="AD22" s="4">
        <v>5.9735474189675883E-2</v>
      </c>
      <c r="AE22" s="4">
        <v>5.9664105642256916E-2</v>
      </c>
      <c r="AF22" s="4">
        <v>5.959273709483795E-2</v>
      </c>
      <c r="AG22" s="4">
        <v>5.9521368547418983E-2</v>
      </c>
      <c r="AH22" s="4">
        <v>5.9450000000000017E-2</v>
      </c>
      <c r="AI22" s="4">
        <v>5.937863145258105E-2</v>
      </c>
      <c r="AJ22" s="4">
        <v>5.9307262905162084E-2</v>
      </c>
      <c r="AK22" s="103">
        <v>5.923589435774311E-2</v>
      </c>
    </row>
    <row r="23" spans="9:37" x14ac:dyDescent="0.25">
      <c r="I23" s="102" t="s">
        <v>102</v>
      </c>
      <c r="J23" s="4">
        <v>3.0104920093479957E-2</v>
      </c>
      <c r="K23" s="4">
        <v>2.9689017903028053E-2</v>
      </c>
      <c r="L23" s="4">
        <v>2.9273115712576157E-2</v>
      </c>
      <c r="M23" s="4">
        <v>2.8857213522124257E-2</v>
      </c>
      <c r="N23" s="4">
        <v>2.8441311331672357E-2</v>
      </c>
      <c r="O23" s="4">
        <v>2.8025409141220457E-2</v>
      </c>
      <c r="P23" s="4">
        <v>2.7609506950768557E-2</v>
      </c>
      <c r="Q23" s="4">
        <v>2.719360476031665E-2</v>
      </c>
      <c r="R23" s="4">
        <v>2.7161612284128042E-2</v>
      </c>
      <c r="S23" s="4">
        <v>2.7129619807939435E-2</v>
      </c>
      <c r="T23" s="4">
        <v>2.7097627331750827E-2</v>
      </c>
      <c r="U23" s="4">
        <v>2.706563485556222E-2</v>
      </c>
      <c r="V23" s="4">
        <v>2.7033642379373612E-2</v>
      </c>
      <c r="W23" s="4">
        <v>2.7001649903185005E-2</v>
      </c>
      <c r="X23" s="4">
        <v>2.6969657426996398E-2</v>
      </c>
      <c r="Y23" s="4">
        <v>2.693766495080779E-2</v>
      </c>
      <c r="Z23" s="4">
        <v>2.6905672474619183E-2</v>
      </c>
      <c r="AA23" s="4">
        <v>2.6873679998430575E-2</v>
      </c>
      <c r="AB23" s="4">
        <v>2.6841687522241968E-2</v>
      </c>
      <c r="AC23" s="4">
        <v>2.680969504605336E-2</v>
      </c>
      <c r="AD23" s="4">
        <v>2.6777702569864753E-2</v>
      </c>
      <c r="AE23" s="4">
        <v>2.6745710093676146E-2</v>
      </c>
      <c r="AF23" s="4">
        <v>2.6713717617487535E-2</v>
      </c>
      <c r="AG23" s="4">
        <v>2.6681725141298927E-2</v>
      </c>
      <c r="AH23" s="4">
        <v>2.664973266511032E-2</v>
      </c>
      <c r="AI23" s="4">
        <v>2.6617740188921712E-2</v>
      </c>
      <c r="AJ23" s="4">
        <v>2.6585747712733105E-2</v>
      </c>
      <c r="AK23" s="103">
        <v>2.6553755236544494E-2</v>
      </c>
    </row>
    <row r="24" spans="9:37" x14ac:dyDescent="0.25">
      <c r="I24" s="102"/>
      <c r="AK24" s="103"/>
    </row>
    <row r="25" spans="9:37" x14ac:dyDescent="0.25">
      <c r="I25" s="102"/>
      <c r="AK25" s="103"/>
    </row>
    <row r="26" spans="9:37" x14ac:dyDescent="0.25">
      <c r="I26" s="102" t="s">
        <v>106</v>
      </c>
      <c r="AK26" s="103"/>
    </row>
    <row r="27" spans="9:37" x14ac:dyDescent="0.25">
      <c r="I27" s="102"/>
      <c r="J27" s="4">
        <v>2023</v>
      </c>
      <c r="K27" s="4">
        <v>2024</v>
      </c>
      <c r="L27" s="4">
        <v>2025</v>
      </c>
      <c r="M27" s="4">
        <v>2026</v>
      </c>
      <c r="N27" s="4">
        <v>2027</v>
      </c>
      <c r="O27" s="4">
        <v>2028</v>
      </c>
      <c r="P27" s="4">
        <v>2029</v>
      </c>
      <c r="Q27" s="4">
        <v>2030</v>
      </c>
      <c r="R27" s="4">
        <v>2031</v>
      </c>
      <c r="S27" s="4">
        <v>2032</v>
      </c>
      <c r="T27" s="4">
        <v>2033</v>
      </c>
      <c r="U27" s="4">
        <v>2034</v>
      </c>
      <c r="V27" s="4">
        <v>2035</v>
      </c>
      <c r="W27" s="4">
        <v>2036</v>
      </c>
      <c r="X27" s="4">
        <v>2037</v>
      </c>
      <c r="Y27" s="4">
        <v>2038</v>
      </c>
      <c r="Z27" s="4">
        <v>2039</v>
      </c>
      <c r="AA27" s="4">
        <v>2040</v>
      </c>
      <c r="AB27" s="4">
        <v>2041</v>
      </c>
      <c r="AC27" s="4">
        <v>2042</v>
      </c>
      <c r="AD27" s="4">
        <v>2043</v>
      </c>
      <c r="AE27" s="4">
        <v>2044</v>
      </c>
      <c r="AF27" s="4">
        <v>2045</v>
      </c>
      <c r="AG27" s="4">
        <v>2046</v>
      </c>
      <c r="AH27" s="4">
        <v>2047</v>
      </c>
      <c r="AI27" s="4">
        <v>2048</v>
      </c>
      <c r="AJ27" s="4">
        <v>2049</v>
      </c>
      <c r="AK27" s="103">
        <v>2050</v>
      </c>
    </row>
    <row r="28" spans="9:37" x14ac:dyDescent="0.25">
      <c r="I28" s="102" t="s">
        <v>92</v>
      </c>
      <c r="J28" s="4">
        <v>8.0999995899999996E-2</v>
      </c>
      <c r="K28" s="4">
        <v>8.0999995899999996E-2</v>
      </c>
      <c r="L28" s="4">
        <v>8.0999995899999996E-2</v>
      </c>
      <c r="M28" s="4">
        <v>8.0999995899999996E-2</v>
      </c>
      <c r="N28" s="4">
        <v>8.0999995899999996E-2</v>
      </c>
      <c r="O28" s="4">
        <v>8.0999995899999996E-2</v>
      </c>
      <c r="P28" s="4">
        <v>8.0999995899999996E-2</v>
      </c>
      <c r="Q28" s="4">
        <v>8.0999995899999996E-2</v>
      </c>
      <c r="R28" s="4">
        <v>8.3066662360000001E-2</v>
      </c>
      <c r="S28" s="4">
        <v>8.5133328820000007E-2</v>
      </c>
      <c r="T28" s="4">
        <v>8.7199995280000012E-2</v>
      </c>
      <c r="U28" s="4">
        <v>8.9266661740000017E-2</v>
      </c>
      <c r="V28" s="4">
        <v>9.1333328199999994E-2</v>
      </c>
      <c r="W28" s="4">
        <v>9.046666162E-2</v>
      </c>
      <c r="X28" s="4">
        <v>8.9599995039999991E-2</v>
      </c>
      <c r="Y28" s="4">
        <v>8.8733328459999983E-2</v>
      </c>
      <c r="Z28" s="4">
        <v>8.7866661879999974E-2</v>
      </c>
      <c r="AA28" s="4">
        <v>8.6999995299999994E-2</v>
      </c>
      <c r="AB28" s="4">
        <v>8.6133328719999985E-2</v>
      </c>
      <c r="AC28" s="4">
        <v>8.5266662139999991E-2</v>
      </c>
      <c r="AD28" s="4">
        <v>8.4399995559999982E-2</v>
      </c>
      <c r="AE28" s="4">
        <v>8.3533328979999974E-2</v>
      </c>
      <c r="AF28" s="4">
        <v>8.2666662399999993E-2</v>
      </c>
      <c r="AG28" s="4">
        <v>8.1799995819999985E-2</v>
      </c>
      <c r="AH28" s="4">
        <v>8.093332923999999E-2</v>
      </c>
      <c r="AI28" s="4">
        <v>8.0066662659999982E-2</v>
      </c>
      <c r="AJ28" s="4">
        <v>7.9199996079999987E-2</v>
      </c>
      <c r="AK28" s="103">
        <v>7.8333329499999993E-2</v>
      </c>
    </row>
    <row r="29" spans="9:37" x14ac:dyDescent="0.25">
      <c r="I29" s="102" t="s">
        <v>95</v>
      </c>
      <c r="J29" s="4">
        <v>0.17650758633144634</v>
      </c>
      <c r="K29" s="4">
        <v>0.17141203646151962</v>
      </c>
      <c r="L29" s="4">
        <v>0.16631648659159295</v>
      </c>
      <c r="M29" s="4">
        <v>0.16281432766630949</v>
      </c>
      <c r="N29" s="4">
        <v>0.15931216874102602</v>
      </c>
      <c r="O29" s="4">
        <v>0.15581000981574256</v>
      </c>
      <c r="P29" s="4">
        <v>0.15230785089045909</v>
      </c>
      <c r="Q29" s="4">
        <v>0.1488056919651756</v>
      </c>
      <c r="R29" s="4">
        <v>0.14909793604375518</v>
      </c>
      <c r="S29" s="4">
        <v>0.14939018012233476</v>
      </c>
      <c r="T29" s="4">
        <v>0.14968242420091435</v>
      </c>
      <c r="U29" s="4">
        <v>0.14997466827949391</v>
      </c>
      <c r="V29" s="4">
        <v>0.15026691235807355</v>
      </c>
      <c r="W29" s="4">
        <v>0.14685063279900346</v>
      </c>
      <c r="X29" s="4">
        <v>0.14343435323993334</v>
      </c>
      <c r="Y29" s="4">
        <v>0.14001807368086325</v>
      </c>
      <c r="Z29" s="4">
        <v>0.13660179412179316</v>
      </c>
      <c r="AA29" s="4">
        <v>0.1331855145627231</v>
      </c>
      <c r="AB29" s="4">
        <v>0.13003016708307891</v>
      </c>
      <c r="AC29" s="4">
        <v>0.12687481960343472</v>
      </c>
      <c r="AD29" s="4">
        <v>0.12371947212379053</v>
      </c>
      <c r="AE29" s="4">
        <v>0.12056412464414634</v>
      </c>
      <c r="AF29" s="4">
        <v>0.11740877716450215</v>
      </c>
      <c r="AG29" s="4">
        <v>0.11483288597039364</v>
      </c>
      <c r="AH29" s="4">
        <v>0.11225699477628512</v>
      </c>
      <c r="AI29" s="4">
        <v>0.10968110358217659</v>
      </c>
      <c r="AJ29" s="4">
        <v>0.10710521238806807</v>
      </c>
      <c r="AK29" s="103">
        <v>0.10452932119395957</v>
      </c>
    </row>
    <row r="30" spans="9:37" x14ac:dyDescent="0.25">
      <c r="I30" s="102" t="s">
        <v>97</v>
      </c>
      <c r="J30" s="4">
        <v>0.15796068463848831</v>
      </c>
      <c r="K30" s="4">
        <v>0.15426708731267802</v>
      </c>
      <c r="L30" s="4">
        <v>0.1505734899868677</v>
      </c>
      <c r="M30" s="4">
        <v>0.14821852539008218</v>
      </c>
      <c r="N30" s="4">
        <v>0.14586356079329663</v>
      </c>
      <c r="O30" s="4">
        <v>0.1435085961965111</v>
      </c>
      <c r="P30" s="4">
        <v>0.14115363159972555</v>
      </c>
      <c r="Q30" s="4">
        <v>0.13879866700293997</v>
      </c>
      <c r="R30" s="4">
        <v>0.1405953284523826</v>
      </c>
      <c r="S30" s="4">
        <v>0.14239198990182525</v>
      </c>
      <c r="T30" s="4">
        <v>0.14418865135126788</v>
      </c>
      <c r="U30" s="4">
        <v>0.14598531280071053</v>
      </c>
      <c r="V30" s="4">
        <v>0.14778197425015313</v>
      </c>
      <c r="W30" s="4">
        <v>0.14497239428752798</v>
      </c>
      <c r="X30" s="4">
        <v>0.14216281432490285</v>
      </c>
      <c r="Y30" s="4">
        <v>0.1393532343622777</v>
      </c>
      <c r="Z30" s="4">
        <v>0.13654365439965255</v>
      </c>
      <c r="AA30" s="4">
        <v>0.13373407443702739</v>
      </c>
      <c r="AB30" s="4">
        <v>0.13116562897048312</v>
      </c>
      <c r="AC30" s="4">
        <v>0.12859718350393887</v>
      </c>
      <c r="AD30" s="4">
        <v>0.12602873803739459</v>
      </c>
      <c r="AE30" s="4">
        <v>0.1234602925708503</v>
      </c>
      <c r="AF30" s="4">
        <v>0.12089184710430603</v>
      </c>
      <c r="AG30" s="4">
        <v>0.11844996886324041</v>
      </c>
      <c r="AH30" s="4">
        <v>0.11600809062217481</v>
      </c>
      <c r="AI30" s="4">
        <v>0.1135662123811092</v>
      </c>
      <c r="AJ30" s="4">
        <v>0.11112433414004359</v>
      </c>
      <c r="AK30" s="103">
        <v>0.10868245589897794</v>
      </c>
    </row>
    <row r="31" spans="9:37" x14ac:dyDescent="0.25">
      <c r="I31" s="102" t="s">
        <v>99</v>
      </c>
      <c r="J31" s="4">
        <v>0.33860978809845654</v>
      </c>
      <c r="K31" s="4">
        <v>0.32399893120368356</v>
      </c>
      <c r="L31" s="4">
        <v>0.30938807430891058</v>
      </c>
      <c r="M31" s="4">
        <v>0.29628478287221349</v>
      </c>
      <c r="N31" s="4">
        <v>0.28318149143551641</v>
      </c>
      <c r="O31" s="4">
        <v>0.27007819999881932</v>
      </c>
      <c r="P31" s="4">
        <v>0.25697490856212224</v>
      </c>
      <c r="Q31" s="4">
        <v>0.24387161712542507</v>
      </c>
      <c r="R31" s="4">
        <v>0.23813955720586791</v>
      </c>
      <c r="S31" s="4">
        <v>0.23240749728631072</v>
      </c>
      <c r="T31" s="4">
        <v>0.22667543736675355</v>
      </c>
      <c r="U31" s="4">
        <v>0.22094337744719639</v>
      </c>
      <c r="V31" s="4">
        <v>0.21521131752763925</v>
      </c>
      <c r="W31" s="4">
        <v>0.20784400914982837</v>
      </c>
      <c r="X31" s="4">
        <v>0.20047670077201749</v>
      </c>
      <c r="Y31" s="4">
        <v>0.19310939239420657</v>
      </c>
      <c r="Z31" s="4">
        <v>0.18574208401639569</v>
      </c>
      <c r="AA31" s="4">
        <v>0.17837477563858489</v>
      </c>
      <c r="AB31" s="4">
        <v>0.17337343843558548</v>
      </c>
      <c r="AC31" s="4">
        <v>0.16837210123258603</v>
      </c>
      <c r="AD31" s="4">
        <v>0.16337076402958661</v>
      </c>
      <c r="AE31" s="4">
        <v>0.15836942682658722</v>
      </c>
      <c r="AF31" s="4">
        <v>0.15336808962358783</v>
      </c>
      <c r="AG31" s="4">
        <v>0.14990370608596207</v>
      </c>
      <c r="AH31" s="4">
        <v>0.1464393225483363</v>
      </c>
      <c r="AI31" s="4">
        <v>0.14297493901071057</v>
      </c>
      <c r="AJ31" s="4">
        <v>0.1395105554730848</v>
      </c>
      <c r="AK31" s="103">
        <v>0.13604617193545901</v>
      </c>
    </row>
    <row r="32" spans="9:37" x14ac:dyDescent="0.25">
      <c r="I32" s="102" t="s">
        <v>100</v>
      </c>
      <c r="J32" s="4">
        <v>6.4802641056422569E-2</v>
      </c>
      <c r="K32" s="4">
        <v>6.3089795918367345E-2</v>
      </c>
      <c r="L32" s="4">
        <v>6.1376950780312127E-2</v>
      </c>
      <c r="M32" s="4">
        <v>5.9664105642256909E-2</v>
      </c>
      <c r="N32" s="4">
        <v>5.7951260504201692E-2</v>
      </c>
      <c r="O32" s="4">
        <v>5.6238415366146474E-2</v>
      </c>
      <c r="P32" s="4">
        <v>5.4525570228091257E-2</v>
      </c>
      <c r="Q32" s="4">
        <v>5.2812725090036025E-2</v>
      </c>
      <c r="R32" s="4">
        <v>5.2313145258103252E-2</v>
      </c>
      <c r="S32" s="4">
        <v>5.181356542617048E-2</v>
      </c>
      <c r="T32" s="4">
        <v>5.1313985594237707E-2</v>
      </c>
      <c r="U32" s="4">
        <v>5.0814405762304934E-2</v>
      </c>
      <c r="V32" s="4">
        <v>5.0314825930372155E-2</v>
      </c>
      <c r="W32" s="4">
        <v>4.9815246098439382E-2</v>
      </c>
      <c r="X32" s="4">
        <v>4.931566626650661E-2</v>
      </c>
      <c r="Y32" s="4">
        <v>4.8816086434573837E-2</v>
      </c>
      <c r="Z32" s="4">
        <v>4.8316506602641064E-2</v>
      </c>
      <c r="AA32" s="4">
        <v>4.7816926770708292E-2</v>
      </c>
      <c r="AB32" s="4">
        <v>4.7317346938775519E-2</v>
      </c>
      <c r="AC32" s="4">
        <v>4.6817767106842746E-2</v>
      </c>
      <c r="AD32" s="4">
        <v>4.6318187274909974E-2</v>
      </c>
      <c r="AE32" s="4">
        <v>4.5818607442977201E-2</v>
      </c>
      <c r="AF32" s="4">
        <v>4.5319027611044428E-2</v>
      </c>
      <c r="AG32" s="4">
        <v>4.4819447779111656E-2</v>
      </c>
      <c r="AH32" s="4">
        <v>4.4319867947178883E-2</v>
      </c>
      <c r="AI32" s="4">
        <v>4.382028811524611E-2</v>
      </c>
      <c r="AJ32" s="4">
        <v>4.3320708283313338E-2</v>
      </c>
      <c r="AK32" s="103">
        <v>4.2821128451380565E-2</v>
      </c>
    </row>
    <row r="33" spans="9:37" x14ac:dyDescent="0.25">
      <c r="I33" s="102" t="s">
        <v>101</v>
      </c>
      <c r="J33" s="4">
        <v>6.4802641056422569E-2</v>
      </c>
      <c r="K33" s="4">
        <v>6.3089795918367345E-2</v>
      </c>
      <c r="L33" s="4">
        <v>6.1376950780312127E-2</v>
      </c>
      <c r="M33" s="4">
        <v>5.9664105642256909E-2</v>
      </c>
      <c r="N33" s="4">
        <v>5.7951260504201692E-2</v>
      </c>
      <c r="O33" s="4">
        <v>5.6238415366146474E-2</v>
      </c>
      <c r="P33" s="4">
        <v>5.4525570228091257E-2</v>
      </c>
      <c r="Q33" s="4">
        <v>5.2812725090036025E-2</v>
      </c>
      <c r="R33" s="4">
        <v>5.2313145258103252E-2</v>
      </c>
      <c r="S33" s="4">
        <v>5.181356542617048E-2</v>
      </c>
      <c r="T33" s="4">
        <v>5.1313985594237707E-2</v>
      </c>
      <c r="U33" s="4">
        <v>5.0814405762304934E-2</v>
      </c>
      <c r="V33" s="4">
        <v>5.0314825930372155E-2</v>
      </c>
      <c r="W33" s="4">
        <v>4.9815246098439382E-2</v>
      </c>
      <c r="X33" s="4">
        <v>4.931566626650661E-2</v>
      </c>
      <c r="Y33" s="4">
        <v>4.8816086434573837E-2</v>
      </c>
      <c r="Z33" s="4">
        <v>4.8316506602641064E-2</v>
      </c>
      <c r="AA33" s="4">
        <v>4.7816926770708292E-2</v>
      </c>
      <c r="AB33" s="4">
        <v>4.7317346938775519E-2</v>
      </c>
      <c r="AC33" s="4">
        <v>4.6817767106842746E-2</v>
      </c>
      <c r="AD33" s="4">
        <v>4.6318187274909974E-2</v>
      </c>
      <c r="AE33" s="4">
        <v>4.5818607442977201E-2</v>
      </c>
      <c r="AF33" s="4">
        <v>4.5319027611044428E-2</v>
      </c>
      <c r="AG33" s="4">
        <v>4.4819447779111656E-2</v>
      </c>
      <c r="AH33" s="4">
        <v>4.4319867947178883E-2</v>
      </c>
      <c r="AI33" s="4">
        <v>4.382028811524611E-2</v>
      </c>
      <c r="AJ33" s="4">
        <v>4.3320708283313338E-2</v>
      </c>
      <c r="AK33" s="103">
        <v>4.2821128451380565E-2</v>
      </c>
    </row>
    <row r="34" spans="9:37" x14ac:dyDescent="0.25">
      <c r="I34" s="102" t="s">
        <v>102</v>
      </c>
      <c r="J34" s="4">
        <v>2.9049168379255901E-2</v>
      </c>
      <c r="K34" s="4">
        <v>2.8281348950729313E-2</v>
      </c>
      <c r="L34" s="4">
        <v>2.7513529522202727E-2</v>
      </c>
      <c r="M34" s="4">
        <v>2.6745710093676139E-2</v>
      </c>
      <c r="N34" s="4">
        <v>2.597789066514955E-2</v>
      </c>
      <c r="O34" s="4">
        <v>2.5210071236622961E-2</v>
      </c>
      <c r="P34" s="4">
        <v>2.4442251808096373E-2</v>
      </c>
      <c r="Q34" s="4">
        <v>2.3674432379569791E-2</v>
      </c>
      <c r="R34" s="4">
        <v>2.3450485046249536E-2</v>
      </c>
      <c r="S34" s="4">
        <v>2.322653771292928E-2</v>
      </c>
      <c r="T34" s="4">
        <v>2.3002590379609025E-2</v>
      </c>
      <c r="U34" s="4">
        <v>2.2778643046288769E-2</v>
      </c>
      <c r="V34" s="4">
        <v>2.2554695712968514E-2</v>
      </c>
      <c r="W34" s="4">
        <v>2.2330748379648258E-2</v>
      </c>
      <c r="X34" s="4">
        <v>2.2106801046328003E-2</v>
      </c>
      <c r="Y34" s="4">
        <v>2.1882853713007747E-2</v>
      </c>
      <c r="Z34" s="4">
        <v>2.1658906379687492E-2</v>
      </c>
      <c r="AA34" s="4">
        <v>2.1434959046367243E-2</v>
      </c>
      <c r="AB34" s="4">
        <v>2.1211011713046988E-2</v>
      </c>
      <c r="AC34" s="4">
        <v>2.0987064379726732E-2</v>
      </c>
      <c r="AD34" s="4">
        <v>2.0763117046406477E-2</v>
      </c>
      <c r="AE34" s="4">
        <v>2.0539169713086221E-2</v>
      </c>
      <c r="AF34" s="4">
        <v>2.0315222379765973E-2</v>
      </c>
      <c r="AG34" s="4">
        <v>2.0091275046445718E-2</v>
      </c>
      <c r="AH34" s="4">
        <v>1.9867327713125462E-2</v>
      </c>
      <c r="AI34" s="4">
        <v>1.9643380379805207E-2</v>
      </c>
      <c r="AJ34" s="4">
        <v>1.9419433046484951E-2</v>
      </c>
      <c r="AK34" s="103">
        <v>1.9195485713164699E-2</v>
      </c>
    </row>
    <row r="35" spans="9:37" x14ac:dyDescent="0.25">
      <c r="I35" s="102"/>
      <c r="AK35" s="103"/>
    </row>
    <row r="36" spans="9:37" x14ac:dyDescent="0.25">
      <c r="I36" s="102"/>
      <c r="AK36" s="103"/>
    </row>
    <row r="37" spans="9:37" x14ac:dyDescent="0.25">
      <c r="I37" s="102" t="s">
        <v>107</v>
      </c>
      <c r="AK37" s="103"/>
    </row>
    <row r="38" spans="9:37" x14ac:dyDescent="0.25">
      <c r="I38" s="102"/>
      <c r="J38" s="4">
        <v>2023</v>
      </c>
      <c r="K38" s="4">
        <v>2024</v>
      </c>
      <c r="L38" s="4">
        <v>2025</v>
      </c>
      <c r="M38" s="4">
        <v>2026</v>
      </c>
      <c r="N38" s="4">
        <v>2027</v>
      </c>
      <c r="O38" s="4">
        <v>2028</v>
      </c>
      <c r="P38" s="4">
        <v>2029</v>
      </c>
      <c r="Q38" s="4">
        <v>2030</v>
      </c>
      <c r="R38" s="4">
        <v>2031</v>
      </c>
      <c r="S38" s="4">
        <v>2032</v>
      </c>
      <c r="T38" s="4">
        <v>2033</v>
      </c>
      <c r="U38" s="4">
        <v>2034</v>
      </c>
      <c r="V38" s="4">
        <v>2035</v>
      </c>
      <c r="W38" s="4">
        <v>2036</v>
      </c>
      <c r="X38" s="4">
        <v>2037</v>
      </c>
      <c r="Y38" s="4">
        <v>2038</v>
      </c>
      <c r="Z38" s="4">
        <v>2039</v>
      </c>
      <c r="AA38" s="4">
        <v>2040</v>
      </c>
      <c r="AB38" s="4">
        <v>2041</v>
      </c>
      <c r="AC38" s="4">
        <v>2042</v>
      </c>
      <c r="AD38" s="4">
        <v>2043</v>
      </c>
      <c r="AE38" s="4">
        <v>2044</v>
      </c>
      <c r="AF38" s="4">
        <v>2045</v>
      </c>
      <c r="AG38" s="4">
        <v>2046</v>
      </c>
      <c r="AH38" s="4">
        <v>2047</v>
      </c>
      <c r="AI38" s="4">
        <v>2048</v>
      </c>
      <c r="AJ38" s="4">
        <v>2049</v>
      </c>
      <c r="AK38" s="103">
        <v>2050</v>
      </c>
    </row>
    <row r="39" spans="9:37" x14ac:dyDescent="0.25">
      <c r="I39" s="102" t="s">
        <v>92</v>
      </c>
      <c r="J39" s="4">
        <v>9.4166661249999992E-2</v>
      </c>
      <c r="K39" s="4">
        <v>9.4166661249999992E-2</v>
      </c>
      <c r="L39" s="4">
        <v>9.4166661249999992E-2</v>
      </c>
      <c r="M39" s="4">
        <v>9.4166661249999992E-2</v>
      </c>
      <c r="N39" s="4">
        <v>9.4166661249999992E-2</v>
      </c>
      <c r="O39" s="4">
        <v>9.4166661249999992E-2</v>
      </c>
      <c r="P39" s="4">
        <v>9.4166661249999992E-2</v>
      </c>
      <c r="Q39" s="4">
        <v>9.4166661249999992E-2</v>
      </c>
      <c r="R39" s="4">
        <v>9.5999994399999997E-2</v>
      </c>
      <c r="S39" s="4">
        <v>9.7833327550000002E-2</v>
      </c>
      <c r="T39" s="4">
        <v>9.9666660700000007E-2</v>
      </c>
      <c r="U39" s="4">
        <v>0.10149999385000001</v>
      </c>
      <c r="V39" s="4">
        <v>0.103333327</v>
      </c>
      <c r="W39" s="4">
        <v>0.1023333271</v>
      </c>
      <c r="X39" s="4">
        <v>0.10133332719999999</v>
      </c>
      <c r="Y39" s="4">
        <v>0.10033332729999998</v>
      </c>
      <c r="Z39" s="4">
        <v>9.9333327399999977E-2</v>
      </c>
      <c r="AA39" s="4">
        <v>9.8333327499999998E-2</v>
      </c>
      <c r="AB39" s="4">
        <v>9.7333327599999991E-2</v>
      </c>
      <c r="AC39" s="4">
        <v>9.6333327699999985E-2</v>
      </c>
      <c r="AD39" s="4">
        <v>9.5333327799999978E-2</v>
      </c>
      <c r="AE39" s="4">
        <v>9.4333327899999986E-2</v>
      </c>
      <c r="AF39" s="4">
        <v>9.3333328000000007E-2</v>
      </c>
      <c r="AG39" s="4">
        <v>9.2333328100000001E-2</v>
      </c>
      <c r="AH39" s="4">
        <v>9.1333328199999994E-2</v>
      </c>
      <c r="AI39" s="4">
        <v>9.0333328299999988E-2</v>
      </c>
      <c r="AJ39" s="4">
        <v>8.9333328399999981E-2</v>
      </c>
      <c r="AK39" s="103">
        <v>8.8333328500000016E-2</v>
      </c>
    </row>
    <row r="40" spans="9:37" x14ac:dyDescent="0.25">
      <c r="I40" s="102" t="s">
        <v>95</v>
      </c>
      <c r="J40" s="4">
        <v>0.19695917693522813</v>
      </c>
      <c r="K40" s="4">
        <v>0.1918445490889919</v>
      </c>
      <c r="L40" s="4">
        <v>0.1867299212427557</v>
      </c>
      <c r="M40" s="4">
        <v>0.18316543121930073</v>
      </c>
      <c r="N40" s="4">
        <v>0.1796009411958458</v>
      </c>
      <c r="O40" s="4">
        <v>0.17603645117239083</v>
      </c>
      <c r="P40" s="4">
        <v>0.17247196114893587</v>
      </c>
      <c r="Q40" s="4">
        <v>0.16890747112548093</v>
      </c>
      <c r="R40" s="4">
        <v>0.16876144856602932</v>
      </c>
      <c r="S40" s="4">
        <v>0.16861542600657767</v>
      </c>
      <c r="T40" s="4">
        <v>0.16846940344712602</v>
      </c>
      <c r="U40" s="4">
        <v>0.1683233808876744</v>
      </c>
      <c r="V40" s="4">
        <v>0.16817735832822278</v>
      </c>
      <c r="W40" s="4">
        <v>0.16448316805908789</v>
      </c>
      <c r="X40" s="4">
        <v>0.16078897778995299</v>
      </c>
      <c r="Y40" s="4">
        <v>0.15709478752081807</v>
      </c>
      <c r="Z40" s="4">
        <v>0.15340059725168312</v>
      </c>
      <c r="AA40" s="4">
        <v>0.1497064069825482</v>
      </c>
      <c r="AB40" s="4">
        <v>0.14627718374621171</v>
      </c>
      <c r="AC40" s="4">
        <v>0.14284796050987525</v>
      </c>
      <c r="AD40" s="4">
        <v>0.13941873727353876</v>
      </c>
      <c r="AE40" s="4">
        <v>0.13598951403720227</v>
      </c>
      <c r="AF40" s="4">
        <v>0.13256029080086582</v>
      </c>
      <c r="AG40" s="4">
        <v>0.12972417970496936</v>
      </c>
      <c r="AH40" s="4">
        <v>0.12688806860907287</v>
      </c>
      <c r="AI40" s="4">
        <v>0.12405195751317638</v>
      </c>
      <c r="AJ40" s="4">
        <v>0.12121584641727991</v>
      </c>
      <c r="AK40" s="103">
        <v>0.11837973532138339</v>
      </c>
    </row>
    <row r="41" spans="9:37" x14ac:dyDescent="0.25">
      <c r="I41" s="102" t="s">
        <v>97</v>
      </c>
      <c r="J41" s="4">
        <v>0.18104231880665794</v>
      </c>
      <c r="K41" s="4">
        <v>0.17732719010569079</v>
      </c>
      <c r="L41" s="4">
        <v>0.17361206140472354</v>
      </c>
      <c r="M41" s="4">
        <v>0.17118675002498271</v>
      </c>
      <c r="N41" s="4">
        <v>0.16876143864524187</v>
      </c>
      <c r="O41" s="4">
        <v>0.16633612726550104</v>
      </c>
      <c r="P41" s="4">
        <v>0.1639108158857602</v>
      </c>
      <c r="Q41" s="4">
        <v>0.16148550450601945</v>
      </c>
      <c r="R41" s="4">
        <v>0.1627875388918204</v>
      </c>
      <c r="S41" s="4">
        <v>0.16408957327762139</v>
      </c>
      <c r="T41" s="4">
        <v>0.16539160766342234</v>
      </c>
      <c r="U41" s="4">
        <v>0.16669364204922332</v>
      </c>
      <c r="V41" s="4">
        <v>0.16799567643502425</v>
      </c>
      <c r="W41" s="4">
        <v>0.16487244686609676</v>
      </c>
      <c r="X41" s="4">
        <v>0.16174921729716923</v>
      </c>
      <c r="Y41" s="4">
        <v>0.15862598772824177</v>
      </c>
      <c r="Z41" s="4">
        <v>0.15550275815931427</v>
      </c>
      <c r="AA41" s="4">
        <v>0.15237952859038681</v>
      </c>
      <c r="AB41" s="4">
        <v>0.14950198735980291</v>
      </c>
      <c r="AC41" s="4">
        <v>0.14662444612921899</v>
      </c>
      <c r="AD41" s="4">
        <v>0.14374690489863506</v>
      </c>
      <c r="AE41" s="4">
        <v>0.14086936366805117</v>
      </c>
      <c r="AF41" s="4">
        <v>0.13799182243746722</v>
      </c>
      <c r="AG41" s="4">
        <v>0.1352562604095163</v>
      </c>
      <c r="AH41" s="4">
        <v>0.13252069838156535</v>
      </c>
      <c r="AI41" s="4">
        <v>0.12978513635361441</v>
      </c>
      <c r="AJ41" s="4">
        <v>0.12704957432566347</v>
      </c>
      <c r="AK41" s="103">
        <v>0.12431401229771254</v>
      </c>
    </row>
    <row r="42" spans="9:37" x14ac:dyDescent="0.25">
      <c r="I42" s="102" t="s">
        <v>99</v>
      </c>
      <c r="J42" s="4">
        <v>0.36417427635318367</v>
      </c>
      <c r="K42" s="4">
        <v>0.34953957198802377</v>
      </c>
      <c r="L42" s="4">
        <v>0.33490486762286403</v>
      </c>
      <c r="M42" s="4">
        <v>0.32172366231345256</v>
      </c>
      <c r="N42" s="4">
        <v>0.30854245700404115</v>
      </c>
      <c r="O42" s="4">
        <v>0.29536125169462968</v>
      </c>
      <c r="P42" s="4">
        <v>0.28218004638521826</v>
      </c>
      <c r="Q42" s="4">
        <v>0.26899884107580674</v>
      </c>
      <c r="R42" s="4">
        <v>0.26271894785871058</v>
      </c>
      <c r="S42" s="4">
        <v>0.25643905464161443</v>
      </c>
      <c r="T42" s="4">
        <v>0.25015916142451827</v>
      </c>
      <c r="U42" s="4">
        <v>0.24387926820742209</v>
      </c>
      <c r="V42" s="4">
        <v>0.23759937499032585</v>
      </c>
      <c r="W42" s="4">
        <v>0.22988467822493394</v>
      </c>
      <c r="X42" s="4">
        <v>0.22216998145954203</v>
      </c>
      <c r="Y42" s="4">
        <v>0.21445528469415012</v>
      </c>
      <c r="Z42" s="4">
        <v>0.20674058792875821</v>
      </c>
      <c r="AA42" s="4">
        <v>0.19902589116336625</v>
      </c>
      <c r="AB42" s="4">
        <v>0.19368220926450147</v>
      </c>
      <c r="AC42" s="4">
        <v>0.18833852736563667</v>
      </c>
      <c r="AD42" s="4">
        <v>0.18299484546677189</v>
      </c>
      <c r="AE42" s="4">
        <v>0.17765116356790711</v>
      </c>
      <c r="AF42" s="4">
        <v>0.17230748166904239</v>
      </c>
      <c r="AG42" s="4">
        <v>0.16851782325418166</v>
      </c>
      <c r="AH42" s="4">
        <v>0.16472816483932096</v>
      </c>
      <c r="AI42" s="4">
        <v>0.16093850642446025</v>
      </c>
      <c r="AJ42" s="4">
        <v>0.15714884800959955</v>
      </c>
      <c r="AK42" s="103">
        <v>0.15335918959473879</v>
      </c>
    </row>
    <row r="43" spans="9:37" x14ac:dyDescent="0.25">
      <c r="I43" s="102" t="s">
        <v>100</v>
      </c>
      <c r="J43" s="4">
        <v>5.7951260504201685E-2</v>
      </c>
      <c r="K43" s="4">
        <v>5.3954621848739497E-2</v>
      </c>
      <c r="L43" s="4">
        <v>4.9957983193277315E-2</v>
      </c>
      <c r="M43" s="4">
        <v>4.5961344537815127E-2</v>
      </c>
      <c r="N43" s="4">
        <v>4.1964705882352946E-2</v>
      </c>
      <c r="O43" s="4">
        <v>3.7968067226890764E-2</v>
      </c>
      <c r="P43" s="4">
        <v>3.3971428571428583E-2</v>
      </c>
      <c r="Q43" s="4">
        <v>2.9974789915966391E-2</v>
      </c>
      <c r="R43" s="4">
        <v>2.9368157262905165E-2</v>
      </c>
      <c r="S43" s="4">
        <v>2.8761524609843939E-2</v>
      </c>
      <c r="T43" s="4">
        <v>2.8154891956782713E-2</v>
      </c>
      <c r="U43" s="4">
        <v>2.7548259303721487E-2</v>
      </c>
      <c r="V43" s="4">
        <v>2.6941626650660268E-2</v>
      </c>
      <c r="W43" s="4">
        <v>2.6334993997599043E-2</v>
      </c>
      <c r="X43" s="4">
        <v>2.5728361344537817E-2</v>
      </c>
      <c r="Y43" s="4">
        <v>2.5121728691476591E-2</v>
      </c>
      <c r="Z43" s="4">
        <v>2.4515096038415365E-2</v>
      </c>
      <c r="AA43" s="4">
        <v>2.3908463385354146E-2</v>
      </c>
      <c r="AB43" s="4">
        <v>2.330183073229292E-2</v>
      </c>
      <c r="AC43" s="4">
        <v>2.2695198079231694E-2</v>
      </c>
      <c r="AD43" s="4">
        <v>2.2088565426170468E-2</v>
      </c>
      <c r="AE43" s="4">
        <v>2.1481932773109242E-2</v>
      </c>
      <c r="AF43" s="4">
        <v>2.0875300120048023E-2</v>
      </c>
      <c r="AG43" s="4">
        <v>2.0268667466986797E-2</v>
      </c>
      <c r="AH43" s="4">
        <v>1.9662034813925571E-2</v>
      </c>
      <c r="AI43" s="4">
        <v>1.9055402160864345E-2</v>
      </c>
      <c r="AJ43" s="4">
        <v>1.8448769507803119E-2</v>
      </c>
      <c r="AK43" s="103">
        <v>1.78421368547419E-2</v>
      </c>
    </row>
    <row r="44" spans="9:37" x14ac:dyDescent="0.25">
      <c r="I44" s="102" t="s">
        <v>101</v>
      </c>
      <c r="J44" s="4">
        <v>5.7951260504201685E-2</v>
      </c>
      <c r="K44" s="4">
        <v>5.3954621848739497E-2</v>
      </c>
      <c r="L44" s="4">
        <v>4.9957983193277315E-2</v>
      </c>
      <c r="M44" s="4">
        <v>4.5961344537815127E-2</v>
      </c>
      <c r="N44" s="4">
        <v>4.1964705882352946E-2</v>
      </c>
      <c r="O44" s="4">
        <v>3.7968067226890764E-2</v>
      </c>
      <c r="P44" s="4">
        <v>3.3971428571428583E-2</v>
      </c>
      <c r="Q44" s="4">
        <v>2.9974789915966391E-2</v>
      </c>
      <c r="R44" s="4">
        <v>2.9368157262905165E-2</v>
      </c>
      <c r="S44" s="4">
        <v>2.8761524609843939E-2</v>
      </c>
      <c r="T44" s="4">
        <v>2.8154891956782713E-2</v>
      </c>
      <c r="U44" s="4">
        <v>2.7548259303721487E-2</v>
      </c>
      <c r="V44" s="4">
        <v>2.6941626650660268E-2</v>
      </c>
      <c r="W44" s="4">
        <v>2.6334993997599043E-2</v>
      </c>
      <c r="X44" s="4">
        <v>2.5728361344537817E-2</v>
      </c>
      <c r="Y44" s="4">
        <v>2.5121728691476591E-2</v>
      </c>
      <c r="Z44" s="4">
        <v>2.4515096038415365E-2</v>
      </c>
      <c r="AA44" s="4">
        <v>2.3908463385354146E-2</v>
      </c>
      <c r="AB44" s="4">
        <v>2.330183073229292E-2</v>
      </c>
      <c r="AC44" s="4">
        <v>2.2695198079231694E-2</v>
      </c>
      <c r="AD44" s="4">
        <v>2.2088565426170468E-2</v>
      </c>
      <c r="AE44" s="4">
        <v>2.1481932773109242E-2</v>
      </c>
      <c r="AF44" s="4">
        <v>2.0875300120048023E-2</v>
      </c>
      <c r="AG44" s="4">
        <v>2.0268667466986797E-2</v>
      </c>
      <c r="AH44" s="4">
        <v>1.9662034813925571E-2</v>
      </c>
      <c r="AI44" s="4">
        <v>1.9055402160864345E-2</v>
      </c>
      <c r="AJ44" s="4">
        <v>1.8448769507803119E-2</v>
      </c>
      <c r="AK44" s="103">
        <v>1.78421368547419E-2</v>
      </c>
    </row>
    <row r="45" spans="9:37" ht="15.75" thickBot="1" x14ac:dyDescent="0.3">
      <c r="I45" s="104" t="s">
        <v>102</v>
      </c>
      <c r="J45" s="105">
        <v>2.5977890665149557E-2</v>
      </c>
      <c r="K45" s="105">
        <v>2.418631199858752E-2</v>
      </c>
      <c r="L45" s="105">
        <v>2.2394733332025477E-2</v>
      </c>
      <c r="M45" s="105">
        <v>2.060315466546344E-2</v>
      </c>
      <c r="N45" s="105">
        <v>1.8811575998901403E-2</v>
      </c>
      <c r="O45" s="105">
        <v>1.7019997332339366E-2</v>
      </c>
      <c r="P45" s="105">
        <v>1.5228418665777328E-2</v>
      </c>
      <c r="Q45" s="105">
        <v>1.3436839999215288E-2</v>
      </c>
      <c r="R45" s="105">
        <v>1.3164903951612121E-2</v>
      </c>
      <c r="S45" s="105">
        <v>1.2892967904008954E-2</v>
      </c>
      <c r="T45" s="105">
        <v>1.2621031856405788E-2</v>
      </c>
      <c r="U45" s="105">
        <v>1.2349095808802621E-2</v>
      </c>
      <c r="V45" s="105">
        <v>1.2077159761199453E-2</v>
      </c>
      <c r="W45" s="105">
        <v>1.1805223713596286E-2</v>
      </c>
      <c r="X45" s="105">
        <v>1.153328766599312E-2</v>
      </c>
      <c r="Y45" s="105">
        <v>1.1261351618389953E-2</v>
      </c>
      <c r="Z45" s="105">
        <v>1.0989415570786787E-2</v>
      </c>
      <c r="AA45" s="105">
        <v>1.0717479523183622E-2</v>
      </c>
      <c r="AB45" s="105">
        <v>1.0445543475580455E-2</v>
      </c>
      <c r="AC45" s="105">
        <v>1.0173607427977288E-2</v>
      </c>
      <c r="AD45" s="105">
        <v>9.9016713803741219E-3</v>
      </c>
      <c r="AE45" s="105">
        <v>9.6297353327709553E-3</v>
      </c>
      <c r="AF45" s="105">
        <v>9.3577992851677887E-3</v>
      </c>
      <c r="AG45" s="105">
        <v>9.0858632375646221E-3</v>
      </c>
      <c r="AH45" s="105">
        <v>8.8139271899614555E-3</v>
      </c>
      <c r="AI45" s="105">
        <v>8.5419911423582889E-3</v>
      </c>
      <c r="AJ45" s="105">
        <v>8.2700550947551223E-3</v>
      </c>
      <c r="AK45" s="106">
        <v>7.9981190471519557E-3</v>
      </c>
    </row>
    <row r="49" spans="8:37" x14ac:dyDescent="0.25">
      <c r="I49" s="4" t="s">
        <v>108</v>
      </c>
    </row>
    <row r="50" spans="8:37" x14ac:dyDescent="0.25">
      <c r="I50" s="152" t="s">
        <v>109</v>
      </c>
    </row>
    <row r="51" spans="8:37" x14ac:dyDescent="0.25">
      <c r="I51" s="4" t="s">
        <v>110</v>
      </c>
    </row>
    <row r="52" spans="8:37" x14ac:dyDescent="0.25">
      <c r="I52" s="4" t="s">
        <v>111</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37" x14ac:dyDescent="0.25">
      <c r="H53" s="152" t="s">
        <v>112</v>
      </c>
      <c r="I53" s="4" t="s">
        <v>58</v>
      </c>
      <c r="J53" s="4">
        <v>79.8</v>
      </c>
      <c r="K53" s="4">
        <v>83.6</v>
      </c>
      <c r="L53" s="4">
        <v>87.2</v>
      </c>
      <c r="M53" s="4">
        <v>91.5</v>
      </c>
      <c r="N53" s="4">
        <v>93.7</v>
      </c>
      <c r="O53" s="4">
        <v>96.1</v>
      </c>
      <c r="P53" s="4">
        <v>98.5</v>
      </c>
      <c r="Q53" s="4">
        <v>101</v>
      </c>
      <c r="R53" s="4">
        <v>106.5</v>
      </c>
      <c r="S53" s="4">
        <v>112.3</v>
      </c>
      <c r="T53" s="4">
        <v>118.5</v>
      </c>
      <c r="U53" s="4">
        <v>124.9</v>
      </c>
      <c r="V53" s="4">
        <v>131.80000000000001</v>
      </c>
      <c r="W53" s="4">
        <v>139</v>
      </c>
      <c r="X53" s="4">
        <v>146.6</v>
      </c>
      <c r="Y53" s="4">
        <v>154.6</v>
      </c>
      <c r="Z53" s="4">
        <v>163.1</v>
      </c>
      <c r="AA53" s="4">
        <v>172</v>
      </c>
      <c r="AB53" s="4">
        <v>174.3</v>
      </c>
      <c r="AC53" s="4">
        <v>176.6</v>
      </c>
      <c r="AD53" s="4">
        <v>178.9</v>
      </c>
      <c r="AE53" s="4">
        <v>181.2</v>
      </c>
      <c r="AF53" s="4">
        <v>183.6</v>
      </c>
      <c r="AG53" s="4">
        <v>186</v>
      </c>
      <c r="AH53" s="4">
        <v>188.5</v>
      </c>
      <c r="AI53" s="4">
        <v>190.9</v>
      </c>
      <c r="AJ53" s="4">
        <v>193.5</v>
      </c>
      <c r="AK53" s="4">
        <v>196</v>
      </c>
    </row>
    <row r="54" spans="8:37" x14ac:dyDescent="0.25">
      <c r="H54" s="152" t="s">
        <v>113</v>
      </c>
      <c r="I54" s="4" t="s">
        <v>114</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37" x14ac:dyDescent="0.25">
      <c r="H55" s="152" t="s">
        <v>115</v>
      </c>
      <c r="I55" s="4" t="s">
        <v>116</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37" x14ac:dyDescent="0.25">
      <c r="H56" s="152"/>
    </row>
    <row r="57" spans="8:37" x14ac:dyDescent="0.25">
      <c r="H57" s="152" t="s">
        <v>117</v>
      </c>
      <c r="I57" s="4" t="s">
        <v>118</v>
      </c>
    </row>
    <row r="58" spans="8:37" x14ac:dyDescent="0.25">
      <c r="H58" s="152"/>
      <c r="I58" s="4" t="s">
        <v>111</v>
      </c>
      <c r="J58" s="4">
        <v>2023</v>
      </c>
      <c r="K58" s="4">
        <v>2024</v>
      </c>
      <c r="L58" s="4">
        <v>2025</v>
      </c>
      <c r="M58" s="4">
        <v>2026</v>
      </c>
      <c r="N58" s="4">
        <v>2027</v>
      </c>
      <c r="O58" s="4">
        <v>2028</v>
      </c>
      <c r="P58" s="4">
        <v>2029</v>
      </c>
      <c r="Q58" s="4">
        <v>2030</v>
      </c>
      <c r="R58" s="4">
        <v>2031</v>
      </c>
      <c r="S58" s="4">
        <v>2032</v>
      </c>
      <c r="T58" s="4">
        <v>2033</v>
      </c>
      <c r="U58" s="4">
        <v>2034</v>
      </c>
      <c r="V58" s="4">
        <v>2035</v>
      </c>
      <c r="W58" s="4">
        <v>2036</v>
      </c>
      <c r="X58" s="4">
        <v>2037</v>
      </c>
      <c r="Y58" s="4">
        <v>2038</v>
      </c>
      <c r="Z58" s="4">
        <v>2039</v>
      </c>
      <c r="AA58" s="4">
        <v>2040</v>
      </c>
      <c r="AB58" s="4">
        <v>2041</v>
      </c>
      <c r="AC58" s="4">
        <v>2042</v>
      </c>
      <c r="AD58" s="4">
        <v>2043</v>
      </c>
      <c r="AE58" s="4">
        <v>2044</v>
      </c>
      <c r="AF58" s="4">
        <v>2045</v>
      </c>
      <c r="AG58" s="4">
        <v>2046</v>
      </c>
      <c r="AH58" s="4">
        <v>2047</v>
      </c>
      <c r="AI58" s="4">
        <v>2048</v>
      </c>
      <c r="AJ58" s="4">
        <v>2049</v>
      </c>
      <c r="AK58" s="4">
        <v>2050</v>
      </c>
    </row>
    <row r="59" spans="8:37" x14ac:dyDescent="0.25">
      <c r="H59" s="152" t="s">
        <v>119</v>
      </c>
      <c r="I59" s="4" t="s">
        <v>114</v>
      </c>
      <c r="J59" s="4">
        <v>90</v>
      </c>
      <c r="K59" s="4">
        <v>97.310924369747895</v>
      </c>
      <c r="L59" s="4">
        <v>104.62184873949579</v>
      </c>
      <c r="M59" s="4">
        <v>111.93277310924368</v>
      </c>
      <c r="N59" s="4">
        <v>119.24369747899158</v>
      </c>
      <c r="O59" s="4">
        <v>126.55462184873947</v>
      </c>
      <c r="P59" s="4">
        <v>133.86554621848737</v>
      </c>
      <c r="Q59" s="4">
        <v>141.1764705882353</v>
      </c>
      <c r="R59" s="4">
        <v>142.23529411764707</v>
      </c>
      <c r="S59" s="4">
        <v>143.29411764705884</v>
      </c>
      <c r="T59" s="4">
        <v>144.35294117647061</v>
      </c>
      <c r="U59" s="4">
        <v>145.41176470588238</v>
      </c>
      <c r="V59" s="4">
        <v>146.47058823529414</v>
      </c>
      <c r="W59" s="4">
        <v>147.52941176470591</v>
      </c>
      <c r="X59" s="4">
        <v>148.58823529411768</v>
      </c>
      <c r="Y59" s="4">
        <v>149.64705882352945</v>
      </c>
      <c r="Z59" s="4">
        <v>150.70588235294122</v>
      </c>
      <c r="AA59" s="4">
        <v>151.76470588235296</v>
      </c>
      <c r="AB59" s="4">
        <v>152.47058823529414</v>
      </c>
      <c r="AC59" s="4">
        <v>153.1764705882353</v>
      </c>
      <c r="AD59" s="4">
        <v>153.88235294117646</v>
      </c>
      <c r="AE59" s="4">
        <v>154.58823529411762</v>
      </c>
      <c r="AF59" s="4">
        <v>155.29411764705878</v>
      </c>
      <c r="AG59" s="4">
        <v>155.99999999999994</v>
      </c>
      <c r="AH59" s="4">
        <v>156.7058823529411</v>
      </c>
      <c r="AI59" s="4">
        <v>157.41176470588226</v>
      </c>
      <c r="AJ59" s="4">
        <v>158.11764705882342</v>
      </c>
      <c r="AK59" s="4">
        <v>158.8235294117647</v>
      </c>
    </row>
    <row r="60" spans="8:37" x14ac:dyDescent="0.25">
      <c r="H60" s="152" t="s">
        <v>120</v>
      </c>
      <c r="I60" s="4" t="s">
        <v>58</v>
      </c>
      <c r="J60" s="4">
        <v>90</v>
      </c>
      <c r="K60" s="4">
        <v>83.865546218487395</v>
      </c>
      <c r="L60" s="4">
        <v>77.731092436974791</v>
      </c>
      <c r="M60" s="4">
        <v>71.596638655462186</v>
      </c>
      <c r="N60" s="4">
        <v>65.462184873949582</v>
      </c>
      <c r="O60" s="4">
        <v>59.327731092436977</v>
      </c>
      <c r="P60" s="4">
        <v>53.193277310924373</v>
      </c>
      <c r="Q60" s="4">
        <v>47.058823529411768</v>
      </c>
      <c r="R60" s="4">
        <v>55.294117647058826</v>
      </c>
      <c r="S60" s="4">
        <v>63.529411764705884</v>
      </c>
      <c r="T60" s="4">
        <v>71.764705882352942</v>
      </c>
      <c r="U60" s="4">
        <v>80</v>
      </c>
      <c r="V60" s="4">
        <v>88.235294117647058</v>
      </c>
      <c r="W60" s="4">
        <v>96.470588235294116</v>
      </c>
      <c r="X60" s="4">
        <v>104.70588235294117</v>
      </c>
      <c r="Y60" s="4">
        <v>112.94117647058823</v>
      </c>
      <c r="Z60" s="4">
        <v>121.17647058823529</v>
      </c>
      <c r="AA60" s="4">
        <v>129.41176470588235</v>
      </c>
      <c r="AB60" s="4">
        <v>135.29411764705881</v>
      </c>
      <c r="AC60" s="4">
        <v>141.17647058823528</v>
      </c>
      <c r="AD60" s="4">
        <v>147.05882352941174</v>
      </c>
      <c r="AE60" s="4">
        <v>152.9411764705882</v>
      </c>
      <c r="AF60" s="4">
        <v>158.82352941176467</v>
      </c>
      <c r="AG60" s="4">
        <v>164.70588235294113</v>
      </c>
      <c r="AH60" s="4">
        <v>170.5882352941176</v>
      </c>
      <c r="AI60" s="4">
        <v>176.47058823529406</v>
      </c>
      <c r="AJ60" s="4">
        <v>182.35294117647052</v>
      </c>
      <c r="AK60" s="4">
        <v>188.23529411764707</v>
      </c>
    </row>
    <row r="61" spans="8:37" x14ac:dyDescent="0.25">
      <c r="H61" s="152" t="s">
        <v>121</v>
      </c>
      <c r="I61" s="4" t="s">
        <v>116</v>
      </c>
      <c r="J61" s="4">
        <v>90</v>
      </c>
      <c r="K61" s="4">
        <v>100.67226890756302</v>
      </c>
      <c r="L61" s="4">
        <v>111.34453781512605</v>
      </c>
      <c r="M61" s="4">
        <v>122.01680672268907</v>
      </c>
      <c r="N61" s="4">
        <v>132.68907563025209</v>
      </c>
      <c r="O61" s="4">
        <v>143.36134453781511</v>
      </c>
      <c r="P61" s="4">
        <v>154.03361344537814</v>
      </c>
      <c r="Q61" s="4">
        <v>164.70588235294119</v>
      </c>
      <c r="R61" s="4">
        <v>172.35294117647061</v>
      </c>
      <c r="S61" s="4">
        <v>180.00000000000003</v>
      </c>
      <c r="T61" s="4">
        <v>187.64705882352945</v>
      </c>
      <c r="U61" s="4">
        <v>195.29411764705887</v>
      </c>
      <c r="V61" s="4">
        <v>202.94117647058829</v>
      </c>
      <c r="W61" s="4">
        <v>210.58823529411771</v>
      </c>
      <c r="X61" s="4">
        <v>218.23529411764713</v>
      </c>
      <c r="Y61" s="4">
        <v>225.88235294117655</v>
      </c>
      <c r="Z61" s="4">
        <v>233.52941176470597</v>
      </c>
      <c r="AA61" s="4">
        <v>241.1764705882353</v>
      </c>
      <c r="AB61" s="4">
        <v>246.47058823529412</v>
      </c>
      <c r="AC61" s="4">
        <v>251.76470588235293</v>
      </c>
      <c r="AD61" s="4">
        <v>257.05882352941177</v>
      </c>
      <c r="AE61" s="4">
        <v>262.35294117647061</v>
      </c>
      <c r="AF61" s="4">
        <v>267.64705882352945</v>
      </c>
      <c r="AG61" s="4">
        <v>272.94117647058829</v>
      </c>
      <c r="AH61" s="4">
        <v>278.23529411764713</v>
      </c>
      <c r="AI61" s="4">
        <v>283.52941176470597</v>
      </c>
      <c r="AJ61" s="4">
        <v>288.82352941176481</v>
      </c>
      <c r="AK61" s="4">
        <v>294.11764705882354</v>
      </c>
    </row>
    <row r="70" spans="1:37" s="93" customFormat="1" ht="31.5" x14ac:dyDescent="0.5">
      <c r="A70" s="93" t="s">
        <v>122</v>
      </c>
      <c r="K70" s="93" t="s">
        <v>123</v>
      </c>
    </row>
    <row r="71" spans="1:37" x14ac:dyDescent="0.25">
      <c r="B71" s="4" t="s">
        <v>124</v>
      </c>
      <c r="C71" s="94">
        <v>0.75</v>
      </c>
      <c r="D71" s="162" t="s">
        <v>125</v>
      </c>
    </row>
    <row r="72" spans="1:37" x14ac:dyDescent="0.25">
      <c r="B72" s="4" t="s">
        <v>126</v>
      </c>
      <c r="C72" s="94">
        <f>1-C71</f>
        <v>0.25</v>
      </c>
      <c r="D72" s="162" t="s">
        <v>127</v>
      </c>
    </row>
    <row r="73" spans="1:37" x14ac:dyDescent="0.25">
      <c r="A73" s="95" t="s">
        <v>128</v>
      </c>
      <c r="B73" s="110"/>
    </row>
    <row r="74" spans="1:37" ht="15.75" thickBot="1" x14ac:dyDescent="0.3"/>
    <row r="75" spans="1:37" x14ac:dyDescent="0.25">
      <c r="E75" s="4" t="s">
        <v>129</v>
      </c>
      <c r="H75" s="4" t="s">
        <v>130</v>
      </c>
      <c r="O75" s="4" t="s">
        <v>129</v>
      </c>
      <c r="R75" s="4" t="s">
        <v>130</v>
      </c>
      <c r="W75" s="99" t="s">
        <v>131</v>
      </c>
      <c r="X75" s="100">
        <v>2023</v>
      </c>
      <c r="Y75" s="100">
        <v>2050</v>
      </c>
      <c r="Z75" s="101" t="s">
        <v>86</v>
      </c>
      <c r="AB75" s="99" t="s">
        <v>132</v>
      </c>
      <c r="AC75" s="100">
        <v>2023</v>
      </c>
      <c r="AD75" s="100">
        <v>2050</v>
      </c>
      <c r="AE75" s="101" t="s">
        <v>86</v>
      </c>
      <c r="AG75" s="99" t="s">
        <v>133</v>
      </c>
      <c r="AH75" s="100">
        <v>2023</v>
      </c>
      <c r="AI75" s="100">
        <v>2050</v>
      </c>
      <c r="AJ75" s="101" t="s">
        <v>86</v>
      </c>
    </row>
    <row r="76" spans="1:37" x14ac:dyDescent="0.25">
      <c r="A76" s="25" t="s">
        <v>134</v>
      </c>
      <c r="B76" s="4">
        <v>2023</v>
      </c>
      <c r="C76" s="4">
        <v>2050</v>
      </c>
      <c r="D76" s="4" t="s">
        <v>86</v>
      </c>
      <c r="E76" s="4" t="s">
        <v>87</v>
      </c>
      <c r="F76" s="4" t="s">
        <v>88</v>
      </c>
      <c r="G76" s="4" t="s">
        <v>89</v>
      </c>
      <c r="I76" s="117"/>
      <c r="K76" s="25" t="s">
        <v>135</v>
      </c>
      <c r="L76" s="4">
        <v>2023</v>
      </c>
      <c r="M76" s="4">
        <v>2050</v>
      </c>
      <c r="N76" s="4" t="s">
        <v>86</v>
      </c>
      <c r="O76" s="4" t="s">
        <v>87</v>
      </c>
      <c r="P76" s="4" t="s">
        <v>88</v>
      </c>
      <c r="Q76" s="4" t="s">
        <v>89</v>
      </c>
      <c r="S76" s="117"/>
      <c r="W76" s="102" t="s">
        <v>136</v>
      </c>
      <c r="X76" s="107">
        <f>$B$4</f>
        <v>0</v>
      </c>
      <c r="Y76" s="107">
        <f>$C$4</f>
        <v>0</v>
      </c>
      <c r="Z76" s="103" t="s">
        <v>91</v>
      </c>
      <c r="AB76" s="102" t="s">
        <v>136</v>
      </c>
      <c r="AC76" s="107">
        <f>$B$4</f>
        <v>0</v>
      </c>
      <c r="AD76" s="107">
        <f>$C$4</f>
        <v>0</v>
      </c>
      <c r="AE76" s="103" t="s">
        <v>91</v>
      </c>
      <c r="AG76" s="102" t="s">
        <v>136</v>
      </c>
      <c r="AH76" s="107">
        <f>$B$4</f>
        <v>0</v>
      </c>
      <c r="AI76" s="107">
        <f>$C$4</f>
        <v>0</v>
      </c>
      <c r="AJ76" s="103" t="s">
        <v>91</v>
      </c>
    </row>
    <row r="77" spans="1:37" x14ac:dyDescent="0.25">
      <c r="A77" s="4" t="s">
        <v>137</v>
      </c>
      <c r="B77" s="4">
        <v>40000</v>
      </c>
      <c r="C77" s="4">
        <v>40000</v>
      </c>
      <c r="D77" s="4" t="s">
        <v>138</v>
      </c>
      <c r="E77" s="4">
        <v>12</v>
      </c>
      <c r="F77" s="4">
        <v>0.9</v>
      </c>
      <c r="G77" s="4">
        <v>0.4</v>
      </c>
      <c r="H77" s="142" t="s">
        <v>139</v>
      </c>
      <c r="I77" s="118" t="s">
        <v>140</v>
      </c>
      <c r="K77" s="4" t="s">
        <v>141</v>
      </c>
      <c r="L77" s="4">
        <v>105000</v>
      </c>
      <c r="M77" s="4">
        <v>115000</v>
      </c>
      <c r="N77" s="4" t="s">
        <v>138</v>
      </c>
      <c r="O77" s="4">
        <v>12</v>
      </c>
      <c r="P77" s="4">
        <v>0.9</v>
      </c>
      <c r="Q77" s="4">
        <v>0.4</v>
      </c>
      <c r="R77" s="142" t="s">
        <v>88</v>
      </c>
      <c r="S77" s="120" t="s">
        <v>142</v>
      </c>
      <c r="W77" s="102" t="s">
        <v>143</v>
      </c>
      <c r="X77" s="195">
        <v>3.17</v>
      </c>
      <c r="Y77" s="195"/>
      <c r="Z77" s="103" t="s">
        <v>144</v>
      </c>
      <c r="AB77" s="102" t="s">
        <v>145</v>
      </c>
      <c r="AC77" s="4">
        <v>2.1999999999999999E-2</v>
      </c>
      <c r="AD77" s="4">
        <v>0</v>
      </c>
      <c r="AE77" s="4" t="s">
        <v>146</v>
      </c>
      <c r="AG77" s="102" t="s">
        <v>145</v>
      </c>
      <c r="AH77" s="4">
        <v>2.1999999999999999E-2</v>
      </c>
      <c r="AI77" s="4">
        <v>0</v>
      </c>
      <c r="AJ77" s="4" t="s">
        <v>146</v>
      </c>
      <c r="AK77" s="4" t="s">
        <v>147</v>
      </c>
    </row>
    <row r="78" spans="1:37" x14ac:dyDescent="0.25">
      <c r="A78" s="4" t="s">
        <v>148</v>
      </c>
      <c r="B78" s="4">
        <f>-B77*0.25</f>
        <v>-10000</v>
      </c>
      <c r="C78" s="4">
        <f>-C77*0.25</f>
        <v>-10000</v>
      </c>
      <c r="D78" s="4" t="s">
        <v>138</v>
      </c>
      <c r="E78" s="4">
        <v>12</v>
      </c>
      <c r="F78" s="4">
        <v>0.9</v>
      </c>
      <c r="G78" s="4">
        <v>0.4</v>
      </c>
      <c r="H78" s="142" t="s">
        <v>149</v>
      </c>
      <c r="I78" s="119" t="s">
        <v>150</v>
      </c>
      <c r="K78" s="4" t="s">
        <v>151</v>
      </c>
      <c r="L78" s="4">
        <f>-L77*0.25</f>
        <v>-26250</v>
      </c>
      <c r="M78" s="4">
        <f>-M77*0.15</f>
        <v>-17250</v>
      </c>
      <c r="N78" s="4" t="s">
        <v>138</v>
      </c>
      <c r="O78" s="4">
        <v>12</v>
      </c>
      <c r="P78" s="4">
        <v>0.9</v>
      </c>
      <c r="Q78" s="4">
        <v>0.4</v>
      </c>
      <c r="R78" s="142" t="s">
        <v>152</v>
      </c>
      <c r="S78" s="121" t="s">
        <v>153</v>
      </c>
      <c r="W78" s="102" t="s">
        <v>154</v>
      </c>
      <c r="X78" s="195">
        <v>11.89</v>
      </c>
      <c r="Y78" s="195"/>
      <c r="Z78" s="103" t="s">
        <v>155</v>
      </c>
      <c r="AB78" s="102" t="s">
        <v>156</v>
      </c>
      <c r="AC78" s="94">
        <v>0.61</v>
      </c>
      <c r="AD78" s="94">
        <v>0.7</v>
      </c>
      <c r="AE78" s="103" t="s">
        <v>157</v>
      </c>
      <c r="AG78" s="102" t="s">
        <v>158</v>
      </c>
      <c r="AH78" s="94">
        <v>0.95</v>
      </c>
      <c r="AI78" s="94">
        <v>0.95</v>
      </c>
      <c r="AJ78" s="103" t="s">
        <v>157</v>
      </c>
      <c r="AK78" s="4" t="s">
        <v>159</v>
      </c>
    </row>
    <row r="79" spans="1:37" x14ac:dyDescent="0.25">
      <c r="A79" s="4" t="s">
        <v>160</v>
      </c>
      <c r="B79" s="4">
        <v>70000</v>
      </c>
      <c r="C79" s="4">
        <v>70000</v>
      </c>
      <c r="D79" s="4" t="s">
        <v>161</v>
      </c>
      <c r="E79" s="4">
        <v>12</v>
      </c>
      <c r="F79" s="4">
        <v>0.9</v>
      </c>
      <c r="G79" s="4">
        <v>0.4</v>
      </c>
      <c r="H79" s="142" t="s">
        <v>162</v>
      </c>
      <c r="I79" s="118" t="s">
        <v>163</v>
      </c>
      <c r="K79" s="4" t="s">
        <v>164</v>
      </c>
      <c r="L79" s="4">
        <v>8</v>
      </c>
      <c r="M79" s="4">
        <v>8</v>
      </c>
      <c r="N79" s="4" t="s">
        <v>165</v>
      </c>
      <c r="O79" s="4">
        <v>12</v>
      </c>
      <c r="P79" s="4">
        <v>0.9</v>
      </c>
      <c r="Q79" s="4">
        <v>0.4</v>
      </c>
      <c r="R79" s="142" t="s">
        <v>166</v>
      </c>
      <c r="S79" s="117" t="s">
        <v>167</v>
      </c>
      <c r="W79" s="102" t="s">
        <v>168</v>
      </c>
      <c r="X79" s="196">
        <f>X77/X78</f>
        <v>0.26661059714045415</v>
      </c>
      <c r="Y79" s="196"/>
      <c r="Z79" s="103" t="s">
        <v>169</v>
      </c>
      <c r="AB79" s="102" t="s">
        <v>170</v>
      </c>
      <c r="AC79" s="109">
        <f>AC77/AC78</f>
        <v>3.6065573770491799E-2</v>
      </c>
      <c r="AD79" s="109">
        <f>AD77/AD78</f>
        <v>0</v>
      </c>
      <c r="AE79" s="103" t="s">
        <v>169</v>
      </c>
      <c r="AG79" s="102" t="s">
        <v>145</v>
      </c>
      <c r="AH79" s="109">
        <f>AH77/AH78</f>
        <v>2.3157894736842106E-2</v>
      </c>
      <c r="AI79" s="109">
        <f>AI77/AI78</f>
        <v>0</v>
      </c>
      <c r="AJ79" s="103" t="s">
        <v>169</v>
      </c>
    </row>
    <row r="80" spans="1:37" x14ac:dyDescent="0.25">
      <c r="A80" s="4" t="s">
        <v>171</v>
      </c>
      <c r="B80" s="4">
        <v>25</v>
      </c>
      <c r="C80" s="4">
        <v>25</v>
      </c>
      <c r="D80" s="4" t="s">
        <v>172</v>
      </c>
      <c r="E80" s="4">
        <v>12</v>
      </c>
      <c r="F80" s="4">
        <v>0.9</v>
      </c>
      <c r="G80" s="4">
        <v>0.4</v>
      </c>
      <c r="H80" s="142" t="s">
        <v>173</v>
      </c>
      <c r="I80" s="118" t="s">
        <v>174</v>
      </c>
      <c r="K80" s="4" t="s">
        <v>175</v>
      </c>
      <c r="L80" s="4">
        <v>20000</v>
      </c>
      <c r="M80" s="4">
        <v>20000</v>
      </c>
      <c r="N80" s="4" t="s">
        <v>161</v>
      </c>
      <c r="O80" s="4">
        <v>12</v>
      </c>
      <c r="P80" s="4">
        <v>0.9</v>
      </c>
      <c r="Q80" s="4">
        <v>0.4</v>
      </c>
      <c r="R80" s="142" t="s">
        <v>88</v>
      </c>
      <c r="S80" s="118" t="s">
        <v>176</v>
      </c>
      <c r="W80" s="102" t="s">
        <v>177</v>
      </c>
      <c r="X80" s="4">
        <f>L81*X79</f>
        <v>0.77317073170731698</v>
      </c>
      <c r="Y80" s="4">
        <f>M81*X79</f>
        <v>0.63986543313708999</v>
      </c>
      <c r="Z80" s="103" t="s">
        <v>178</v>
      </c>
      <c r="AB80" s="102" t="s">
        <v>177</v>
      </c>
      <c r="AC80" s="4">
        <f>AC79*L105</f>
        <v>9.1245901639344248E-2</v>
      </c>
      <c r="AD80" s="4">
        <f>AD79*M105</f>
        <v>0</v>
      </c>
      <c r="AE80" s="103" t="s">
        <v>178</v>
      </c>
      <c r="AG80" s="102" t="s">
        <v>177</v>
      </c>
      <c r="AH80" s="4">
        <f>AH79*L93</f>
        <v>3.5200000000000002E-2</v>
      </c>
      <c r="AI80" s="4">
        <f>AI79*M93</f>
        <v>0</v>
      </c>
      <c r="AJ80" s="103" t="s">
        <v>178</v>
      </c>
    </row>
    <row r="81" spans="1:36" ht="15.75" thickBot="1" x14ac:dyDescent="0.3">
      <c r="A81" s="4" t="s">
        <v>179</v>
      </c>
      <c r="B81" s="150">
        <f>42%/C71</f>
        <v>0.55999999999999994</v>
      </c>
      <c r="C81" s="150">
        <f>42%/C71</f>
        <v>0.55999999999999994</v>
      </c>
      <c r="D81" s="4" t="s">
        <v>180</v>
      </c>
      <c r="E81" s="4">
        <v>12</v>
      </c>
      <c r="F81" s="4">
        <v>0.9</v>
      </c>
      <c r="G81" s="4">
        <v>0.4</v>
      </c>
      <c r="H81" s="142" t="s">
        <v>181</v>
      </c>
      <c r="I81" s="118" t="s">
        <v>182</v>
      </c>
      <c r="K81" s="4" t="s">
        <v>183</v>
      </c>
      <c r="L81" s="4">
        <v>2.9</v>
      </c>
      <c r="M81" s="4">
        <v>2.4</v>
      </c>
      <c r="N81" s="4" t="s">
        <v>184</v>
      </c>
      <c r="O81" s="4">
        <v>12</v>
      </c>
      <c r="P81" s="4">
        <v>0.9</v>
      </c>
      <c r="Q81" s="4">
        <v>0.4</v>
      </c>
      <c r="R81" s="142" t="s">
        <v>88</v>
      </c>
      <c r="S81" s="118" t="s">
        <v>185</v>
      </c>
      <c r="W81" s="104" t="s">
        <v>186</v>
      </c>
      <c r="X81" s="105">
        <f>X76/1000*X80</f>
        <v>0</v>
      </c>
      <c r="Y81" s="105">
        <f>Y80/1000*Y76</f>
        <v>0</v>
      </c>
      <c r="Z81" s="106" t="s">
        <v>187</v>
      </c>
      <c r="AB81" s="104" t="s">
        <v>186</v>
      </c>
      <c r="AC81" s="105">
        <f>AC76/1000*AC80</f>
        <v>0</v>
      </c>
      <c r="AD81" s="105">
        <f>AD80/1000*AD76</f>
        <v>0</v>
      </c>
      <c r="AE81" s="106" t="s">
        <v>187</v>
      </c>
      <c r="AG81" s="104" t="s">
        <v>186</v>
      </c>
      <c r="AH81" s="105">
        <f>AH76/1000*AH80</f>
        <v>0</v>
      </c>
      <c r="AI81" s="105">
        <f>AI80/1000*AI76</f>
        <v>0</v>
      </c>
      <c r="AJ81" s="106" t="s">
        <v>187</v>
      </c>
    </row>
    <row r="82" spans="1:36" x14ac:dyDescent="0.25">
      <c r="A82" s="4" t="s">
        <v>188</v>
      </c>
      <c r="B82" s="4">
        <v>55000</v>
      </c>
      <c r="C82" s="4">
        <v>55000</v>
      </c>
      <c r="D82" s="4" t="s">
        <v>189</v>
      </c>
      <c r="E82" s="4">
        <v>12</v>
      </c>
      <c r="F82" s="4">
        <v>0.9</v>
      </c>
      <c r="G82" s="4">
        <v>0.4</v>
      </c>
      <c r="H82" s="142" t="s">
        <v>181</v>
      </c>
      <c r="I82" s="118" t="s">
        <v>190</v>
      </c>
      <c r="K82" s="4" t="s">
        <v>191</v>
      </c>
      <c r="L82" s="4">
        <f>B5</f>
        <v>0.1</v>
      </c>
      <c r="M82" s="4">
        <f>C5</f>
        <v>0.1</v>
      </c>
      <c r="N82" s="4" t="s">
        <v>94</v>
      </c>
      <c r="O82" s="4">
        <f>E5</f>
        <v>12</v>
      </c>
      <c r="P82" s="4">
        <f>F5</f>
        <v>0.9</v>
      </c>
      <c r="Q82" s="4">
        <f>G5</f>
        <v>0.4</v>
      </c>
      <c r="R82" s="142" t="s">
        <v>192</v>
      </c>
      <c r="S82" s="124" t="s">
        <v>193</v>
      </c>
    </row>
    <row r="83" spans="1:36" x14ac:dyDescent="0.25">
      <c r="A83" s="4" t="s">
        <v>194</v>
      </c>
      <c r="B83" s="4">
        <v>10</v>
      </c>
      <c r="C83" s="4">
        <v>10</v>
      </c>
      <c r="D83" s="4" t="s">
        <v>165</v>
      </c>
      <c r="E83" s="4">
        <v>12</v>
      </c>
      <c r="F83" s="4">
        <v>0.9</v>
      </c>
      <c r="G83" s="4">
        <v>0.4</v>
      </c>
      <c r="H83" s="142" t="s">
        <v>195</v>
      </c>
      <c r="I83" s="118" t="s">
        <v>196</v>
      </c>
      <c r="K83" s="4" t="s">
        <v>197</v>
      </c>
      <c r="L83" s="150">
        <v>0</v>
      </c>
      <c r="M83" s="150">
        <v>0</v>
      </c>
      <c r="N83" s="4" t="s">
        <v>180</v>
      </c>
      <c r="O83" s="4">
        <v>12</v>
      </c>
      <c r="P83" s="4">
        <v>0.9</v>
      </c>
      <c r="Q83" s="4">
        <v>0.4</v>
      </c>
      <c r="R83" s="142" t="s">
        <v>173</v>
      </c>
      <c r="S83" s="118" t="s">
        <v>198</v>
      </c>
    </row>
    <row r="84" spans="1:36" x14ac:dyDescent="0.25">
      <c r="A84" s="4" t="s">
        <v>199</v>
      </c>
      <c r="B84" s="4">
        <v>0.11</v>
      </c>
      <c r="C84" s="4">
        <v>0.11</v>
      </c>
      <c r="D84" s="4" t="s">
        <v>200</v>
      </c>
      <c r="E84" s="4">
        <v>12</v>
      </c>
      <c r="F84" s="4">
        <v>0.9</v>
      </c>
      <c r="G84" s="4">
        <v>0.4</v>
      </c>
      <c r="H84" s="142" t="s">
        <v>201</v>
      </c>
      <c r="I84" s="118" t="s">
        <v>202</v>
      </c>
      <c r="K84" s="4" t="s">
        <v>203</v>
      </c>
      <c r="L84" s="150">
        <v>0.06</v>
      </c>
      <c r="M84" s="150">
        <v>0.06</v>
      </c>
      <c r="N84" s="4" t="s">
        <v>180</v>
      </c>
      <c r="O84" s="4">
        <v>12</v>
      </c>
      <c r="P84" s="4">
        <v>0.9</v>
      </c>
      <c r="Q84" s="4">
        <v>0.4</v>
      </c>
      <c r="R84" s="142" t="s">
        <v>201</v>
      </c>
      <c r="S84" s="122" t="s">
        <v>198</v>
      </c>
      <c r="W84" s="4" t="s">
        <v>149</v>
      </c>
      <c r="X84" s="4" t="s">
        <v>204</v>
      </c>
    </row>
    <row r="85" spans="1:36" x14ac:dyDescent="0.25">
      <c r="I85" s="118"/>
      <c r="K85" s="4" t="s">
        <v>205</v>
      </c>
      <c r="L85" s="4">
        <f>X81</f>
        <v>0</v>
      </c>
      <c r="M85" s="4">
        <f>Y81</f>
        <v>0</v>
      </c>
      <c r="N85" s="4" t="s">
        <v>200</v>
      </c>
      <c r="O85" s="4">
        <v>17</v>
      </c>
      <c r="P85" s="4">
        <f>$F$4</f>
        <v>0.9</v>
      </c>
      <c r="Q85" s="4">
        <f>$G$4</f>
        <v>0.4</v>
      </c>
      <c r="R85" s="142" t="s">
        <v>206</v>
      </c>
      <c r="S85" s="118" t="s">
        <v>207</v>
      </c>
      <c r="W85" s="4" t="s">
        <v>88</v>
      </c>
      <c r="X85" s="4" t="s">
        <v>208</v>
      </c>
    </row>
    <row r="86" spans="1:36" x14ac:dyDescent="0.25">
      <c r="I86" s="118"/>
      <c r="S86" s="118"/>
      <c r="W86" s="4" t="s">
        <v>181</v>
      </c>
      <c r="X86" s="4" t="s">
        <v>209</v>
      </c>
    </row>
    <row r="87" spans="1:36" x14ac:dyDescent="0.25">
      <c r="E87" s="4" t="s">
        <v>129</v>
      </c>
      <c r="H87" s="4" t="s">
        <v>130</v>
      </c>
      <c r="I87" s="118"/>
      <c r="O87" s="4" t="s">
        <v>129</v>
      </c>
      <c r="R87" s="4" t="s">
        <v>130</v>
      </c>
      <c r="S87" s="118"/>
      <c r="W87" s="4" t="s">
        <v>166</v>
      </c>
      <c r="X87" s="4" t="s">
        <v>210</v>
      </c>
    </row>
    <row r="88" spans="1:36" x14ac:dyDescent="0.25">
      <c r="A88" s="25" t="s">
        <v>211</v>
      </c>
      <c r="B88" s="4">
        <v>2023</v>
      </c>
      <c r="C88" s="4">
        <v>2050</v>
      </c>
      <c r="D88" s="4" t="s">
        <v>86</v>
      </c>
      <c r="E88" s="4" t="s">
        <v>87</v>
      </c>
      <c r="F88" s="4" t="s">
        <v>88</v>
      </c>
      <c r="G88" s="4" t="s">
        <v>89</v>
      </c>
      <c r="I88" s="118"/>
      <c r="K88" s="25" t="s">
        <v>212</v>
      </c>
      <c r="L88" s="4">
        <v>2023</v>
      </c>
      <c r="M88" s="4">
        <v>2050</v>
      </c>
      <c r="N88" s="4" t="s">
        <v>86</v>
      </c>
      <c r="O88" s="4" t="s">
        <v>87</v>
      </c>
      <c r="P88" s="4" t="s">
        <v>88</v>
      </c>
      <c r="Q88" s="4" t="s">
        <v>89</v>
      </c>
      <c r="S88" s="118"/>
      <c r="W88" s="4" t="s">
        <v>201</v>
      </c>
      <c r="X88" s="4" t="s">
        <v>213</v>
      </c>
    </row>
    <row r="89" spans="1:36" x14ac:dyDescent="0.25">
      <c r="A89" s="4" t="s">
        <v>137</v>
      </c>
      <c r="B89" s="4">
        <v>60000</v>
      </c>
      <c r="C89" s="4">
        <v>60000</v>
      </c>
      <c r="D89" s="4" t="s">
        <v>138</v>
      </c>
      <c r="E89" s="4">
        <v>12</v>
      </c>
      <c r="F89" s="4">
        <v>0.9</v>
      </c>
      <c r="G89" s="4">
        <v>0.4</v>
      </c>
      <c r="H89" s="142" t="s">
        <v>139</v>
      </c>
      <c r="I89" s="118" t="s">
        <v>140</v>
      </c>
      <c r="K89" s="4" t="s">
        <v>141</v>
      </c>
      <c r="L89" s="4">
        <v>400000</v>
      </c>
      <c r="M89" s="4">
        <v>145000</v>
      </c>
      <c r="N89" s="4" t="s">
        <v>138</v>
      </c>
      <c r="O89" s="4">
        <v>8</v>
      </c>
      <c r="P89" s="4">
        <v>0.9</v>
      </c>
      <c r="Q89" s="4">
        <v>0.4</v>
      </c>
      <c r="R89" s="142" t="s">
        <v>88</v>
      </c>
      <c r="S89" s="118" t="s">
        <v>214</v>
      </c>
      <c r="W89" s="4" t="s">
        <v>195</v>
      </c>
      <c r="X89" s="4" t="s">
        <v>215</v>
      </c>
    </row>
    <row r="90" spans="1:36" x14ac:dyDescent="0.25">
      <c r="A90" s="4" t="s">
        <v>148</v>
      </c>
      <c r="B90" s="4">
        <f>-B89*0.25</f>
        <v>-15000</v>
      </c>
      <c r="C90" s="4">
        <f>-C89*0.25</f>
        <v>-15000</v>
      </c>
      <c r="D90" s="4" t="s">
        <v>138</v>
      </c>
      <c r="E90" s="4">
        <v>12</v>
      </c>
      <c r="F90" s="4">
        <v>0.9</v>
      </c>
      <c r="G90" s="4">
        <v>0.4</v>
      </c>
      <c r="H90" s="142" t="s">
        <v>149</v>
      </c>
      <c r="I90" s="119" t="s">
        <v>150</v>
      </c>
      <c r="K90" s="4" t="s">
        <v>151</v>
      </c>
      <c r="L90" s="4">
        <f>-L89*0.15</f>
        <v>-60000</v>
      </c>
      <c r="M90" s="4">
        <f>-M89*0.25</f>
        <v>-36250</v>
      </c>
      <c r="N90" s="4" t="s">
        <v>138</v>
      </c>
      <c r="O90" s="4">
        <v>8</v>
      </c>
      <c r="P90" s="4">
        <v>0.9</v>
      </c>
      <c r="Q90" s="4">
        <v>0.4</v>
      </c>
      <c r="R90" s="142" t="s">
        <v>152</v>
      </c>
      <c r="S90" s="121" t="s">
        <v>216</v>
      </c>
      <c r="W90" s="4" t="s">
        <v>173</v>
      </c>
      <c r="X90" s="4" t="s">
        <v>217</v>
      </c>
    </row>
    <row r="91" spans="1:36" x14ac:dyDescent="0.25">
      <c r="A91" s="4" t="s">
        <v>160</v>
      </c>
      <c r="B91" s="4">
        <v>70000</v>
      </c>
      <c r="C91" s="4">
        <v>70000</v>
      </c>
      <c r="D91" s="4" t="s">
        <v>161</v>
      </c>
      <c r="E91" s="4">
        <v>12</v>
      </c>
      <c r="F91" s="4">
        <v>0.9</v>
      </c>
      <c r="G91" s="4">
        <v>0.4</v>
      </c>
      <c r="H91" s="142" t="s">
        <v>162</v>
      </c>
      <c r="I91" s="118" t="s">
        <v>163</v>
      </c>
      <c r="K91" s="4" t="s">
        <v>164</v>
      </c>
      <c r="L91" s="4">
        <v>8</v>
      </c>
      <c r="M91" s="4">
        <v>8</v>
      </c>
      <c r="N91" s="4" t="s">
        <v>165</v>
      </c>
      <c r="O91" s="4">
        <v>8</v>
      </c>
      <c r="P91" s="4">
        <v>0.9</v>
      </c>
      <c r="Q91" s="4">
        <v>0.4</v>
      </c>
      <c r="R91" s="142" t="s">
        <v>166</v>
      </c>
      <c r="S91" s="117" t="s">
        <v>167</v>
      </c>
      <c r="W91" s="4" t="s">
        <v>218</v>
      </c>
      <c r="X91" s="4" t="s">
        <v>219</v>
      </c>
    </row>
    <row r="92" spans="1:36" x14ac:dyDescent="0.25">
      <c r="A92" s="4" t="s">
        <v>171</v>
      </c>
      <c r="B92" s="4">
        <v>25</v>
      </c>
      <c r="C92" s="4">
        <v>25</v>
      </c>
      <c r="D92" s="4" t="s">
        <v>172</v>
      </c>
      <c r="E92" s="4">
        <v>12</v>
      </c>
      <c r="F92" s="4">
        <v>0.9</v>
      </c>
      <c r="G92" s="4">
        <v>0.4</v>
      </c>
      <c r="H92" s="142" t="s">
        <v>173</v>
      </c>
      <c r="I92" s="118" t="s">
        <v>174</v>
      </c>
      <c r="K92" s="4" t="s">
        <v>175</v>
      </c>
      <c r="L92" s="4">
        <v>15000</v>
      </c>
      <c r="M92" s="4">
        <v>15000</v>
      </c>
      <c r="N92" s="4" t="s">
        <v>161</v>
      </c>
      <c r="O92" s="4">
        <v>8</v>
      </c>
      <c r="P92" s="4">
        <v>0.9</v>
      </c>
      <c r="Q92" s="4">
        <v>0.4</v>
      </c>
      <c r="R92" s="142" t="s">
        <v>88</v>
      </c>
      <c r="S92" s="118" t="s">
        <v>220</v>
      </c>
      <c r="W92" s="4" t="s">
        <v>221</v>
      </c>
      <c r="X92" s="110" t="s">
        <v>147</v>
      </c>
      <c r="AI92" s="25"/>
    </row>
    <row r="93" spans="1:36" x14ac:dyDescent="0.25">
      <c r="A93" s="4" t="s">
        <v>179</v>
      </c>
      <c r="B93" s="150">
        <f>48%/C71</f>
        <v>0.64</v>
      </c>
      <c r="C93" s="150">
        <f>48%/C71</f>
        <v>0.64</v>
      </c>
      <c r="D93" s="4" t="s">
        <v>180</v>
      </c>
      <c r="E93" s="4">
        <v>12</v>
      </c>
      <c r="F93" s="4">
        <v>0.9</v>
      </c>
      <c r="G93" s="4">
        <v>0.4</v>
      </c>
      <c r="H93" s="142" t="s">
        <v>181</v>
      </c>
      <c r="I93" s="118" t="s">
        <v>222</v>
      </c>
      <c r="K93" s="4" t="s">
        <v>183</v>
      </c>
      <c r="L93" s="4">
        <v>1.52</v>
      </c>
      <c r="M93" s="4">
        <v>1.1499999999999999</v>
      </c>
      <c r="N93" s="4" t="s">
        <v>184</v>
      </c>
      <c r="O93" s="4">
        <v>8</v>
      </c>
      <c r="P93" s="4">
        <v>0.9</v>
      </c>
      <c r="Q93" s="4">
        <v>0.4</v>
      </c>
      <c r="R93" s="142" t="s">
        <v>88</v>
      </c>
      <c r="S93" s="118" t="s">
        <v>198</v>
      </c>
      <c r="W93" s="4" t="s">
        <v>223</v>
      </c>
      <c r="X93" s="4" t="s">
        <v>159</v>
      </c>
    </row>
    <row r="94" spans="1:36" x14ac:dyDescent="0.25">
      <c r="A94" s="4" t="s">
        <v>188</v>
      </c>
      <c r="B94" s="4">
        <v>110000</v>
      </c>
      <c r="C94" s="4">
        <v>110000</v>
      </c>
      <c r="D94" s="4" t="s">
        <v>189</v>
      </c>
      <c r="E94" s="4">
        <v>12</v>
      </c>
      <c r="F94" s="4">
        <v>0.9</v>
      </c>
      <c r="G94" s="4">
        <v>0.4</v>
      </c>
      <c r="H94" s="142" t="s">
        <v>181</v>
      </c>
      <c r="I94" s="118" t="s">
        <v>224</v>
      </c>
      <c r="K94" s="4" t="s">
        <v>191</v>
      </c>
      <c r="L94" s="65">
        <f t="shared" ref="L94:Q94" si="0">B8</f>
        <v>0.13371034051801745</v>
      </c>
      <c r="M94" s="65">
        <f t="shared" si="0"/>
        <v>8.7585019329602734E-2</v>
      </c>
      <c r="N94" s="65" t="str">
        <f t="shared" si="0"/>
        <v>[€/kWh]</v>
      </c>
      <c r="O94" s="65">
        <f t="shared" si="0"/>
        <v>12</v>
      </c>
      <c r="P94" s="65">
        <f t="shared" si="0"/>
        <v>0.9</v>
      </c>
      <c r="Q94" s="65">
        <f t="shared" si="0"/>
        <v>0.4</v>
      </c>
      <c r="R94" s="142" t="s">
        <v>201</v>
      </c>
      <c r="S94" s="118" t="s">
        <v>225</v>
      </c>
      <c r="W94" s="4" t="s">
        <v>226</v>
      </c>
      <c r="X94" s="4" t="s">
        <v>227</v>
      </c>
    </row>
    <row r="95" spans="1:36" x14ac:dyDescent="0.25">
      <c r="A95" s="4" t="s">
        <v>194</v>
      </c>
      <c r="B95" s="4">
        <v>10</v>
      </c>
      <c r="C95" s="4">
        <v>10</v>
      </c>
      <c r="D95" s="4" t="s">
        <v>165</v>
      </c>
      <c r="E95" s="4">
        <v>12</v>
      </c>
      <c r="F95" s="4">
        <v>0.9</v>
      </c>
      <c r="G95" s="4">
        <v>0.4</v>
      </c>
      <c r="H95" s="142" t="s">
        <v>195</v>
      </c>
      <c r="I95" s="118" t="s">
        <v>196</v>
      </c>
      <c r="K95" s="4" t="s">
        <v>197</v>
      </c>
      <c r="L95" s="150">
        <v>0.1</v>
      </c>
      <c r="M95" s="150">
        <v>0.05</v>
      </c>
      <c r="N95" s="4" t="s">
        <v>180</v>
      </c>
      <c r="O95" s="4">
        <v>12</v>
      </c>
      <c r="P95" s="4">
        <v>0.9</v>
      </c>
      <c r="Q95" s="4">
        <v>0.4</v>
      </c>
      <c r="R95" s="142" t="s">
        <v>228</v>
      </c>
      <c r="S95" s="118" t="s">
        <v>229</v>
      </c>
      <c r="W95" s="4" t="s">
        <v>89</v>
      </c>
      <c r="X95" s="4" t="s">
        <v>230</v>
      </c>
    </row>
    <row r="96" spans="1:36" x14ac:dyDescent="0.25">
      <c r="A96" s="4" t="s">
        <v>199</v>
      </c>
      <c r="B96" s="4">
        <v>0.11</v>
      </c>
      <c r="C96" s="4">
        <v>0.11</v>
      </c>
      <c r="D96" s="4" t="s">
        <v>200</v>
      </c>
      <c r="E96" s="4">
        <v>12</v>
      </c>
      <c r="F96" s="4">
        <v>0.9</v>
      </c>
      <c r="G96" s="4">
        <v>0.4</v>
      </c>
      <c r="H96" s="142" t="s">
        <v>201</v>
      </c>
      <c r="I96" s="118" t="s">
        <v>202</v>
      </c>
      <c r="K96" s="4" t="s">
        <v>203</v>
      </c>
      <c r="L96" s="150">
        <v>0.06</v>
      </c>
      <c r="M96" s="150">
        <v>0.06</v>
      </c>
      <c r="N96" s="4" t="s">
        <v>180</v>
      </c>
      <c r="O96" s="4">
        <v>12</v>
      </c>
      <c r="P96" s="4">
        <v>0.9</v>
      </c>
      <c r="Q96" s="4">
        <v>0.4</v>
      </c>
      <c r="R96" s="142" t="s">
        <v>201</v>
      </c>
      <c r="S96" s="122" t="s">
        <v>198</v>
      </c>
      <c r="W96" s="4" t="s">
        <v>192</v>
      </c>
      <c r="X96" s="4" t="s">
        <v>231</v>
      </c>
    </row>
    <row r="97" spans="1:24" x14ac:dyDescent="0.25">
      <c r="I97" s="118"/>
      <c r="K97" s="4" t="s">
        <v>205</v>
      </c>
      <c r="L97" s="4">
        <f>AH81</f>
        <v>0</v>
      </c>
      <c r="M97" s="4">
        <f>AI81</f>
        <v>0</v>
      </c>
      <c r="N97" s="4" t="s">
        <v>200</v>
      </c>
      <c r="O97" s="4">
        <f>$E$4</f>
        <v>17</v>
      </c>
      <c r="P97" s="4">
        <f>$F$4</f>
        <v>0.9</v>
      </c>
      <c r="Q97" s="4">
        <f>$G$4</f>
        <v>0.4</v>
      </c>
      <c r="R97" s="142" t="s">
        <v>232</v>
      </c>
      <c r="S97" s="118" t="s">
        <v>233</v>
      </c>
      <c r="W97" s="4" t="s">
        <v>234</v>
      </c>
      <c r="X97" s="4" t="s">
        <v>235</v>
      </c>
    </row>
    <row r="98" spans="1:24" x14ac:dyDescent="0.25">
      <c r="I98" s="118"/>
      <c r="S98" s="118"/>
      <c r="W98" s="4" t="s">
        <v>236</v>
      </c>
      <c r="X98" s="4" t="s">
        <v>237</v>
      </c>
    </row>
    <row r="99" spans="1:24" x14ac:dyDescent="0.25">
      <c r="I99" s="118"/>
      <c r="O99" s="4" t="s">
        <v>129</v>
      </c>
      <c r="R99" s="4" t="s">
        <v>130</v>
      </c>
      <c r="S99" s="118"/>
    </row>
    <row r="100" spans="1:24" x14ac:dyDescent="0.25">
      <c r="E100" s="4" t="s">
        <v>129</v>
      </c>
      <c r="H100" s="4" t="s">
        <v>130</v>
      </c>
      <c r="I100" s="118"/>
      <c r="K100" s="25" t="s">
        <v>238</v>
      </c>
      <c r="L100" s="4">
        <v>2023</v>
      </c>
      <c r="M100" s="4">
        <v>2050</v>
      </c>
      <c r="N100" s="4" t="s">
        <v>86</v>
      </c>
      <c r="O100" s="4" t="s">
        <v>87</v>
      </c>
      <c r="P100" s="4" t="s">
        <v>88</v>
      </c>
      <c r="Q100" s="4" t="s">
        <v>89</v>
      </c>
      <c r="S100" s="118"/>
    </row>
    <row r="101" spans="1:24" x14ac:dyDescent="0.25">
      <c r="A101" s="25" t="s">
        <v>239</v>
      </c>
      <c r="B101" s="4">
        <v>2023</v>
      </c>
      <c r="C101" s="4">
        <v>2050</v>
      </c>
      <c r="D101" s="4" t="s">
        <v>86</v>
      </c>
      <c r="E101" s="4" t="s">
        <v>87</v>
      </c>
      <c r="F101" s="4" t="s">
        <v>88</v>
      </c>
      <c r="G101" s="4" t="s">
        <v>89</v>
      </c>
      <c r="I101" s="118"/>
      <c r="K101" s="4" t="s">
        <v>141</v>
      </c>
      <c r="L101" s="4">
        <v>390000</v>
      </c>
      <c r="M101" s="4">
        <v>155000</v>
      </c>
      <c r="N101" s="4" t="s">
        <v>138</v>
      </c>
      <c r="O101" s="4">
        <v>9</v>
      </c>
      <c r="P101" s="4">
        <v>0.9</v>
      </c>
      <c r="Q101" s="4">
        <v>0.4</v>
      </c>
      <c r="R101" s="142" t="s">
        <v>88</v>
      </c>
      <c r="S101" s="118" t="s">
        <v>240</v>
      </c>
    </row>
    <row r="102" spans="1:24" x14ac:dyDescent="0.25">
      <c r="A102" s="4" t="s">
        <v>137</v>
      </c>
      <c r="B102" s="4">
        <v>30000</v>
      </c>
      <c r="C102" s="4">
        <v>30000</v>
      </c>
      <c r="D102" s="4" t="s">
        <v>138</v>
      </c>
      <c r="E102" s="4">
        <v>12</v>
      </c>
      <c r="F102" s="4">
        <v>0.9</v>
      </c>
      <c r="G102" s="4">
        <v>0.4</v>
      </c>
      <c r="H102" s="142" t="s">
        <v>139</v>
      </c>
      <c r="I102" s="118" t="s">
        <v>140</v>
      </c>
      <c r="K102" s="4" t="s">
        <v>151</v>
      </c>
      <c r="L102" s="4">
        <f>-L101*0.15</f>
        <v>-58500</v>
      </c>
      <c r="M102" s="4">
        <f>-M101*0.25</f>
        <v>-38750</v>
      </c>
      <c r="N102" s="4" t="s">
        <v>138</v>
      </c>
      <c r="O102" s="4">
        <v>9</v>
      </c>
      <c r="P102" s="4">
        <v>0.9</v>
      </c>
      <c r="Q102" s="4">
        <v>0.4</v>
      </c>
      <c r="R102" s="142" t="s">
        <v>152</v>
      </c>
      <c r="S102" s="121" t="s">
        <v>216</v>
      </c>
    </row>
    <row r="103" spans="1:24" x14ac:dyDescent="0.25">
      <c r="A103" s="4" t="s">
        <v>148</v>
      </c>
      <c r="B103" s="4">
        <f>-B102*0.25</f>
        <v>-7500</v>
      </c>
      <c r="C103" s="4">
        <f>-C102*0.25</f>
        <v>-7500</v>
      </c>
      <c r="D103" s="4" t="s">
        <v>138</v>
      </c>
      <c r="E103" s="4">
        <v>12</v>
      </c>
      <c r="F103" s="4">
        <v>0.9</v>
      </c>
      <c r="G103" s="4">
        <v>0.4</v>
      </c>
      <c r="H103" s="142" t="s">
        <v>149</v>
      </c>
      <c r="I103" s="119" t="s">
        <v>150</v>
      </c>
      <c r="K103" s="4" t="s">
        <v>164</v>
      </c>
      <c r="L103" s="4">
        <v>8</v>
      </c>
      <c r="M103" s="4">
        <v>8</v>
      </c>
      <c r="N103" s="4" t="s">
        <v>165</v>
      </c>
      <c r="O103" s="4">
        <v>9</v>
      </c>
      <c r="P103" s="4">
        <v>0.9</v>
      </c>
      <c r="Q103" s="4">
        <v>0.4</v>
      </c>
      <c r="R103" s="142" t="s">
        <v>166</v>
      </c>
      <c r="S103" s="117" t="s">
        <v>167</v>
      </c>
    </row>
    <row r="104" spans="1:24" x14ac:dyDescent="0.25">
      <c r="A104" s="4" t="s">
        <v>160</v>
      </c>
      <c r="B104" s="4">
        <v>70000</v>
      </c>
      <c r="C104" s="4">
        <v>70000</v>
      </c>
      <c r="D104" s="4" t="s">
        <v>161</v>
      </c>
      <c r="E104" s="4">
        <v>12</v>
      </c>
      <c r="F104" s="4">
        <v>0.9</v>
      </c>
      <c r="G104" s="4">
        <v>0.4</v>
      </c>
      <c r="H104" s="142" t="s">
        <v>162</v>
      </c>
      <c r="I104" s="118" t="s">
        <v>163</v>
      </c>
      <c r="K104" s="4" t="s">
        <v>175</v>
      </c>
      <c r="L104" s="4">
        <v>26000</v>
      </c>
      <c r="M104" s="4">
        <v>18000</v>
      </c>
      <c r="N104" s="4" t="s">
        <v>161</v>
      </c>
      <c r="O104" s="4">
        <v>9</v>
      </c>
      <c r="P104" s="4">
        <v>0.9</v>
      </c>
      <c r="Q104" s="4">
        <v>0.4</v>
      </c>
      <c r="R104" s="142" t="s">
        <v>88</v>
      </c>
      <c r="S104" s="118" t="s">
        <v>241</v>
      </c>
    </row>
    <row r="105" spans="1:24" x14ac:dyDescent="0.25">
      <c r="A105" s="4" t="s">
        <v>171</v>
      </c>
      <c r="B105" s="4">
        <v>25</v>
      </c>
      <c r="C105" s="4">
        <v>25</v>
      </c>
      <c r="D105" s="4" t="s">
        <v>172</v>
      </c>
      <c r="E105" s="4">
        <v>12</v>
      </c>
      <c r="F105" s="4">
        <v>0.9</v>
      </c>
      <c r="G105" s="4">
        <v>0.4</v>
      </c>
      <c r="H105" s="142" t="s">
        <v>173</v>
      </c>
      <c r="I105" s="118" t="s">
        <v>174</v>
      </c>
      <c r="K105" s="4" t="s">
        <v>183</v>
      </c>
      <c r="L105" s="4">
        <v>2.5299999999999998</v>
      </c>
      <c r="M105" s="4">
        <v>1.79</v>
      </c>
      <c r="N105" s="4" t="s">
        <v>184</v>
      </c>
      <c r="O105" s="4">
        <v>9</v>
      </c>
      <c r="P105" s="4">
        <v>0.9</v>
      </c>
      <c r="Q105" s="4">
        <v>0.4</v>
      </c>
      <c r="R105" s="142" t="s">
        <v>88</v>
      </c>
      <c r="S105" s="118" t="s">
        <v>242</v>
      </c>
    </row>
    <row r="106" spans="1:24" x14ac:dyDescent="0.25">
      <c r="A106" s="4" t="s">
        <v>179</v>
      </c>
      <c r="B106" s="150">
        <f>46%/C71</f>
        <v>0.6133333333333334</v>
      </c>
      <c r="C106" s="150">
        <f>46%/C71</f>
        <v>0.6133333333333334</v>
      </c>
      <c r="D106" s="4" t="s">
        <v>180</v>
      </c>
      <c r="E106" s="4">
        <v>12</v>
      </c>
      <c r="F106" s="4">
        <v>0.9</v>
      </c>
      <c r="G106" s="4">
        <v>0.4</v>
      </c>
      <c r="H106" s="142" t="s">
        <v>181</v>
      </c>
      <c r="I106" s="118" t="s">
        <v>243</v>
      </c>
      <c r="K106" s="4" t="s">
        <v>191</v>
      </c>
      <c r="L106" s="65">
        <f t="shared" ref="L106:Q106" si="1">B9</f>
        <v>0.2544561408768215</v>
      </c>
      <c r="M106" s="65">
        <f t="shared" si="1"/>
        <v>0.10949010032952979</v>
      </c>
      <c r="N106" s="65" t="str">
        <f t="shared" si="1"/>
        <v>[€/kWh]</v>
      </c>
      <c r="O106" s="65">
        <f t="shared" si="1"/>
        <v>12</v>
      </c>
      <c r="P106" s="65">
        <f t="shared" si="1"/>
        <v>0.9</v>
      </c>
      <c r="Q106" s="65">
        <f t="shared" si="1"/>
        <v>0.4</v>
      </c>
      <c r="R106" s="142" t="s">
        <v>201</v>
      </c>
      <c r="S106" s="118" t="s">
        <v>244</v>
      </c>
    </row>
    <row r="107" spans="1:24" x14ac:dyDescent="0.25">
      <c r="A107" s="4" t="s">
        <v>188</v>
      </c>
      <c r="B107" s="4">
        <v>105000</v>
      </c>
      <c r="C107" s="4">
        <v>105000</v>
      </c>
      <c r="D107" s="4" t="s">
        <v>189</v>
      </c>
      <c r="E107" s="4">
        <v>12</v>
      </c>
      <c r="F107" s="4">
        <v>0.9</v>
      </c>
      <c r="G107" s="4">
        <v>0.4</v>
      </c>
      <c r="H107" s="142" t="s">
        <v>181</v>
      </c>
      <c r="I107" s="118" t="s">
        <v>245</v>
      </c>
      <c r="K107" s="4" t="s">
        <v>197</v>
      </c>
      <c r="L107" s="150">
        <v>0.05</v>
      </c>
      <c r="M107" s="150">
        <v>0.02</v>
      </c>
      <c r="N107" s="4" t="s">
        <v>180</v>
      </c>
      <c r="O107" s="4">
        <v>12</v>
      </c>
      <c r="P107" s="4">
        <v>0.9</v>
      </c>
      <c r="Q107" s="4">
        <v>0.4</v>
      </c>
      <c r="R107" s="142" t="s">
        <v>173</v>
      </c>
      <c r="S107" s="118" t="s">
        <v>246</v>
      </c>
    </row>
    <row r="108" spans="1:24" x14ac:dyDescent="0.25">
      <c r="A108" s="4" t="s">
        <v>194</v>
      </c>
      <c r="B108" s="4">
        <v>10</v>
      </c>
      <c r="C108" s="4">
        <v>10</v>
      </c>
      <c r="D108" s="4" t="s">
        <v>165</v>
      </c>
      <c r="E108" s="4">
        <v>12</v>
      </c>
      <c r="F108" s="4">
        <v>0.9</v>
      </c>
      <c r="G108" s="4">
        <v>0.4</v>
      </c>
      <c r="H108" s="142" t="s">
        <v>195</v>
      </c>
      <c r="I108" s="118" t="s">
        <v>196</v>
      </c>
      <c r="K108" s="4" t="s">
        <v>203</v>
      </c>
      <c r="L108" s="150">
        <v>0.06</v>
      </c>
      <c r="M108" s="150">
        <v>0.06</v>
      </c>
      <c r="N108" s="4" t="s">
        <v>180</v>
      </c>
      <c r="O108" s="4">
        <v>12</v>
      </c>
      <c r="P108" s="4">
        <v>0.9</v>
      </c>
      <c r="Q108" s="4">
        <v>0.4</v>
      </c>
      <c r="R108" s="142" t="s">
        <v>201</v>
      </c>
      <c r="S108" s="122" t="s">
        <v>198</v>
      </c>
    </row>
    <row r="109" spans="1:24" x14ac:dyDescent="0.25">
      <c r="A109" s="4" t="s">
        <v>199</v>
      </c>
      <c r="B109" s="4">
        <v>0.11</v>
      </c>
      <c r="C109" s="4">
        <v>0.11</v>
      </c>
      <c r="D109" s="4" t="s">
        <v>200</v>
      </c>
      <c r="E109" s="4">
        <v>12</v>
      </c>
      <c r="F109" s="4">
        <v>0.9</v>
      </c>
      <c r="G109" s="4">
        <v>0.4</v>
      </c>
      <c r="H109" s="142" t="s">
        <v>201</v>
      </c>
      <c r="I109" s="118" t="s">
        <v>202</v>
      </c>
      <c r="K109" s="4" t="s">
        <v>205</v>
      </c>
      <c r="L109" s="4">
        <f>AC81</f>
        <v>0</v>
      </c>
      <c r="M109" s="4">
        <f>AD81</f>
        <v>0</v>
      </c>
      <c r="N109" s="4" t="s">
        <v>200</v>
      </c>
      <c r="O109" s="4">
        <f>$E$4</f>
        <v>17</v>
      </c>
      <c r="P109" s="4">
        <f>$F$4</f>
        <v>0.9</v>
      </c>
      <c r="Q109" s="4">
        <f>$G$4</f>
        <v>0.4</v>
      </c>
      <c r="R109" s="142" t="s">
        <v>247</v>
      </c>
      <c r="S109" s="118" t="s">
        <v>248</v>
      </c>
    </row>
    <row r="110" spans="1:24" x14ac:dyDescent="0.25">
      <c r="I110" s="118"/>
      <c r="S110" s="117"/>
    </row>
    <row r="111" spans="1:24" x14ac:dyDescent="0.25">
      <c r="I111" s="118"/>
    </row>
    <row r="112" spans="1:24" x14ac:dyDescent="0.25">
      <c r="I112" s="118"/>
    </row>
    <row r="113" spans="1:9" x14ac:dyDescent="0.25">
      <c r="E113" s="4" t="s">
        <v>129</v>
      </c>
      <c r="H113" s="4" t="s">
        <v>130</v>
      </c>
      <c r="I113" s="118"/>
    </row>
    <row r="114" spans="1:9" x14ac:dyDescent="0.25">
      <c r="A114" s="25" t="s">
        <v>249</v>
      </c>
      <c r="B114" s="4">
        <v>2023</v>
      </c>
      <c r="C114" s="4">
        <v>2050</v>
      </c>
      <c r="D114" s="4" t="s">
        <v>86</v>
      </c>
      <c r="E114" s="4" t="s">
        <v>87</v>
      </c>
      <c r="F114" s="4" t="s">
        <v>88</v>
      </c>
      <c r="G114" s="4" t="s">
        <v>89</v>
      </c>
      <c r="I114" s="118"/>
    </row>
    <row r="115" spans="1:9" x14ac:dyDescent="0.25">
      <c r="A115" s="4" t="s">
        <v>137</v>
      </c>
      <c r="B115" s="4">
        <v>40000</v>
      </c>
      <c r="C115" s="4">
        <v>40000</v>
      </c>
      <c r="D115" s="4" t="s">
        <v>138</v>
      </c>
      <c r="E115" s="4">
        <v>12</v>
      </c>
      <c r="F115" s="4">
        <v>0.9</v>
      </c>
      <c r="G115" s="4">
        <v>0.4</v>
      </c>
      <c r="H115" s="142" t="s">
        <v>139</v>
      </c>
      <c r="I115" s="118" t="s">
        <v>140</v>
      </c>
    </row>
    <row r="116" spans="1:9" x14ac:dyDescent="0.25">
      <c r="A116" s="4" t="s">
        <v>148</v>
      </c>
      <c r="B116" s="4">
        <f>-B115*0.25</f>
        <v>-10000</v>
      </c>
      <c r="C116" s="4">
        <f>-C115*0.25</f>
        <v>-10000</v>
      </c>
      <c r="D116" s="4" t="s">
        <v>138</v>
      </c>
      <c r="E116" s="4">
        <v>12</v>
      </c>
      <c r="F116" s="4">
        <v>0.9</v>
      </c>
      <c r="G116" s="4">
        <v>0.4</v>
      </c>
      <c r="H116" s="142" t="s">
        <v>149</v>
      </c>
      <c r="I116" s="119" t="s">
        <v>150</v>
      </c>
    </row>
    <row r="117" spans="1:9" x14ac:dyDescent="0.25">
      <c r="A117" s="4" t="s">
        <v>160</v>
      </c>
      <c r="B117" s="4">
        <v>70000</v>
      </c>
      <c r="C117" s="4">
        <v>70000</v>
      </c>
      <c r="D117" s="4" t="s">
        <v>161</v>
      </c>
      <c r="E117" s="4">
        <v>12</v>
      </c>
      <c r="F117" s="4">
        <v>0.9</v>
      </c>
      <c r="G117" s="4">
        <v>0.4</v>
      </c>
      <c r="H117" s="142" t="s">
        <v>162</v>
      </c>
      <c r="I117" s="118" t="s">
        <v>163</v>
      </c>
    </row>
    <row r="118" spans="1:9" x14ac:dyDescent="0.25">
      <c r="A118" s="4" t="s">
        <v>171</v>
      </c>
      <c r="B118" s="4">
        <v>25</v>
      </c>
      <c r="C118" s="4">
        <v>25</v>
      </c>
      <c r="D118" s="4" t="s">
        <v>172</v>
      </c>
      <c r="E118" s="4">
        <v>12</v>
      </c>
      <c r="F118" s="4">
        <v>0.9</v>
      </c>
      <c r="G118" s="4">
        <v>0.4</v>
      </c>
      <c r="H118" s="142" t="s">
        <v>173</v>
      </c>
      <c r="I118" s="118" t="s">
        <v>174</v>
      </c>
    </row>
    <row r="119" spans="1:9" x14ac:dyDescent="0.25">
      <c r="A119" s="4" t="s">
        <v>179</v>
      </c>
      <c r="B119" s="150">
        <f>46%/C71</f>
        <v>0.6133333333333334</v>
      </c>
      <c r="C119" s="150">
        <f>46%/C71</f>
        <v>0.6133333333333334</v>
      </c>
      <c r="D119" s="4" t="s">
        <v>180</v>
      </c>
      <c r="E119" s="4">
        <v>12</v>
      </c>
      <c r="F119" s="4">
        <v>0.9</v>
      </c>
      <c r="G119" s="4">
        <v>0.4</v>
      </c>
      <c r="H119" s="142" t="s">
        <v>181</v>
      </c>
      <c r="I119" s="118" t="s">
        <v>250</v>
      </c>
    </row>
    <row r="120" spans="1:9" x14ac:dyDescent="0.25">
      <c r="A120" s="4" t="s">
        <v>188</v>
      </c>
      <c r="B120" s="4">
        <v>78000</v>
      </c>
      <c r="C120" s="4">
        <v>78000</v>
      </c>
      <c r="D120" s="4" t="s">
        <v>189</v>
      </c>
      <c r="E120" s="4">
        <v>12</v>
      </c>
      <c r="F120" s="4">
        <v>0.9</v>
      </c>
      <c r="G120" s="4">
        <v>0.4</v>
      </c>
      <c r="H120" s="142" t="s">
        <v>181</v>
      </c>
      <c r="I120" s="118" t="s">
        <v>251</v>
      </c>
    </row>
    <row r="121" spans="1:9" x14ac:dyDescent="0.25">
      <c r="A121" s="4" t="s">
        <v>194</v>
      </c>
      <c r="B121" s="4">
        <v>10</v>
      </c>
      <c r="C121" s="4">
        <v>10</v>
      </c>
      <c r="D121" s="4" t="s">
        <v>165</v>
      </c>
      <c r="E121" s="4">
        <v>12</v>
      </c>
      <c r="F121" s="4">
        <v>0.9</v>
      </c>
      <c r="G121" s="4">
        <v>0.4</v>
      </c>
      <c r="H121" s="142" t="s">
        <v>195</v>
      </c>
      <c r="I121" s="118" t="s">
        <v>196</v>
      </c>
    </row>
    <row r="122" spans="1:9" x14ac:dyDescent="0.25">
      <c r="A122" s="4" t="s">
        <v>199</v>
      </c>
      <c r="B122" s="4">
        <v>0.11</v>
      </c>
      <c r="C122" s="4">
        <v>0.11</v>
      </c>
      <c r="D122" s="4" t="s">
        <v>200</v>
      </c>
      <c r="E122" s="4">
        <v>12</v>
      </c>
      <c r="F122" s="4">
        <v>0.9</v>
      </c>
      <c r="G122" s="4">
        <v>0.4</v>
      </c>
      <c r="H122" s="142" t="s">
        <v>201</v>
      </c>
      <c r="I122" s="118" t="s">
        <v>202</v>
      </c>
    </row>
    <row r="123" spans="1:9" x14ac:dyDescent="0.25">
      <c r="I123" s="118"/>
    </row>
    <row r="124" spans="1:9" x14ac:dyDescent="0.25">
      <c r="I124" s="118"/>
    </row>
    <row r="125" spans="1:9" x14ac:dyDescent="0.25">
      <c r="I125" s="118"/>
    </row>
    <row r="126" spans="1:9" x14ac:dyDescent="0.25">
      <c r="I126" s="118"/>
    </row>
    <row r="127" spans="1:9" x14ac:dyDescent="0.25">
      <c r="E127" s="4" t="s">
        <v>129</v>
      </c>
      <c r="H127" s="4" t="s">
        <v>130</v>
      </c>
      <c r="I127" s="118"/>
    </row>
    <row r="128" spans="1:9" x14ac:dyDescent="0.25">
      <c r="A128" s="25" t="s">
        <v>252</v>
      </c>
      <c r="B128" s="4">
        <v>2023</v>
      </c>
      <c r="C128" s="4">
        <v>2050</v>
      </c>
      <c r="D128" s="4" t="s">
        <v>86</v>
      </c>
      <c r="E128" s="4" t="s">
        <v>87</v>
      </c>
      <c r="F128" s="4" t="s">
        <v>88</v>
      </c>
      <c r="G128" s="4" t="s">
        <v>89</v>
      </c>
      <c r="I128" s="118"/>
    </row>
    <row r="129" spans="1:11" x14ac:dyDescent="0.25">
      <c r="A129" s="4" t="s">
        <v>137</v>
      </c>
      <c r="B129" s="4">
        <v>35000</v>
      </c>
      <c r="C129" s="4">
        <v>35000</v>
      </c>
      <c r="D129" s="4" t="s">
        <v>138</v>
      </c>
      <c r="E129" s="4">
        <v>12</v>
      </c>
      <c r="F129" s="4">
        <v>0.9</v>
      </c>
      <c r="G129" s="4">
        <v>0.4</v>
      </c>
      <c r="H129" s="142" t="s">
        <v>139</v>
      </c>
      <c r="I129" s="118" t="s">
        <v>140</v>
      </c>
    </row>
    <row r="130" spans="1:11" x14ac:dyDescent="0.25">
      <c r="A130" s="4" t="s">
        <v>148</v>
      </c>
      <c r="B130" s="4">
        <f>-B129*0.25</f>
        <v>-8750</v>
      </c>
      <c r="C130" s="4">
        <f>-C129*0.25</f>
        <v>-8750</v>
      </c>
      <c r="D130" s="4" t="s">
        <v>138</v>
      </c>
      <c r="E130" s="4">
        <v>12</v>
      </c>
      <c r="F130" s="4">
        <v>0.9</v>
      </c>
      <c r="G130" s="4">
        <v>0.4</v>
      </c>
      <c r="H130" s="142" t="s">
        <v>149</v>
      </c>
      <c r="I130" s="119" t="s">
        <v>150</v>
      </c>
    </row>
    <row r="131" spans="1:11" x14ac:dyDescent="0.25">
      <c r="A131" s="4" t="s">
        <v>160</v>
      </c>
      <c r="B131" s="4">
        <v>70000</v>
      </c>
      <c r="C131" s="4">
        <v>70000</v>
      </c>
      <c r="D131" s="4" t="s">
        <v>161</v>
      </c>
      <c r="E131" s="4">
        <v>12</v>
      </c>
      <c r="F131" s="4">
        <v>0.9</v>
      </c>
      <c r="G131" s="4">
        <v>0.4</v>
      </c>
      <c r="H131" s="142" t="s">
        <v>162</v>
      </c>
      <c r="I131" s="118" t="s">
        <v>163</v>
      </c>
    </row>
    <row r="132" spans="1:11" x14ac:dyDescent="0.25">
      <c r="A132" s="4" t="s">
        <v>171</v>
      </c>
      <c r="B132" s="4">
        <v>25</v>
      </c>
      <c r="C132" s="4">
        <v>25</v>
      </c>
      <c r="D132" s="4" t="s">
        <v>172</v>
      </c>
      <c r="E132" s="4">
        <v>12</v>
      </c>
      <c r="F132" s="4">
        <v>0.9</v>
      </c>
      <c r="G132" s="4">
        <v>0.4</v>
      </c>
      <c r="H132" s="142" t="s">
        <v>173</v>
      </c>
      <c r="I132" s="118" t="s">
        <v>174</v>
      </c>
    </row>
    <row r="133" spans="1:11" x14ac:dyDescent="0.25">
      <c r="A133" s="4" t="s">
        <v>179</v>
      </c>
      <c r="B133" s="150">
        <f>48%/C71</f>
        <v>0.64</v>
      </c>
      <c r="C133" s="150">
        <f>48%/C71</f>
        <v>0.64</v>
      </c>
      <c r="D133" s="4" t="s">
        <v>180</v>
      </c>
      <c r="E133" s="4">
        <v>12</v>
      </c>
      <c r="F133" s="4">
        <v>0.9</v>
      </c>
      <c r="G133" s="4">
        <v>0.4</v>
      </c>
      <c r="H133" s="142" t="s">
        <v>181</v>
      </c>
      <c r="I133" s="118" t="s">
        <v>253</v>
      </c>
    </row>
    <row r="134" spans="1:11" x14ac:dyDescent="0.25">
      <c r="A134" s="4" t="s">
        <v>188</v>
      </c>
      <c r="B134" s="4">
        <v>90000</v>
      </c>
      <c r="C134" s="4">
        <v>90000</v>
      </c>
      <c r="D134" s="4" t="s">
        <v>189</v>
      </c>
      <c r="E134" s="4">
        <v>12</v>
      </c>
      <c r="F134" s="4">
        <v>0.9</v>
      </c>
      <c r="G134" s="4">
        <v>0.4</v>
      </c>
      <c r="H134" s="142" t="s">
        <v>181</v>
      </c>
      <c r="I134" s="118" t="s">
        <v>254</v>
      </c>
    </row>
    <row r="135" spans="1:11" x14ac:dyDescent="0.25">
      <c r="A135" s="4" t="s">
        <v>194</v>
      </c>
      <c r="B135" s="4">
        <v>10</v>
      </c>
      <c r="C135" s="4">
        <v>10</v>
      </c>
      <c r="D135" s="4" t="s">
        <v>165</v>
      </c>
      <c r="E135" s="4">
        <v>12</v>
      </c>
      <c r="F135" s="4">
        <v>0.9</v>
      </c>
      <c r="G135" s="4">
        <v>0.4</v>
      </c>
      <c r="H135" s="142" t="s">
        <v>195</v>
      </c>
      <c r="I135" s="118" t="s">
        <v>196</v>
      </c>
    </row>
    <row r="136" spans="1:11" x14ac:dyDescent="0.25">
      <c r="A136" s="4" t="s">
        <v>199</v>
      </c>
      <c r="B136" s="4">
        <v>0.11</v>
      </c>
      <c r="C136" s="4">
        <v>0.11</v>
      </c>
      <c r="D136" s="4" t="s">
        <v>200</v>
      </c>
      <c r="E136" s="4">
        <v>12</v>
      </c>
      <c r="F136" s="4">
        <v>0.9</v>
      </c>
      <c r="G136" s="4">
        <v>0.4</v>
      </c>
      <c r="H136" s="142" t="s">
        <v>201</v>
      </c>
      <c r="I136" s="118" t="s">
        <v>202</v>
      </c>
    </row>
    <row r="137" spans="1:11" x14ac:dyDescent="0.25">
      <c r="I137" s="117"/>
    </row>
    <row r="139" spans="1:11" s="93" customFormat="1" ht="31.5" x14ac:dyDescent="0.5">
      <c r="A139" s="93" t="s">
        <v>122</v>
      </c>
      <c r="K139" s="93" t="s">
        <v>123</v>
      </c>
    </row>
    <row r="140" spans="1:11" s="96" customFormat="1" ht="15.6" customHeight="1" x14ac:dyDescent="0.5">
      <c r="B140" s="4" t="s">
        <v>124</v>
      </c>
      <c r="C140" s="94">
        <v>0.75</v>
      </c>
      <c r="D140" s="162" t="s">
        <v>125</v>
      </c>
    </row>
    <row r="141" spans="1:11" s="96" customFormat="1" ht="15.6" customHeight="1" x14ac:dyDescent="0.5">
      <c r="B141" s="4" t="s">
        <v>126</v>
      </c>
      <c r="C141" s="94">
        <f>1-C140</f>
        <v>0.25</v>
      </c>
      <c r="D141" s="162" t="s">
        <v>127</v>
      </c>
    </row>
    <row r="142" spans="1:11" x14ac:dyDescent="0.25">
      <c r="B142" s="152" t="s">
        <v>255</v>
      </c>
      <c r="C142" s="152"/>
      <c r="D142" s="152"/>
      <c r="E142" s="152">
        <v>28</v>
      </c>
      <c r="F142" s="144" t="s">
        <v>88</v>
      </c>
    </row>
    <row r="143" spans="1:11" x14ac:dyDescent="0.25">
      <c r="A143" s="95" t="s">
        <v>256</v>
      </c>
      <c r="B143" s="152" t="s">
        <v>257</v>
      </c>
      <c r="C143" s="152"/>
      <c r="D143" s="152" t="s">
        <v>258</v>
      </c>
      <c r="E143" s="152">
        <f>2800/35</f>
        <v>80</v>
      </c>
      <c r="F143" s="144" t="s">
        <v>88</v>
      </c>
    </row>
    <row r="144" spans="1:11" ht="15.75" thickBot="1" x14ac:dyDescent="0.3"/>
    <row r="145" spans="1:42" x14ac:dyDescent="0.25">
      <c r="E145" s="4" t="s">
        <v>129</v>
      </c>
      <c r="H145" s="4" t="s">
        <v>130</v>
      </c>
      <c r="I145" s="117"/>
      <c r="O145" s="4" t="s">
        <v>129</v>
      </c>
      <c r="R145" s="4" t="s">
        <v>130</v>
      </c>
      <c r="S145" s="117"/>
      <c r="W145" s="99" t="s">
        <v>259</v>
      </c>
      <c r="X145" s="100">
        <v>2023</v>
      </c>
      <c r="Y145" s="100">
        <v>2050</v>
      </c>
      <c r="Z145" s="101" t="s">
        <v>86</v>
      </c>
      <c r="AB145" s="99" t="s">
        <v>260</v>
      </c>
      <c r="AC145" s="100">
        <v>2023</v>
      </c>
      <c r="AD145" s="100">
        <v>2050</v>
      </c>
      <c r="AE145" s="101" t="s">
        <v>86</v>
      </c>
      <c r="AG145" s="99" t="s">
        <v>261</v>
      </c>
      <c r="AH145" s="100">
        <v>2023</v>
      </c>
      <c r="AI145" s="100">
        <v>2050</v>
      </c>
      <c r="AJ145" s="101" t="s">
        <v>86</v>
      </c>
      <c r="AL145" s="99" t="s">
        <v>262</v>
      </c>
      <c r="AM145" s="100">
        <v>2023</v>
      </c>
      <c r="AN145" s="100">
        <v>2050</v>
      </c>
      <c r="AO145" s="101" t="s">
        <v>86</v>
      </c>
    </row>
    <row r="146" spans="1:42" x14ac:dyDescent="0.25">
      <c r="A146" s="25" t="s">
        <v>263</v>
      </c>
      <c r="B146" s="4">
        <v>2023</v>
      </c>
      <c r="C146" s="4">
        <v>2050</v>
      </c>
      <c r="D146" s="4" t="s">
        <v>86</v>
      </c>
      <c r="E146" s="4" t="s">
        <v>87</v>
      </c>
      <c r="F146" s="4" t="s">
        <v>88</v>
      </c>
      <c r="G146" s="4" t="s">
        <v>89</v>
      </c>
      <c r="I146" s="117"/>
      <c r="K146" s="25" t="s">
        <v>100</v>
      </c>
      <c r="L146" s="4">
        <v>2023</v>
      </c>
      <c r="M146" s="4">
        <v>2050</v>
      </c>
      <c r="N146" s="4" t="s">
        <v>86</v>
      </c>
      <c r="O146" s="4" t="s">
        <v>87</v>
      </c>
      <c r="P146" s="4" t="s">
        <v>88</v>
      </c>
      <c r="Q146" s="4" t="s">
        <v>89</v>
      </c>
      <c r="S146" s="34"/>
      <c r="W146" s="102" t="s">
        <v>136</v>
      </c>
      <c r="X146" s="107">
        <f>$B$4</f>
        <v>0</v>
      </c>
      <c r="Y146" s="107">
        <f>$C$4</f>
        <v>0</v>
      </c>
      <c r="Z146" s="103" t="s">
        <v>91</v>
      </c>
      <c r="AB146" s="102" t="s">
        <v>136</v>
      </c>
      <c r="AC146" s="107">
        <f>$B$4</f>
        <v>0</v>
      </c>
      <c r="AD146" s="107">
        <f>$C$4</f>
        <v>0</v>
      </c>
      <c r="AE146" s="103" t="s">
        <v>91</v>
      </c>
      <c r="AG146" s="102" t="s">
        <v>136</v>
      </c>
      <c r="AH146" s="107">
        <f>$B$4</f>
        <v>0</v>
      </c>
      <c r="AI146" s="107">
        <f>$C$4</f>
        <v>0</v>
      </c>
      <c r="AJ146" s="103" t="s">
        <v>91</v>
      </c>
      <c r="AL146" s="102" t="s">
        <v>136</v>
      </c>
      <c r="AM146" s="107">
        <f>$B$4</f>
        <v>0</v>
      </c>
      <c r="AN146" s="107">
        <f>$C$4</f>
        <v>0</v>
      </c>
      <c r="AO146" s="103" t="s">
        <v>91</v>
      </c>
    </row>
    <row r="147" spans="1:42" x14ac:dyDescent="0.25">
      <c r="A147" s="4" t="s">
        <v>137</v>
      </c>
      <c r="B147" s="113">
        <f>150000*$E$142</f>
        <v>4200000</v>
      </c>
      <c r="C147" s="4">
        <f>150000*$E$142</f>
        <v>4200000</v>
      </c>
      <c r="D147" s="4" t="s">
        <v>138</v>
      </c>
      <c r="E147" s="4">
        <v>12</v>
      </c>
      <c r="F147" s="4">
        <v>0.9</v>
      </c>
      <c r="G147" s="4">
        <v>0.4</v>
      </c>
      <c r="H147" s="144" t="s">
        <v>264</v>
      </c>
      <c r="I147" s="118" t="s">
        <v>265</v>
      </c>
      <c r="K147" s="4" t="s">
        <v>141</v>
      </c>
      <c r="L147" s="4">
        <v>3500000</v>
      </c>
      <c r="M147" s="4">
        <v>3500000</v>
      </c>
      <c r="N147" s="4" t="s">
        <v>138</v>
      </c>
      <c r="O147" s="4">
        <v>12</v>
      </c>
      <c r="P147" s="4">
        <v>0.9</v>
      </c>
      <c r="Q147" s="4">
        <v>0.4</v>
      </c>
      <c r="R147" s="144" t="s">
        <v>88</v>
      </c>
      <c r="S147" s="118" t="s">
        <v>266</v>
      </c>
      <c r="W147" s="102" t="s">
        <v>143</v>
      </c>
      <c r="X147" s="195">
        <v>3.17</v>
      </c>
      <c r="Y147" s="195"/>
      <c r="Z147" s="103" t="s">
        <v>144</v>
      </c>
      <c r="AB147" s="102" t="s">
        <v>145</v>
      </c>
      <c r="AC147" s="4">
        <v>2.1999999999999999E-2</v>
      </c>
      <c r="AD147" s="4">
        <v>0</v>
      </c>
      <c r="AE147" s="4" t="s">
        <v>146</v>
      </c>
      <c r="AG147" s="102" t="s">
        <v>145</v>
      </c>
      <c r="AH147" s="4">
        <v>2.1999999999999999E-2</v>
      </c>
      <c r="AI147" s="4">
        <v>0</v>
      </c>
      <c r="AJ147" s="4" t="s">
        <v>146</v>
      </c>
      <c r="AL147" s="102" t="s">
        <v>145</v>
      </c>
      <c r="AM147" s="4">
        <v>2.1999999999999999E-2</v>
      </c>
      <c r="AN147" s="4">
        <v>0</v>
      </c>
      <c r="AO147" s="4" t="s">
        <v>146</v>
      </c>
      <c r="AP147" s="4" t="s">
        <v>147</v>
      </c>
    </row>
    <row r="148" spans="1:42" x14ac:dyDescent="0.25">
      <c r="A148" s="4" t="s">
        <v>148</v>
      </c>
      <c r="B148" s="4">
        <f>-B147*0.05</f>
        <v>-210000</v>
      </c>
      <c r="C148" s="4">
        <f>-C147*0.05</f>
        <v>-210000</v>
      </c>
      <c r="D148" s="4" t="s">
        <v>138</v>
      </c>
      <c r="E148" s="4">
        <v>12</v>
      </c>
      <c r="F148" s="4">
        <v>0.9</v>
      </c>
      <c r="G148" s="4">
        <v>0.4</v>
      </c>
      <c r="H148" s="144" t="s">
        <v>149</v>
      </c>
      <c r="I148" s="117" t="s">
        <v>267</v>
      </c>
      <c r="K148" s="4" t="s">
        <v>151</v>
      </c>
      <c r="L148" s="4">
        <f>-L147*0.15</f>
        <v>-525000</v>
      </c>
      <c r="M148" s="4">
        <f>-M147*0.05</f>
        <v>-175000</v>
      </c>
      <c r="N148" s="4" t="s">
        <v>138</v>
      </c>
      <c r="O148" s="4">
        <v>12</v>
      </c>
      <c r="P148" s="4">
        <v>0.9</v>
      </c>
      <c r="Q148" s="4">
        <v>0.4</v>
      </c>
      <c r="R148" s="144" t="s">
        <v>149</v>
      </c>
      <c r="S148" s="117" t="s">
        <v>268</v>
      </c>
      <c r="W148" s="102" t="s">
        <v>154</v>
      </c>
      <c r="X148" s="195">
        <v>11.89</v>
      </c>
      <c r="Y148" s="195"/>
      <c r="Z148" s="103" t="s">
        <v>155</v>
      </c>
      <c r="AB148" s="102" t="s">
        <v>156</v>
      </c>
      <c r="AC148" s="94">
        <v>0.61</v>
      </c>
      <c r="AD148" s="94">
        <v>0.7</v>
      </c>
      <c r="AE148" s="103" t="s">
        <v>157</v>
      </c>
      <c r="AG148" s="102" t="s">
        <v>158</v>
      </c>
      <c r="AH148" s="94">
        <v>0.95</v>
      </c>
      <c r="AI148" s="94">
        <v>0.95</v>
      </c>
      <c r="AJ148" s="103" t="s">
        <v>157</v>
      </c>
      <c r="AL148" s="102" t="s">
        <v>158</v>
      </c>
      <c r="AM148" s="94">
        <v>0.95</v>
      </c>
      <c r="AN148" s="94">
        <v>0.95</v>
      </c>
      <c r="AO148" s="103" t="s">
        <v>157</v>
      </c>
      <c r="AP148" s="4" t="s">
        <v>159</v>
      </c>
    </row>
    <row r="149" spans="1:42" x14ac:dyDescent="0.25">
      <c r="A149" s="4" t="s">
        <v>160</v>
      </c>
      <c r="B149" s="113">
        <v>650000</v>
      </c>
      <c r="C149" s="4">
        <v>650000</v>
      </c>
      <c r="D149" s="4" t="s">
        <v>161</v>
      </c>
      <c r="E149" s="4">
        <v>12</v>
      </c>
      <c r="F149" s="4">
        <v>0.9</v>
      </c>
      <c r="G149" s="4">
        <v>0.4</v>
      </c>
      <c r="H149" s="144" t="s">
        <v>181</v>
      </c>
      <c r="I149" s="117" t="s">
        <v>269</v>
      </c>
      <c r="K149" s="4" t="s">
        <v>164</v>
      </c>
      <c r="L149" s="4">
        <v>20</v>
      </c>
      <c r="M149" s="4">
        <v>20</v>
      </c>
      <c r="N149" s="4" t="s">
        <v>165</v>
      </c>
      <c r="O149" s="4">
        <v>12</v>
      </c>
      <c r="P149" s="4">
        <v>0.9</v>
      </c>
      <c r="Q149" s="4">
        <v>0.4</v>
      </c>
      <c r="R149" s="144" t="s">
        <v>88</v>
      </c>
      <c r="S149" s="117" t="s">
        <v>270</v>
      </c>
      <c r="W149" s="102" t="s">
        <v>168</v>
      </c>
      <c r="X149" s="196">
        <f>X147/X148</f>
        <v>0.26661059714045415</v>
      </c>
      <c r="Y149" s="196"/>
      <c r="Z149" s="103" t="s">
        <v>169</v>
      </c>
      <c r="AB149" s="102" t="s">
        <v>170</v>
      </c>
      <c r="AC149" s="109">
        <f>AC147/AC148</f>
        <v>3.6065573770491799E-2</v>
      </c>
      <c r="AD149" s="109">
        <f>AD147/AD148</f>
        <v>0</v>
      </c>
      <c r="AE149" s="103" t="s">
        <v>169</v>
      </c>
      <c r="AG149" s="102" t="s">
        <v>145</v>
      </c>
      <c r="AH149" s="109">
        <f>AH147/AH148</f>
        <v>2.3157894736842106E-2</v>
      </c>
      <c r="AI149" s="109">
        <f>AI147/AI148</f>
        <v>0</v>
      </c>
      <c r="AJ149" s="103" t="s">
        <v>169</v>
      </c>
      <c r="AL149" s="102" t="s">
        <v>145</v>
      </c>
      <c r="AM149" s="109">
        <f>AM147/AM148</f>
        <v>2.3157894736842106E-2</v>
      </c>
      <c r="AN149" s="109">
        <f>AN147/AN148</f>
        <v>0</v>
      </c>
      <c r="AO149" s="103" t="s">
        <v>169</v>
      </c>
    </row>
    <row r="150" spans="1:42" x14ac:dyDescent="0.25">
      <c r="A150" s="4" t="s">
        <v>171</v>
      </c>
      <c r="B150" s="4">
        <f>$E$142*$E$143</f>
        <v>2240</v>
      </c>
      <c r="C150" s="4">
        <f>$E$142*$E$143</f>
        <v>2240</v>
      </c>
      <c r="D150" s="4" t="s">
        <v>172</v>
      </c>
      <c r="E150" s="4">
        <v>12</v>
      </c>
      <c r="F150" s="4">
        <v>0.9</v>
      </c>
      <c r="G150" s="4">
        <v>0.4</v>
      </c>
      <c r="H150" s="144" t="s">
        <v>271</v>
      </c>
      <c r="I150" s="118" t="s">
        <v>272</v>
      </c>
      <c r="K150" s="4" t="s">
        <v>175</v>
      </c>
      <c r="L150" s="112">
        <f>L147*0.3</f>
        <v>1050000</v>
      </c>
      <c r="M150" s="112">
        <f>M147*0.3</f>
        <v>1050000</v>
      </c>
      <c r="N150" s="4" t="s">
        <v>161</v>
      </c>
      <c r="O150" s="4">
        <v>12</v>
      </c>
      <c r="P150" s="4">
        <v>0.9</v>
      </c>
      <c r="Q150" s="4">
        <v>0.4</v>
      </c>
      <c r="R150" s="144" t="s">
        <v>88</v>
      </c>
      <c r="S150" s="118" t="s">
        <v>273</v>
      </c>
      <c r="W150" s="102" t="s">
        <v>177</v>
      </c>
      <c r="X150" s="4">
        <f>L151*X149</f>
        <v>20.469721783010932</v>
      </c>
      <c r="Y150" s="4">
        <f>M151*X149</f>
        <v>20.469721783010932</v>
      </c>
      <c r="Z150" s="103" t="s">
        <v>178</v>
      </c>
      <c r="AB150" s="102" t="s">
        <v>177</v>
      </c>
      <c r="AC150" s="4">
        <f>AC149*L187</f>
        <v>1.7621088524590158</v>
      </c>
      <c r="AD150" s="4">
        <f>AD149*M187</f>
        <v>0</v>
      </c>
      <c r="AE150" s="103" t="s">
        <v>178</v>
      </c>
      <c r="AG150" s="102" t="s">
        <v>177</v>
      </c>
      <c r="AH150" s="4">
        <f>AH149*L163</f>
        <v>0.73212076780185753</v>
      </c>
      <c r="AI150" s="4">
        <f>AI149*M163</f>
        <v>0</v>
      </c>
      <c r="AJ150" s="103" t="s">
        <v>178</v>
      </c>
      <c r="AL150" s="102" t="s">
        <v>177</v>
      </c>
      <c r="AM150" s="4">
        <f>AM149*L175</f>
        <v>0.77787831578947364</v>
      </c>
      <c r="AN150" s="4">
        <f>AN149*M175</f>
        <v>0</v>
      </c>
      <c r="AO150" s="103" t="s">
        <v>178</v>
      </c>
    </row>
    <row r="151" spans="1:42" ht="15.75" thickBot="1" x14ac:dyDescent="0.3">
      <c r="A151" s="4" t="s">
        <v>179</v>
      </c>
      <c r="B151" s="150">
        <f>48%/C140</f>
        <v>0.64</v>
      </c>
      <c r="C151" s="150">
        <f>48%/C140</f>
        <v>0.64</v>
      </c>
      <c r="D151" s="4" t="s">
        <v>180</v>
      </c>
      <c r="E151" s="4">
        <v>12</v>
      </c>
      <c r="F151" s="4">
        <v>0.9</v>
      </c>
      <c r="G151" s="4">
        <v>0.4</v>
      </c>
      <c r="H151" s="144" t="s">
        <v>181</v>
      </c>
      <c r="I151" s="117" t="s">
        <v>274</v>
      </c>
      <c r="K151" s="4" t="s">
        <v>183</v>
      </c>
      <c r="L151" s="4">
        <f>(1.8*$B152+0.0041*$B152*$B150*$B151)*10/$B152</f>
        <v>76.777599999999993</v>
      </c>
      <c r="M151" s="4">
        <f>(1.8*$B152+0.0041*$B152*$B150*$B151)*10/$B152</f>
        <v>76.777599999999993</v>
      </c>
      <c r="N151" s="4" t="s">
        <v>184</v>
      </c>
      <c r="O151" s="4">
        <v>12</v>
      </c>
      <c r="P151" s="4">
        <v>0.9</v>
      </c>
      <c r="Q151" s="4">
        <v>0.4</v>
      </c>
      <c r="R151" s="144" t="s">
        <v>166</v>
      </c>
      <c r="S151" s="117" t="s">
        <v>275</v>
      </c>
      <c r="W151" s="104" t="s">
        <v>186</v>
      </c>
      <c r="X151" s="105">
        <f>X146/1000*X150</f>
        <v>0</v>
      </c>
      <c r="Y151" s="105">
        <f>Y150/1000*Y146</f>
        <v>0</v>
      </c>
      <c r="Z151" s="106" t="s">
        <v>187</v>
      </c>
      <c r="AB151" s="104" t="s">
        <v>186</v>
      </c>
      <c r="AC151" s="105">
        <f>AC146/1000*AC150</f>
        <v>0</v>
      </c>
      <c r="AD151" s="105">
        <f>AD150/1000*AD146</f>
        <v>0</v>
      </c>
      <c r="AE151" s="106" t="s">
        <v>187</v>
      </c>
      <c r="AG151" s="104" t="s">
        <v>186</v>
      </c>
      <c r="AH151" s="105">
        <f>AH146/1000*AH150</f>
        <v>0</v>
      </c>
      <c r="AI151" s="105">
        <f>AI150/1000*AI146</f>
        <v>0</v>
      </c>
      <c r="AJ151" s="106" t="s">
        <v>187</v>
      </c>
      <c r="AL151" s="104" t="s">
        <v>186</v>
      </c>
      <c r="AM151" s="105">
        <f>AM146/1000*AM150</f>
        <v>0</v>
      </c>
      <c r="AN151" s="105">
        <f>AN150/1000*AN146</f>
        <v>0</v>
      </c>
      <c r="AO151" s="106" t="s">
        <v>187</v>
      </c>
    </row>
    <row r="152" spans="1:42" x14ac:dyDescent="0.25">
      <c r="A152" s="4" t="s">
        <v>188</v>
      </c>
      <c r="B152" s="4">
        <v>178500</v>
      </c>
      <c r="C152" s="4">
        <v>178500</v>
      </c>
      <c r="D152" s="4" t="s">
        <v>189</v>
      </c>
      <c r="E152" s="4">
        <v>12</v>
      </c>
      <c r="F152" s="4">
        <v>0.9</v>
      </c>
      <c r="G152" s="4">
        <v>0.4</v>
      </c>
      <c r="H152" s="144" t="s">
        <v>181</v>
      </c>
      <c r="I152" s="118" t="s">
        <v>276</v>
      </c>
      <c r="K152" s="4" t="s">
        <v>191</v>
      </c>
      <c r="L152" s="4">
        <v>0.1</v>
      </c>
      <c r="M152" s="4">
        <v>0.1</v>
      </c>
      <c r="N152" s="4" t="s">
        <v>94</v>
      </c>
      <c r="O152" s="4">
        <v>12</v>
      </c>
      <c r="P152" s="4">
        <v>0.9</v>
      </c>
      <c r="Q152" s="4">
        <v>0.4</v>
      </c>
      <c r="R152" s="144" t="s">
        <v>226</v>
      </c>
      <c r="S152" s="117" t="s">
        <v>193</v>
      </c>
    </row>
    <row r="153" spans="1:42" x14ac:dyDescent="0.25">
      <c r="A153" s="4" t="s">
        <v>194</v>
      </c>
      <c r="B153" s="4">
        <v>30</v>
      </c>
      <c r="C153" s="4">
        <v>30</v>
      </c>
      <c r="D153" s="4" t="s">
        <v>165</v>
      </c>
      <c r="E153" s="4">
        <v>12</v>
      </c>
      <c r="F153" s="4">
        <v>0.9</v>
      </c>
      <c r="G153" s="4">
        <v>0.4</v>
      </c>
      <c r="H153" s="144" t="s">
        <v>277</v>
      </c>
      <c r="I153" s="117" t="s">
        <v>278</v>
      </c>
      <c r="K153" s="4" t="s">
        <v>197</v>
      </c>
      <c r="L153" s="150">
        <v>0</v>
      </c>
      <c r="M153" s="150">
        <v>0</v>
      </c>
      <c r="N153" s="4" t="s">
        <v>180</v>
      </c>
      <c r="O153" s="4">
        <v>12</v>
      </c>
      <c r="P153" s="4">
        <v>0.9</v>
      </c>
      <c r="Q153" s="4">
        <v>0.4</v>
      </c>
      <c r="R153" s="144" t="s">
        <v>88</v>
      </c>
      <c r="S153" s="117" t="s">
        <v>198</v>
      </c>
      <c r="W153" s="4" t="s">
        <v>149</v>
      </c>
      <c r="X153" s="4" t="s">
        <v>204</v>
      </c>
    </row>
    <row r="154" spans="1:42" x14ac:dyDescent="0.25">
      <c r="A154" s="4" t="s">
        <v>279</v>
      </c>
      <c r="B154" s="114">
        <v>3.9215686274509802</v>
      </c>
      <c r="C154" s="114">
        <v>3.9215686274509802</v>
      </c>
      <c r="D154" s="4" t="s">
        <v>200</v>
      </c>
      <c r="E154" s="4">
        <v>12</v>
      </c>
      <c r="F154" s="4">
        <v>0.9</v>
      </c>
      <c r="G154" s="4">
        <v>0.4</v>
      </c>
      <c r="H154" s="144" t="s">
        <v>181</v>
      </c>
      <c r="I154" s="118" t="s">
        <v>280</v>
      </c>
      <c r="K154" s="4" t="s">
        <v>203</v>
      </c>
      <c r="L154" s="150">
        <v>0.06</v>
      </c>
      <c r="M154" s="150">
        <v>0.06</v>
      </c>
      <c r="N154" s="4" t="s">
        <v>180</v>
      </c>
      <c r="O154" s="4">
        <v>12</v>
      </c>
      <c r="P154" s="4">
        <v>0.9</v>
      </c>
      <c r="Q154" s="4">
        <v>0.4</v>
      </c>
      <c r="R154" s="144" t="s">
        <v>223</v>
      </c>
      <c r="S154" s="122" t="s">
        <v>198</v>
      </c>
      <c r="W154" s="4" t="s">
        <v>88</v>
      </c>
      <c r="X154" s="4" t="s">
        <v>227</v>
      </c>
    </row>
    <row r="155" spans="1:42" x14ac:dyDescent="0.25">
      <c r="I155" s="117"/>
      <c r="K155" s="4" t="s">
        <v>205</v>
      </c>
      <c r="L155" s="4">
        <f>X151</f>
        <v>0</v>
      </c>
      <c r="M155" s="4">
        <f>Y151</f>
        <v>0</v>
      </c>
      <c r="N155" s="4" t="s">
        <v>200</v>
      </c>
      <c r="O155" s="4">
        <v>17</v>
      </c>
      <c r="P155" s="4">
        <v>0.9</v>
      </c>
      <c r="Q155" s="4">
        <v>0.4</v>
      </c>
      <c r="R155" s="144" t="s">
        <v>281</v>
      </c>
      <c r="S155" s="118" t="s">
        <v>207</v>
      </c>
      <c r="W155" s="4" t="s">
        <v>181</v>
      </c>
      <c r="X155" s="4" t="s">
        <v>209</v>
      </c>
    </row>
    <row r="156" spans="1:42" x14ac:dyDescent="0.25">
      <c r="I156" s="117"/>
      <c r="S156" s="117"/>
      <c r="W156" s="4" t="s">
        <v>166</v>
      </c>
      <c r="X156" s="4" t="s">
        <v>282</v>
      </c>
      <c r="AF156" s="111"/>
      <c r="AG156" s="113"/>
    </row>
    <row r="157" spans="1:42" x14ac:dyDescent="0.25">
      <c r="E157" s="4" t="s">
        <v>129</v>
      </c>
      <c r="H157" s="4" t="s">
        <v>130</v>
      </c>
      <c r="I157" s="117"/>
      <c r="O157" s="4" t="s">
        <v>129</v>
      </c>
      <c r="R157" s="4" t="s">
        <v>130</v>
      </c>
      <c r="S157" s="117"/>
      <c r="W157" s="4" t="s">
        <v>201</v>
      </c>
      <c r="X157" s="4" t="s">
        <v>283</v>
      </c>
    </row>
    <row r="158" spans="1:42" x14ac:dyDescent="0.25">
      <c r="A158" s="25" t="s">
        <v>284</v>
      </c>
      <c r="B158" s="4">
        <v>2023</v>
      </c>
      <c r="C158" s="4">
        <v>2050</v>
      </c>
      <c r="D158" s="4" t="s">
        <v>86</v>
      </c>
      <c r="E158" s="4" t="s">
        <v>87</v>
      </c>
      <c r="F158" s="4" t="s">
        <v>88</v>
      </c>
      <c r="G158" s="4" t="s">
        <v>89</v>
      </c>
      <c r="I158" s="117"/>
      <c r="K158" s="25" t="s">
        <v>285</v>
      </c>
      <c r="L158" s="4">
        <v>2023</v>
      </c>
      <c r="M158" s="4">
        <v>2050</v>
      </c>
      <c r="N158" s="4" t="s">
        <v>86</v>
      </c>
      <c r="O158" s="4" t="s">
        <v>87</v>
      </c>
      <c r="P158" s="4" t="s">
        <v>88</v>
      </c>
      <c r="Q158" s="4" t="s">
        <v>89</v>
      </c>
      <c r="S158" s="117"/>
      <c r="W158" s="4" t="s">
        <v>195</v>
      </c>
      <c r="X158" s="4" t="s">
        <v>286</v>
      </c>
    </row>
    <row r="159" spans="1:42" x14ac:dyDescent="0.25">
      <c r="A159" s="4" t="s">
        <v>137</v>
      </c>
      <c r="B159" s="4">
        <f>200000*$E$142</f>
        <v>5600000</v>
      </c>
      <c r="C159" s="4">
        <f>200000*$E$142</f>
        <v>5600000</v>
      </c>
      <c r="D159" s="4" t="s">
        <v>138</v>
      </c>
      <c r="E159" s="4">
        <v>12</v>
      </c>
      <c r="F159" s="4">
        <v>0.9</v>
      </c>
      <c r="G159" s="4">
        <v>0.4</v>
      </c>
      <c r="H159" s="144" t="s">
        <v>264</v>
      </c>
      <c r="I159" s="118" t="s">
        <v>287</v>
      </c>
      <c r="K159" s="4" t="s">
        <v>141</v>
      </c>
      <c r="L159" s="4">
        <v>5000000</v>
      </c>
      <c r="M159" s="4">
        <v>5000000</v>
      </c>
      <c r="N159" s="4" t="s">
        <v>138</v>
      </c>
      <c r="O159" s="4">
        <v>12</v>
      </c>
      <c r="P159" s="4">
        <v>0.9</v>
      </c>
      <c r="Q159" s="4">
        <v>0.4</v>
      </c>
      <c r="R159" s="144" t="s">
        <v>88</v>
      </c>
      <c r="S159" s="118" t="s">
        <v>288</v>
      </c>
      <c r="W159" s="4" t="s">
        <v>173</v>
      </c>
      <c r="X159" s="4" t="s">
        <v>147</v>
      </c>
    </row>
    <row r="160" spans="1:42" x14ac:dyDescent="0.25">
      <c r="A160" s="4" t="s">
        <v>148</v>
      </c>
      <c r="B160" s="4">
        <f>-B159*0.05</f>
        <v>-280000</v>
      </c>
      <c r="C160" s="4">
        <f>-C159*0.05</f>
        <v>-280000</v>
      </c>
      <c r="D160" s="4" t="s">
        <v>138</v>
      </c>
      <c r="E160" s="4">
        <v>12</v>
      </c>
      <c r="F160" s="4">
        <v>0.9</v>
      </c>
      <c r="G160" s="4">
        <v>0.4</v>
      </c>
      <c r="H160" s="144" t="s">
        <v>149</v>
      </c>
      <c r="I160" s="117" t="s">
        <v>267</v>
      </c>
      <c r="K160" s="4" t="s">
        <v>151</v>
      </c>
      <c r="L160" s="4">
        <f>-L159*0.15</f>
        <v>-750000</v>
      </c>
      <c r="M160" s="4">
        <f>-M159*0.15</f>
        <v>-750000</v>
      </c>
      <c r="N160" s="4" t="s">
        <v>138</v>
      </c>
      <c r="O160" s="4">
        <v>12</v>
      </c>
      <c r="P160" s="4">
        <v>0.9</v>
      </c>
      <c r="Q160" s="4">
        <v>0.4</v>
      </c>
      <c r="R160" s="144" t="s">
        <v>149</v>
      </c>
      <c r="S160" s="117" t="s">
        <v>289</v>
      </c>
      <c r="W160" s="4" t="s">
        <v>218</v>
      </c>
      <c r="X160" s="4" t="s">
        <v>159</v>
      </c>
    </row>
    <row r="161" spans="1:24" x14ac:dyDescent="0.25">
      <c r="A161" s="4" t="s">
        <v>160</v>
      </c>
      <c r="B161" s="4">
        <f>250000+370000</f>
        <v>620000</v>
      </c>
      <c r="C161" s="4">
        <f>250000+370000</f>
        <v>620000</v>
      </c>
      <c r="D161" s="4" t="s">
        <v>161</v>
      </c>
      <c r="E161" s="4">
        <v>12</v>
      </c>
      <c r="F161" s="4">
        <v>0.9</v>
      </c>
      <c r="G161" s="4">
        <v>0.4</v>
      </c>
      <c r="H161" s="144" t="s">
        <v>181</v>
      </c>
      <c r="I161" s="117" t="s">
        <v>290</v>
      </c>
      <c r="K161" s="4" t="s">
        <v>164</v>
      </c>
      <c r="L161" s="4">
        <v>20</v>
      </c>
      <c r="M161" s="4">
        <v>20</v>
      </c>
      <c r="N161" s="4" t="s">
        <v>165</v>
      </c>
      <c r="O161" s="4">
        <v>12</v>
      </c>
      <c r="P161" s="4">
        <v>0.9</v>
      </c>
      <c r="Q161" s="4">
        <v>0.4</v>
      </c>
      <c r="R161" s="144" t="s">
        <v>88</v>
      </c>
      <c r="S161" s="117" t="s">
        <v>270</v>
      </c>
      <c r="W161" s="4" t="s">
        <v>221</v>
      </c>
      <c r="X161" s="4" t="s">
        <v>230</v>
      </c>
    </row>
    <row r="162" spans="1:24" x14ac:dyDescent="0.25">
      <c r="A162" s="4" t="s">
        <v>171</v>
      </c>
      <c r="B162" s="4">
        <f>$E$142*$E$143</f>
        <v>2240</v>
      </c>
      <c r="C162" s="4">
        <f>$E$142*$E$143</f>
        <v>2240</v>
      </c>
      <c r="D162" s="4" t="s">
        <v>172</v>
      </c>
      <c r="E162" s="4">
        <v>12</v>
      </c>
      <c r="F162" s="4">
        <v>0.9</v>
      </c>
      <c r="G162" s="4">
        <v>0.4</v>
      </c>
      <c r="H162" s="144" t="s">
        <v>271</v>
      </c>
      <c r="I162" s="118" t="s">
        <v>272</v>
      </c>
      <c r="K162" s="4" t="s">
        <v>175</v>
      </c>
      <c r="L162" s="4">
        <f>L159*0.13</f>
        <v>650000</v>
      </c>
      <c r="M162" s="4">
        <f>M159*0.13</f>
        <v>650000</v>
      </c>
      <c r="N162" s="4" t="s">
        <v>161</v>
      </c>
      <c r="O162" s="4">
        <v>12</v>
      </c>
      <c r="P162" s="4">
        <v>0.9</v>
      </c>
      <c r="Q162" s="4">
        <v>0.4</v>
      </c>
      <c r="R162" s="144" t="s">
        <v>88</v>
      </c>
      <c r="S162" s="118" t="s">
        <v>291</v>
      </c>
      <c r="W162" s="4" t="s">
        <v>223</v>
      </c>
      <c r="X162" s="4" t="s">
        <v>213</v>
      </c>
    </row>
    <row r="163" spans="1:24" x14ac:dyDescent="0.25">
      <c r="A163" s="4" t="s">
        <v>179</v>
      </c>
      <c r="B163" s="150">
        <f>32%/C140</f>
        <v>0.42666666666666669</v>
      </c>
      <c r="C163" s="150">
        <f>32%/C140</f>
        <v>0.42666666666666669</v>
      </c>
      <c r="D163" s="4" t="s">
        <v>180</v>
      </c>
      <c r="E163" s="4">
        <v>12</v>
      </c>
      <c r="F163" s="4">
        <v>0.9</v>
      </c>
      <c r="G163" s="4">
        <v>0.4</v>
      </c>
      <c r="H163" s="144" t="s">
        <v>181</v>
      </c>
      <c r="I163" s="117" t="s">
        <v>292</v>
      </c>
      <c r="K163" s="4" t="s">
        <v>183</v>
      </c>
      <c r="L163" s="114">
        <f>L151*0.35/0.85</f>
        <v>31.614305882352937</v>
      </c>
      <c r="M163" s="114">
        <f>M151*0.35/0.85</f>
        <v>31.614305882352937</v>
      </c>
      <c r="N163" s="4" t="s">
        <v>184</v>
      </c>
      <c r="O163" s="4">
        <v>12</v>
      </c>
      <c r="P163" s="4">
        <v>0.9</v>
      </c>
      <c r="Q163" s="4">
        <v>0.4</v>
      </c>
      <c r="R163" s="144" t="s">
        <v>88</v>
      </c>
      <c r="S163" s="118" t="s">
        <v>293</v>
      </c>
      <c r="W163" s="4" t="s">
        <v>226</v>
      </c>
      <c r="X163" s="4" t="s">
        <v>231</v>
      </c>
    </row>
    <row r="164" spans="1:24" x14ac:dyDescent="0.25">
      <c r="A164" s="4" t="s">
        <v>188</v>
      </c>
      <c r="B164" s="4">
        <v>178500</v>
      </c>
      <c r="C164" s="4">
        <v>178500</v>
      </c>
      <c r="D164" s="4" t="s">
        <v>189</v>
      </c>
      <c r="E164" s="4">
        <v>12</v>
      </c>
      <c r="F164" s="4">
        <v>0.9</v>
      </c>
      <c r="G164" s="4">
        <v>0.4</v>
      </c>
      <c r="H164" s="144" t="s">
        <v>181</v>
      </c>
      <c r="I164" s="117" t="s">
        <v>292</v>
      </c>
      <c r="K164" s="4" t="s">
        <v>191</v>
      </c>
      <c r="L164" s="65">
        <f t="shared" ref="L164:Q164" si="2">B8</f>
        <v>0.13371034051801745</v>
      </c>
      <c r="M164" s="65">
        <f t="shared" si="2"/>
        <v>8.7585019329602734E-2</v>
      </c>
      <c r="N164" s="65" t="str">
        <f t="shared" si="2"/>
        <v>[€/kWh]</v>
      </c>
      <c r="O164" s="65">
        <f t="shared" si="2"/>
        <v>12</v>
      </c>
      <c r="P164" s="65">
        <f t="shared" si="2"/>
        <v>0.9</v>
      </c>
      <c r="Q164" s="65">
        <f t="shared" si="2"/>
        <v>0.4</v>
      </c>
      <c r="R164" s="144" t="s">
        <v>223</v>
      </c>
      <c r="S164" s="118" t="s">
        <v>225</v>
      </c>
      <c r="W164" s="4" t="s">
        <v>89</v>
      </c>
      <c r="X164" s="4" t="s">
        <v>159</v>
      </c>
    </row>
    <row r="165" spans="1:24" x14ac:dyDescent="0.25">
      <c r="A165" s="4" t="s">
        <v>194</v>
      </c>
      <c r="B165" s="4">
        <v>30</v>
      </c>
      <c r="C165" s="4">
        <v>30</v>
      </c>
      <c r="D165" s="4" t="s">
        <v>165</v>
      </c>
      <c r="E165" s="4">
        <v>12</v>
      </c>
      <c r="F165" s="4">
        <v>0.9</v>
      </c>
      <c r="G165" s="4">
        <v>0.4</v>
      </c>
      <c r="H165" s="144" t="s">
        <v>277</v>
      </c>
      <c r="I165" s="117" t="s">
        <v>278</v>
      </c>
      <c r="K165" s="4" t="s">
        <v>197</v>
      </c>
      <c r="L165" s="150">
        <v>0</v>
      </c>
      <c r="M165" s="150">
        <v>0</v>
      </c>
      <c r="N165" s="4" t="s">
        <v>180</v>
      </c>
      <c r="O165" s="4">
        <v>12</v>
      </c>
      <c r="P165" s="4">
        <v>0.9</v>
      </c>
      <c r="Q165" s="4">
        <v>0.4</v>
      </c>
      <c r="R165" s="144" t="s">
        <v>88</v>
      </c>
      <c r="S165" s="117" t="s">
        <v>198</v>
      </c>
      <c r="W165" s="4" t="s">
        <v>192</v>
      </c>
      <c r="X165" s="4" t="s">
        <v>294</v>
      </c>
    </row>
    <row r="166" spans="1:24" x14ac:dyDescent="0.25">
      <c r="A166" s="4" t="s">
        <v>279</v>
      </c>
      <c r="B166" s="114">
        <v>3.6414565826330532</v>
      </c>
      <c r="C166" s="114">
        <v>3.6414565826330532</v>
      </c>
      <c r="D166" s="4" t="s">
        <v>200</v>
      </c>
      <c r="E166" s="4">
        <v>12</v>
      </c>
      <c r="F166" s="4">
        <v>0.9</v>
      </c>
      <c r="G166" s="4">
        <v>0.4</v>
      </c>
      <c r="H166" s="144" t="s">
        <v>181</v>
      </c>
      <c r="I166" s="118" t="s">
        <v>295</v>
      </c>
      <c r="K166" s="4" t="s">
        <v>203</v>
      </c>
      <c r="L166" s="150">
        <v>0.06</v>
      </c>
      <c r="M166" s="150">
        <v>0.06</v>
      </c>
      <c r="N166" s="4" t="s">
        <v>180</v>
      </c>
      <c r="O166" s="4">
        <v>12</v>
      </c>
      <c r="P166" s="4">
        <v>0.9</v>
      </c>
      <c r="Q166" s="4">
        <v>0.4</v>
      </c>
      <c r="R166" s="144" t="s">
        <v>223</v>
      </c>
      <c r="S166" s="122" t="s">
        <v>296</v>
      </c>
    </row>
    <row r="167" spans="1:24" x14ac:dyDescent="0.25">
      <c r="I167" s="117"/>
      <c r="K167" s="4" t="s">
        <v>205</v>
      </c>
      <c r="L167" s="4">
        <f>AH151</f>
        <v>0</v>
      </c>
      <c r="M167" s="4">
        <f>AI151</f>
        <v>0</v>
      </c>
      <c r="N167" s="4" t="s">
        <v>200</v>
      </c>
      <c r="O167" s="4">
        <f>$E$4</f>
        <v>17</v>
      </c>
      <c r="P167" s="4">
        <f>$F$4</f>
        <v>0.9</v>
      </c>
      <c r="Q167" s="4">
        <f>$G$4</f>
        <v>0.4</v>
      </c>
      <c r="R167" s="144" t="s">
        <v>297</v>
      </c>
      <c r="S167" s="118" t="s">
        <v>233</v>
      </c>
    </row>
    <row r="168" spans="1:24" x14ac:dyDescent="0.25">
      <c r="I168" s="117"/>
      <c r="S168" s="117"/>
    </row>
    <row r="169" spans="1:24" x14ac:dyDescent="0.25">
      <c r="E169" s="4" t="s">
        <v>129</v>
      </c>
      <c r="H169" s="4" t="s">
        <v>130</v>
      </c>
      <c r="I169" s="117"/>
      <c r="O169" s="4" t="s">
        <v>129</v>
      </c>
      <c r="R169" s="4" t="s">
        <v>130</v>
      </c>
      <c r="S169" s="117"/>
    </row>
    <row r="170" spans="1:24" x14ac:dyDescent="0.25">
      <c r="A170" s="25" t="s">
        <v>298</v>
      </c>
      <c r="B170" s="4">
        <v>2023</v>
      </c>
      <c r="C170" s="4">
        <v>2050</v>
      </c>
      <c r="D170" s="4" t="s">
        <v>86</v>
      </c>
      <c r="E170" s="4" t="s">
        <v>87</v>
      </c>
      <c r="F170" s="4" t="s">
        <v>88</v>
      </c>
      <c r="G170" s="4" t="s">
        <v>89</v>
      </c>
      <c r="I170" s="117"/>
      <c r="K170" s="25" t="s">
        <v>299</v>
      </c>
      <c r="L170" s="4">
        <v>2023</v>
      </c>
      <c r="M170" s="4">
        <v>2050</v>
      </c>
      <c r="N170" s="4" t="s">
        <v>86</v>
      </c>
      <c r="O170" s="4" t="s">
        <v>87</v>
      </c>
      <c r="P170" s="4" t="s">
        <v>88</v>
      </c>
      <c r="Q170" s="4" t="s">
        <v>89</v>
      </c>
      <c r="S170" s="117"/>
    </row>
    <row r="171" spans="1:24" x14ac:dyDescent="0.25">
      <c r="A171" s="4" t="s">
        <v>137</v>
      </c>
      <c r="B171" s="4">
        <f>100000*$E$142</f>
        <v>2800000</v>
      </c>
      <c r="C171" s="4">
        <f>100000*$E$142</f>
        <v>2800000</v>
      </c>
      <c r="D171" s="4" t="s">
        <v>138</v>
      </c>
      <c r="E171" s="4">
        <v>12</v>
      </c>
      <c r="F171" s="4">
        <v>0.9</v>
      </c>
      <c r="G171" s="4">
        <v>0.4</v>
      </c>
      <c r="H171" s="144" t="s">
        <v>264</v>
      </c>
      <c r="I171" s="118" t="s">
        <v>300</v>
      </c>
      <c r="K171" s="4" t="s">
        <v>141</v>
      </c>
      <c r="L171" s="4">
        <f>L159*2</f>
        <v>10000000</v>
      </c>
      <c r="M171" s="4">
        <f>M159*1.25</f>
        <v>6250000</v>
      </c>
      <c r="N171" s="4" t="s">
        <v>138</v>
      </c>
      <c r="O171" s="4">
        <v>12</v>
      </c>
      <c r="P171" s="4">
        <v>0.9</v>
      </c>
      <c r="Q171" s="4">
        <v>0.4</v>
      </c>
      <c r="R171" s="144" t="s">
        <v>301</v>
      </c>
      <c r="S171" s="117"/>
    </row>
    <row r="172" spans="1:24" x14ac:dyDescent="0.25">
      <c r="A172" s="4" t="s">
        <v>148</v>
      </c>
      <c r="B172" s="4">
        <f>-B171*0.05</f>
        <v>-140000</v>
      </c>
      <c r="C172" s="4">
        <f>-C171*0.05</f>
        <v>-140000</v>
      </c>
      <c r="D172" s="4" t="s">
        <v>138</v>
      </c>
      <c r="E172" s="4">
        <v>12</v>
      </c>
      <c r="F172" s="4">
        <v>0.9</v>
      </c>
      <c r="G172" s="4">
        <v>0.4</v>
      </c>
      <c r="H172" s="144" t="s">
        <v>149</v>
      </c>
      <c r="I172" s="117" t="s">
        <v>267</v>
      </c>
      <c r="K172" s="4" t="s">
        <v>151</v>
      </c>
      <c r="L172" s="4">
        <f>-L171*0.05</f>
        <v>-500000</v>
      </c>
      <c r="M172" s="4">
        <f>-M171*0.15</f>
        <v>-937500</v>
      </c>
      <c r="N172" s="4" t="s">
        <v>138</v>
      </c>
      <c r="O172" s="4">
        <v>12</v>
      </c>
      <c r="P172" s="4">
        <v>0.9</v>
      </c>
      <c r="Q172" s="4">
        <v>0.4</v>
      </c>
      <c r="R172" s="144" t="s">
        <v>149</v>
      </c>
      <c r="S172" s="117" t="s">
        <v>302</v>
      </c>
    </row>
    <row r="173" spans="1:24" x14ac:dyDescent="0.25">
      <c r="A173" s="4" t="s">
        <v>160</v>
      </c>
      <c r="B173" s="4">
        <f>250000+360000</f>
        <v>610000</v>
      </c>
      <c r="C173" s="4">
        <f>250000+360000</f>
        <v>610000</v>
      </c>
      <c r="D173" s="4" t="s">
        <v>161</v>
      </c>
      <c r="E173" s="4">
        <v>12</v>
      </c>
      <c r="F173" s="4">
        <v>0.9</v>
      </c>
      <c r="G173" s="4">
        <v>0.4</v>
      </c>
      <c r="H173" s="144" t="s">
        <v>181</v>
      </c>
      <c r="I173" s="117" t="s">
        <v>303</v>
      </c>
      <c r="K173" s="4" t="s">
        <v>164</v>
      </c>
      <c r="L173" s="4">
        <v>20</v>
      </c>
      <c r="M173" s="4">
        <v>20</v>
      </c>
      <c r="N173" s="4" t="s">
        <v>165</v>
      </c>
      <c r="O173" s="4">
        <v>12</v>
      </c>
      <c r="P173" s="4">
        <v>0.9</v>
      </c>
      <c r="Q173" s="4">
        <v>0.4</v>
      </c>
      <c r="R173" s="144" t="s">
        <v>88</v>
      </c>
      <c r="S173" s="117" t="s">
        <v>270</v>
      </c>
    </row>
    <row r="174" spans="1:24" x14ac:dyDescent="0.25">
      <c r="A174" s="4" t="s">
        <v>171</v>
      </c>
      <c r="B174" s="4">
        <f>$E$142*$E$143</f>
        <v>2240</v>
      </c>
      <c r="C174" s="4">
        <f>$E$142*$E$143</f>
        <v>2240</v>
      </c>
      <c r="D174" s="4" t="s">
        <v>172</v>
      </c>
      <c r="E174" s="4">
        <v>12</v>
      </c>
      <c r="F174" s="4">
        <v>0.9</v>
      </c>
      <c r="G174" s="4">
        <v>0.4</v>
      </c>
      <c r="H174" s="144" t="s">
        <v>271</v>
      </c>
      <c r="I174" s="118" t="s">
        <v>272</v>
      </c>
      <c r="K174" s="4" t="s">
        <v>175</v>
      </c>
      <c r="L174" s="113">
        <f>L171*0.13</f>
        <v>1300000</v>
      </c>
      <c r="M174" s="4">
        <f>M171*0.13</f>
        <v>812500</v>
      </c>
      <c r="N174" s="4" t="s">
        <v>161</v>
      </c>
      <c r="O174" s="4">
        <v>12</v>
      </c>
      <c r="P174" s="4">
        <v>0.9</v>
      </c>
      <c r="Q174" s="4">
        <v>0.4</v>
      </c>
      <c r="R174" s="144" t="s">
        <v>304</v>
      </c>
      <c r="S174" s="118" t="s">
        <v>305</v>
      </c>
    </row>
    <row r="175" spans="1:24" x14ac:dyDescent="0.25">
      <c r="A175" s="4" t="s">
        <v>179</v>
      </c>
      <c r="B175" s="150">
        <f>32%/C140</f>
        <v>0.42666666666666669</v>
      </c>
      <c r="C175" s="150">
        <f>32%/C140</f>
        <v>0.42666666666666669</v>
      </c>
      <c r="D175" s="4" t="s">
        <v>180</v>
      </c>
      <c r="E175" s="4">
        <v>12</v>
      </c>
      <c r="F175" s="4">
        <v>0.9</v>
      </c>
      <c r="G175" s="4">
        <v>0.4</v>
      </c>
      <c r="H175" s="144" t="s">
        <v>181</v>
      </c>
      <c r="I175" s="117" t="s">
        <v>306</v>
      </c>
      <c r="K175" s="4" t="s">
        <v>183</v>
      </c>
      <c r="L175" s="4">
        <f>L151*0.35/0.8</f>
        <v>33.590199999999996</v>
      </c>
      <c r="M175" s="4">
        <f>M151*0.35/0.8</f>
        <v>33.590199999999996</v>
      </c>
      <c r="N175" s="4" t="s">
        <v>184</v>
      </c>
      <c r="O175" s="4">
        <v>12</v>
      </c>
      <c r="P175" s="4">
        <v>0.9</v>
      </c>
      <c r="Q175" s="4">
        <v>0.4</v>
      </c>
      <c r="R175" s="144" t="s">
        <v>88</v>
      </c>
      <c r="S175" s="118" t="s">
        <v>307</v>
      </c>
    </row>
    <row r="176" spans="1:24" x14ac:dyDescent="0.25">
      <c r="A176" s="4" t="s">
        <v>188</v>
      </c>
      <c r="B176" s="4">
        <v>178500</v>
      </c>
      <c r="C176" s="4">
        <v>178500</v>
      </c>
      <c r="D176" s="4" t="s">
        <v>189</v>
      </c>
      <c r="E176" s="4">
        <v>12</v>
      </c>
      <c r="F176" s="4">
        <v>0.9</v>
      </c>
      <c r="G176" s="4">
        <v>0.4</v>
      </c>
      <c r="H176" s="144" t="s">
        <v>181</v>
      </c>
      <c r="I176" s="117" t="s">
        <v>306</v>
      </c>
      <c r="K176" s="4" t="s">
        <v>191</v>
      </c>
      <c r="L176" s="65">
        <f t="shared" ref="L176:Q176" si="3">B8</f>
        <v>0.13371034051801745</v>
      </c>
      <c r="M176" s="65">
        <f t="shared" si="3"/>
        <v>8.7585019329602734E-2</v>
      </c>
      <c r="N176" s="65" t="str">
        <f t="shared" si="3"/>
        <v>[€/kWh]</v>
      </c>
      <c r="O176" s="65">
        <f t="shared" si="3"/>
        <v>12</v>
      </c>
      <c r="P176" s="65">
        <f t="shared" si="3"/>
        <v>0.9</v>
      </c>
      <c r="Q176" s="65">
        <f t="shared" si="3"/>
        <v>0.4</v>
      </c>
      <c r="R176" s="144" t="s">
        <v>223</v>
      </c>
      <c r="S176" s="118" t="s">
        <v>225</v>
      </c>
    </row>
    <row r="177" spans="1:32" x14ac:dyDescent="0.25">
      <c r="A177" s="4" t="s">
        <v>194</v>
      </c>
      <c r="B177" s="4">
        <v>30</v>
      </c>
      <c r="C177" s="4">
        <v>30</v>
      </c>
      <c r="D177" s="4" t="s">
        <v>165</v>
      </c>
      <c r="E177" s="4">
        <v>12</v>
      </c>
      <c r="F177" s="4">
        <v>0.9</v>
      </c>
      <c r="G177" s="4">
        <v>0.4</v>
      </c>
      <c r="H177" s="144" t="s">
        <v>277</v>
      </c>
      <c r="I177" s="117" t="s">
        <v>278</v>
      </c>
      <c r="K177" s="4" t="s">
        <v>197</v>
      </c>
      <c r="L177" s="123">
        <f>1/E142</f>
        <v>3.5714285714285712E-2</v>
      </c>
      <c r="M177" s="123">
        <f>0.5/E142</f>
        <v>1.7857142857142856E-2</v>
      </c>
      <c r="N177" s="4" t="s">
        <v>180</v>
      </c>
      <c r="O177" s="4">
        <v>12</v>
      </c>
      <c r="P177" s="4">
        <v>0.9</v>
      </c>
      <c r="Q177" s="4">
        <v>0.4</v>
      </c>
      <c r="R177" s="144" t="s">
        <v>304</v>
      </c>
      <c r="S177" s="117" t="s">
        <v>308</v>
      </c>
    </row>
    <row r="178" spans="1:32" x14ac:dyDescent="0.25">
      <c r="A178" s="4" t="s">
        <v>279</v>
      </c>
      <c r="B178" s="114">
        <v>3.6414565826330532</v>
      </c>
      <c r="C178" s="114">
        <v>3.6414565826330532</v>
      </c>
      <c r="D178" s="4" t="s">
        <v>200</v>
      </c>
      <c r="E178" s="4">
        <v>12</v>
      </c>
      <c r="F178" s="4">
        <v>0.9</v>
      </c>
      <c r="G178" s="4">
        <v>0.4</v>
      </c>
      <c r="H178" s="144" t="s">
        <v>181</v>
      </c>
      <c r="I178" s="118" t="s">
        <v>295</v>
      </c>
      <c r="K178" s="4" t="s">
        <v>203</v>
      </c>
      <c r="L178" s="150">
        <v>0.06</v>
      </c>
      <c r="M178" s="150">
        <v>0.06</v>
      </c>
      <c r="N178" s="4" t="s">
        <v>180</v>
      </c>
      <c r="O178" s="4">
        <v>12</v>
      </c>
      <c r="P178" s="4">
        <v>0.9</v>
      </c>
      <c r="Q178" s="4">
        <v>0.4</v>
      </c>
      <c r="R178" s="144" t="s">
        <v>223</v>
      </c>
      <c r="S178" s="122" t="s">
        <v>198</v>
      </c>
    </row>
    <row r="179" spans="1:32" x14ac:dyDescent="0.25">
      <c r="I179" s="117"/>
      <c r="K179" s="4" t="s">
        <v>205</v>
      </c>
      <c r="L179" s="4">
        <f>AM151</f>
        <v>0</v>
      </c>
      <c r="M179" s="4">
        <f>AN151</f>
        <v>0</v>
      </c>
      <c r="N179" s="4" t="s">
        <v>200</v>
      </c>
      <c r="O179" s="4">
        <f>$E$4</f>
        <v>17</v>
      </c>
      <c r="P179" s="4">
        <f>$F$4</f>
        <v>0.9</v>
      </c>
      <c r="Q179" s="4">
        <f>$G$4</f>
        <v>0.4</v>
      </c>
      <c r="R179" s="144" t="s">
        <v>309</v>
      </c>
      <c r="S179" s="118" t="s">
        <v>233</v>
      </c>
    </row>
    <row r="180" spans="1:32" x14ac:dyDescent="0.25">
      <c r="I180" s="117"/>
      <c r="S180" s="117"/>
    </row>
    <row r="181" spans="1:32" x14ac:dyDescent="0.25">
      <c r="E181" s="4" t="s">
        <v>129</v>
      </c>
      <c r="H181" s="4" t="s">
        <v>130</v>
      </c>
      <c r="I181" s="117"/>
      <c r="O181" s="4" t="s">
        <v>129</v>
      </c>
      <c r="R181" s="4" t="s">
        <v>130</v>
      </c>
      <c r="S181" s="117"/>
      <c r="AE181" s="4">
        <f>L151*0.35</f>
        <v>26.872159999999997</v>
      </c>
      <c r="AF181" s="4">
        <f>AE181/0.85</f>
        <v>31.614305882352937</v>
      </c>
    </row>
    <row r="182" spans="1:32" x14ac:dyDescent="0.25">
      <c r="A182" s="25" t="s">
        <v>310</v>
      </c>
      <c r="B182" s="4">
        <v>2023</v>
      </c>
      <c r="C182" s="4">
        <v>2050</v>
      </c>
      <c r="D182" s="4" t="s">
        <v>86</v>
      </c>
      <c r="E182" s="4" t="s">
        <v>87</v>
      </c>
      <c r="F182" s="4" t="s">
        <v>88</v>
      </c>
      <c r="G182" s="4" t="s">
        <v>89</v>
      </c>
      <c r="I182" s="117"/>
      <c r="K182" s="25" t="s">
        <v>95</v>
      </c>
      <c r="L182" s="4">
        <v>2023</v>
      </c>
      <c r="M182" s="4">
        <v>2050</v>
      </c>
      <c r="N182" s="4" t="s">
        <v>86</v>
      </c>
      <c r="O182" s="4" t="s">
        <v>87</v>
      </c>
      <c r="P182" s="4" t="s">
        <v>88</v>
      </c>
      <c r="Q182" s="4" t="s">
        <v>89</v>
      </c>
      <c r="S182" s="117"/>
    </row>
    <row r="183" spans="1:32" x14ac:dyDescent="0.25">
      <c r="A183" s="4" t="s">
        <v>137</v>
      </c>
      <c r="B183" s="4">
        <f>150000*$E$142</f>
        <v>4200000</v>
      </c>
      <c r="C183" s="4">
        <f>150000*$E$142</f>
        <v>4200000</v>
      </c>
      <c r="D183" s="4" t="s">
        <v>138</v>
      </c>
      <c r="E183" s="4">
        <v>12</v>
      </c>
      <c r="F183" s="4">
        <v>0.9</v>
      </c>
      <c r="G183" s="4">
        <v>0.4</v>
      </c>
      <c r="H183" s="144" t="s">
        <v>264</v>
      </c>
      <c r="I183" s="118" t="s">
        <v>265</v>
      </c>
      <c r="K183" s="4" t="s">
        <v>141</v>
      </c>
      <c r="L183" s="4">
        <f>L159*2</f>
        <v>10000000</v>
      </c>
      <c r="M183" s="4">
        <f>M159*0.8</f>
        <v>4000000</v>
      </c>
      <c r="N183" s="4" t="s">
        <v>138</v>
      </c>
      <c r="O183" s="4">
        <v>12</v>
      </c>
      <c r="P183" s="4">
        <v>0.9</v>
      </c>
      <c r="Q183" s="4">
        <v>0.4</v>
      </c>
      <c r="R183" s="144" t="s">
        <v>301</v>
      </c>
      <c r="S183" s="117"/>
    </row>
    <row r="184" spans="1:32" x14ac:dyDescent="0.25">
      <c r="A184" s="4" t="s">
        <v>148</v>
      </c>
      <c r="B184" s="4">
        <f>-B183*0.05</f>
        <v>-210000</v>
      </c>
      <c r="C184" s="4">
        <f>-C183*0.05</f>
        <v>-210000</v>
      </c>
      <c r="D184" s="4" t="s">
        <v>138</v>
      </c>
      <c r="E184" s="4">
        <v>12</v>
      </c>
      <c r="F184" s="4">
        <v>0.9</v>
      </c>
      <c r="G184" s="4">
        <v>0.4</v>
      </c>
      <c r="H184" s="144" t="s">
        <v>149</v>
      </c>
      <c r="I184" s="117" t="s">
        <v>267</v>
      </c>
      <c r="K184" s="4" t="s">
        <v>151</v>
      </c>
      <c r="L184" s="4">
        <f>-L183*0.05</f>
        <v>-500000</v>
      </c>
      <c r="M184" s="4">
        <f>-M183*0.15</f>
        <v>-600000</v>
      </c>
      <c r="N184" s="4" t="s">
        <v>138</v>
      </c>
      <c r="O184" s="4">
        <v>12</v>
      </c>
      <c r="P184" s="4">
        <v>0.9</v>
      </c>
      <c r="Q184" s="4">
        <v>0.4</v>
      </c>
      <c r="R184" s="144" t="s">
        <v>149</v>
      </c>
      <c r="S184" s="117" t="s">
        <v>302</v>
      </c>
    </row>
    <row r="185" spans="1:32" x14ac:dyDescent="0.25">
      <c r="A185" s="4" t="s">
        <v>160</v>
      </c>
      <c r="B185" s="4">
        <f>600000+850000</f>
        <v>1450000</v>
      </c>
      <c r="C185" s="4">
        <f>600000+850000</f>
        <v>1450000</v>
      </c>
      <c r="D185" s="4" t="s">
        <v>161</v>
      </c>
      <c r="E185" s="4">
        <v>12</v>
      </c>
      <c r="F185" s="4">
        <v>0.9</v>
      </c>
      <c r="G185" s="4">
        <v>0.4</v>
      </c>
      <c r="H185" s="144" t="s">
        <v>181</v>
      </c>
      <c r="I185" s="117" t="s">
        <v>311</v>
      </c>
      <c r="K185" s="4" t="s">
        <v>164</v>
      </c>
      <c r="L185" s="4">
        <v>20</v>
      </c>
      <c r="M185" s="4">
        <v>20</v>
      </c>
      <c r="N185" s="4" t="s">
        <v>165</v>
      </c>
      <c r="O185" s="4">
        <v>12</v>
      </c>
      <c r="P185" s="4">
        <v>0.9</v>
      </c>
      <c r="Q185" s="4">
        <v>0.4</v>
      </c>
      <c r="R185" s="144" t="s">
        <v>88</v>
      </c>
      <c r="S185" s="117" t="s">
        <v>270</v>
      </c>
    </row>
    <row r="186" spans="1:32" x14ac:dyDescent="0.25">
      <c r="A186" s="4" t="s">
        <v>171</v>
      </c>
      <c r="B186" s="4">
        <f>$E$142*$E$143</f>
        <v>2240</v>
      </c>
      <c r="C186" s="4">
        <f>$E$142*$E$143</f>
        <v>2240</v>
      </c>
      <c r="D186" s="4" t="s">
        <v>172</v>
      </c>
      <c r="E186" s="4">
        <v>12</v>
      </c>
      <c r="F186" s="4">
        <v>0.9</v>
      </c>
      <c r="G186" s="4">
        <v>0.4</v>
      </c>
      <c r="H186" s="144" t="s">
        <v>271</v>
      </c>
      <c r="I186" s="118" t="s">
        <v>272</v>
      </c>
      <c r="K186" s="4" t="s">
        <v>175</v>
      </c>
      <c r="L186" s="4">
        <f>L183*0.14</f>
        <v>1400000.0000000002</v>
      </c>
      <c r="M186" s="4">
        <f>M183*0.14</f>
        <v>560000</v>
      </c>
      <c r="N186" s="4" t="s">
        <v>161</v>
      </c>
      <c r="O186" s="4">
        <v>12</v>
      </c>
      <c r="P186" s="4">
        <v>0.9</v>
      </c>
      <c r="Q186" s="4">
        <v>0.4</v>
      </c>
      <c r="R186" s="144" t="s">
        <v>304</v>
      </c>
      <c r="S186" s="118" t="s">
        <v>305</v>
      </c>
    </row>
    <row r="187" spans="1:32" x14ac:dyDescent="0.25">
      <c r="A187" s="4" t="s">
        <v>179</v>
      </c>
      <c r="B187" s="150">
        <f>54%/C140</f>
        <v>0.72000000000000008</v>
      </c>
      <c r="C187" s="150">
        <f>54%/C140</f>
        <v>0.72000000000000008</v>
      </c>
      <c r="D187" s="4" t="s">
        <v>180</v>
      </c>
      <c r="E187" s="4">
        <v>12</v>
      </c>
      <c r="F187" s="4">
        <v>0.9</v>
      </c>
      <c r="G187" s="4">
        <v>0.4</v>
      </c>
      <c r="H187" s="144" t="s">
        <v>181</v>
      </c>
      <c r="I187" s="117" t="s">
        <v>312</v>
      </c>
      <c r="K187" s="4" t="s">
        <v>183</v>
      </c>
      <c r="L187" s="4">
        <f>L151*0.35/0.55</f>
        <v>48.858472727272719</v>
      </c>
      <c r="M187" s="4">
        <f>M151*0.35/0.65</f>
        <v>41.341784615384611</v>
      </c>
      <c r="N187" s="4" t="s">
        <v>184</v>
      </c>
      <c r="O187" s="4">
        <v>12</v>
      </c>
      <c r="P187" s="4">
        <v>0.9</v>
      </c>
      <c r="Q187" s="4">
        <v>0.4</v>
      </c>
      <c r="R187" s="144" t="s">
        <v>88</v>
      </c>
      <c r="S187" s="118" t="s">
        <v>313</v>
      </c>
    </row>
    <row r="188" spans="1:32" x14ac:dyDescent="0.25">
      <c r="A188" s="4" t="s">
        <v>188</v>
      </c>
      <c r="B188" s="4">
        <v>178500</v>
      </c>
      <c r="C188" s="4">
        <v>178500</v>
      </c>
      <c r="D188" s="4" t="s">
        <v>189</v>
      </c>
      <c r="E188" s="4">
        <v>12</v>
      </c>
      <c r="F188" s="4">
        <v>0.9</v>
      </c>
      <c r="G188" s="4">
        <v>0.4</v>
      </c>
      <c r="H188" s="144" t="s">
        <v>181</v>
      </c>
      <c r="I188" s="117" t="s">
        <v>312</v>
      </c>
      <c r="K188" s="4" t="s">
        <v>191</v>
      </c>
      <c r="L188" s="65">
        <f t="shared" ref="L188:Q188" si="4">B9</f>
        <v>0.2544561408768215</v>
      </c>
      <c r="M188" s="65">
        <f t="shared" si="4"/>
        <v>0.10949010032952979</v>
      </c>
      <c r="N188" s="65" t="str">
        <f t="shared" si="4"/>
        <v>[€/kWh]</v>
      </c>
      <c r="O188" s="65">
        <f t="shared" si="4"/>
        <v>12</v>
      </c>
      <c r="P188" s="65">
        <f t="shared" si="4"/>
        <v>0.9</v>
      </c>
      <c r="Q188" s="65">
        <f t="shared" si="4"/>
        <v>0.4</v>
      </c>
      <c r="R188" s="144" t="s">
        <v>223</v>
      </c>
      <c r="S188" s="118" t="s">
        <v>244</v>
      </c>
    </row>
    <row r="189" spans="1:32" x14ac:dyDescent="0.25">
      <c r="A189" s="4" t="s">
        <v>194</v>
      </c>
      <c r="B189" s="4">
        <v>30</v>
      </c>
      <c r="C189" s="4">
        <v>30</v>
      </c>
      <c r="D189" s="4" t="s">
        <v>165</v>
      </c>
      <c r="E189" s="4">
        <v>12</v>
      </c>
      <c r="F189" s="4">
        <v>0.9</v>
      </c>
      <c r="G189" s="4">
        <v>0.4</v>
      </c>
      <c r="H189" s="144" t="s">
        <v>277</v>
      </c>
      <c r="I189" s="117" t="s">
        <v>278</v>
      </c>
      <c r="K189" s="4" t="s">
        <v>197</v>
      </c>
      <c r="L189" s="123">
        <f>0.5/E142</f>
        <v>1.7857142857142856E-2</v>
      </c>
      <c r="M189" s="123">
        <f>0.5/E142</f>
        <v>1.7857142857142856E-2</v>
      </c>
      <c r="N189" s="4" t="s">
        <v>180</v>
      </c>
      <c r="O189" s="4">
        <v>12</v>
      </c>
      <c r="P189" s="4">
        <v>0.9</v>
      </c>
      <c r="Q189" s="4">
        <v>0.4</v>
      </c>
      <c r="R189" s="144" t="s">
        <v>304</v>
      </c>
      <c r="S189" s="117" t="s">
        <v>314</v>
      </c>
    </row>
    <row r="190" spans="1:32" x14ac:dyDescent="0.25">
      <c r="A190" s="4" t="s">
        <v>279</v>
      </c>
      <c r="B190" s="4">
        <v>8.9635854341736696</v>
      </c>
      <c r="C190" s="4">
        <v>8.9635854341736696</v>
      </c>
      <c r="D190" s="4" t="s">
        <v>200</v>
      </c>
      <c r="E190" s="4">
        <v>12</v>
      </c>
      <c r="F190" s="4">
        <v>0.9</v>
      </c>
      <c r="G190" s="4">
        <v>0.4</v>
      </c>
      <c r="H190" s="144" t="s">
        <v>181</v>
      </c>
      <c r="I190" s="118" t="s">
        <v>315</v>
      </c>
      <c r="K190" s="4" t="s">
        <v>203</v>
      </c>
      <c r="L190" s="150">
        <v>0.06</v>
      </c>
      <c r="M190" s="150">
        <v>0.06</v>
      </c>
      <c r="N190" s="4" t="s">
        <v>180</v>
      </c>
      <c r="O190" s="4">
        <v>12</v>
      </c>
      <c r="P190" s="4">
        <v>0.9</v>
      </c>
      <c r="Q190" s="4">
        <v>0.4</v>
      </c>
      <c r="R190" s="144" t="s">
        <v>223</v>
      </c>
      <c r="S190" s="122" t="s">
        <v>198</v>
      </c>
    </row>
    <row r="191" spans="1:32" x14ac:dyDescent="0.25">
      <c r="I191" s="117"/>
      <c r="K191" s="4" t="s">
        <v>205</v>
      </c>
      <c r="L191" s="4">
        <f>AC151</f>
        <v>0</v>
      </c>
      <c r="M191" s="4">
        <f>AD151</f>
        <v>0</v>
      </c>
      <c r="N191" s="4" t="s">
        <v>200</v>
      </c>
      <c r="O191" s="4">
        <f>$E$4</f>
        <v>17</v>
      </c>
      <c r="P191" s="4">
        <f>$F$4</f>
        <v>0.9</v>
      </c>
      <c r="Q191" s="4">
        <f>$G$4</f>
        <v>0.4</v>
      </c>
      <c r="R191" s="144" t="s">
        <v>309</v>
      </c>
      <c r="S191" s="118" t="s">
        <v>316</v>
      </c>
    </row>
    <row r="192" spans="1:32" x14ac:dyDescent="0.25">
      <c r="E192" s="4" t="s">
        <v>129</v>
      </c>
      <c r="I192" s="117"/>
      <c r="S192" s="117"/>
    </row>
    <row r="193" spans="1:19" x14ac:dyDescent="0.25">
      <c r="A193" s="25" t="s">
        <v>317</v>
      </c>
      <c r="B193" s="4">
        <v>2023</v>
      </c>
      <c r="C193" s="4">
        <v>2050</v>
      </c>
      <c r="D193" s="4" t="s">
        <v>86</v>
      </c>
      <c r="E193" s="4" t="s">
        <v>87</v>
      </c>
      <c r="F193" s="4" t="s">
        <v>88</v>
      </c>
      <c r="G193" s="4" t="s">
        <v>89</v>
      </c>
      <c r="H193" s="4" t="s">
        <v>130</v>
      </c>
      <c r="I193" s="117"/>
      <c r="S193" s="34"/>
    </row>
    <row r="194" spans="1:19" x14ac:dyDescent="0.25">
      <c r="A194" s="4" t="s">
        <v>137</v>
      </c>
      <c r="B194" s="4">
        <f>125000*$E$142</f>
        <v>3500000</v>
      </c>
      <c r="C194" s="4">
        <f>125000*$E$142</f>
        <v>3500000</v>
      </c>
      <c r="D194" s="4" t="s">
        <v>138</v>
      </c>
      <c r="E194" s="4">
        <v>12</v>
      </c>
      <c r="F194" s="4">
        <v>0.9</v>
      </c>
      <c r="G194" s="4">
        <v>0.4</v>
      </c>
      <c r="H194" s="144" t="s">
        <v>264</v>
      </c>
      <c r="I194" s="118" t="s">
        <v>318</v>
      </c>
    </row>
    <row r="195" spans="1:19" x14ac:dyDescent="0.25">
      <c r="A195" s="4" t="s">
        <v>148</v>
      </c>
      <c r="B195" s="4">
        <f>-B194*0.05</f>
        <v>-175000</v>
      </c>
      <c r="C195" s="4">
        <f>-C194*0.05</f>
        <v>-175000</v>
      </c>
      <c r="D195" s="4" t="s">
        <v>138</v>
      </c>
      <c r="E195" s="4">
        <v>12</v>
      </c>
      <c r="F195" s="4">
        <v>0.9</v>
      </c>
      <c r="G195" s="4">
        <v>0.4</v>
      </c>
      <c r="H195" s="144" t="s">
        <v>149</v>
      </c>
      <c r="I195" s="117" t="s">
        <v>267</v>
      </c>
    </row>
    <row r="196" spans="1:19" x14ac:dyDescent="0.25">
      <c r="A196" s="4" t="s">
        <v>160</v>
      </c>
      <c r="B196" s="4">
        <v>650000</v>
      </c>
      <c r="C196" s="4">
        <v>650000</v>
      </c>
      <c r="D196" s="4" t="s">
        <v>161</v>
      </c>
      <c r="E196" s="4">
        <v>12</v>
      </c>
      <c r="F196" s="4">
        <v>0.9</v>
      </c>
      <c r="G196" s="4">
        <v>0.4</v>
      </c>
      <c r="H196" s="144" t="s">
        <v>181</v>
      </c>
      <c r="I196" s="117" t="s">
        <v>319</v>
      </c>
    </row>
    <row r="197" spans="1:19" x14ac:dyDescent="0.25">
      <c r="A197" s="4" t="s">
        <v>171</v>
      </c>
      <c r="B197" s="4">
        <v>2800</v>
      </c>
      <c r="C197" s="4">
        <v>2800</v>
      </c>
      <c r="D197" s="4" t="s">
        <v>172</v>
      </c>
      <c r="E197" s="4">
        <v>12</v>
      </c>
      <c r="F197" s="4">
        <v>0.9</v>
      </c>
      <c r="G197" s="4">
        <v>0.4</v>
      </c>
      <c r="H197" s="144" t="s">
        <v>271</v>
      </c>
      <c r="I197" s="118" t="s">
        <v>272</v>
      </c>
    </row>
    <row r="198" spans="1:19" x14ac:dyDescent="0.25">
      <c r="A198" s="4" t="s">
        <v>179</v>
      </c>
      <c r="B198" s="150">
        <f>32%/C140</f>
        <v>0.42666666666666669</v>
      </c>
      <c r="C198" s="150">
        <f>32%/C140</f>
        <v>0.42666666666666669</v>
      </c>
      <c r="D198" s="4" t="s">
        <v>180</v>
      </c>
      <c r="E198" s="4">
        <v>12</v>
      </c>
      <c r="F198" s="4">
        <v>0.9</v>
      </c>
      <c r="G198" s="4">
        <v>0.4</v>
      </c>
      <c r="H198" s="144" t="s">
        <v>181</v>
      </c>
      <c r="I198" s="117" t="s">
        <v>320</v>
      </c>
      <c r="N198" s="113"/>
    </row>
    <row r="199" spans="1:19" x14ac:dyDescent="0.25">
      <c r="A199" s="4" t="s">
        <v>188</v>
      </c>
      <c r="B199" s="4">
        <v>178500</v>
      </c>
      <c r="C199" s="4">
        <v>178500</v>
      </c>
      <c r="D199" s="4" t="s">
        <v>189</v>
      </c>
      <c r="E199" s="4">
        <v>12</v>
      </c>
      <c r="F199" s="4">
        <v>0.9</v>
      </c>
      <c r="G199" s="4">
        <v>0.4</v>
      </c>
      <c r="H199" s="144" t="s">
        <v>181</v>
      </c>
      <c r="I199" s="117" t="s">
        <v>320</v>
      </c>
      <c r="N199" s="113"/>
    </row>
    <row r="200" spans="1:19" x14ac:dyDescent="0.25">
      <c r="A200" s="4" t="s">
        <v>194</v>
      </c>
      <c r="B200" s="4">
        <v>30</v>
      </c>
      <c r="C200" s="4">
        <v>30</v>
      </c>
      <c r="D200" s="4" t="s">
        <v>165</v>
      </c>
      <c r="E200" s="4">
        <v>12</v>
      </c>
      <c r="F200" s="4">
        <v>0.9</v>
      </c>
      <c r="G200" s="4">
        <v>0.4</v>
      </c>
      <c r="H200" s="144" t="s">
        <v>277</v>
      </c>
      <c r="I200" s="117" t="s">
        <v>278</v>
      </c>
    </row>
    <row r="201" spans="1:19" x14ac:dyDescent="0.25">
      <c r="A201" s="4" t="s">
        <v>279</v>
      </c>
      <c r="B201" s="114">
        <v>3.9215686274509802</v>
      </c>
      <c r="C201" s="114">
        <v>3.9215686274509802</v>
      </c>
      <c r="D201" s="4" t="s">
        <v>200</v>
      </c>
      <c r="E201" s="4">
        <v>12</v>
      </c>
      <c r="F201" s="4">
        <v>0.9</v>
      </c>
      <c r="G201" s="4">
        <v>0.4</v>
      </c>
      <c r="H201" s="144" t="s">
        <v>181</v>
      </c>
      <c r="I201" s="118" t="s">
        <v>321</v>
      </c>
    </row>
    <row r="202" spans="1:19" x14ac:dyDescent="0.25">
      <c r="I202" s="117"/>
    </row>
    <row r="203" spans="1:19" x14ac:dyDescent="0.25">
      <c r="I203" s="117"/>
    </row>
    <row r="205" spans="1:19" s="93" customFormat="1" ht="31.5" x14ac:dyDescent="0.5">
      <c r="A205" s="93" t="s">
        <v>122</v>
      </c>
      <c r="K205" s="93" t="s">
        <v>123</v>
      </c>
    </row>
    <row r="206" spans="1:19" x14ac:dyDescent="0.25">
      <c r="B206" s="4" t="s">
        <v>124</v>
      </c>
      <c r="C206" s="94">
        <v>0.75</v>
      </c>
      <c r="D206" s="162" t="s">
        <v>125</v>
      </c>
    </row>
    <row r="207" spans="1:19" x14ac:dyDescent="0.25">
      <c r="B207" s="4" t="s">
        <v>126</v>
      </c>
      <c r="C207" s="94">
        <f>1-C206</f>
        <v>0.25</v>
      </c>
      <c r="D207" s="162" t="s">
        <v>127</v>
      </c>
      <c r="I207" s="113"/>
      <c r="K207" s="40"/>
    </row>
    <row r="208" spans="1:19" x14ac:dyDescent="0.25">
      <c r="A208" s="95" t="s">
        <v>15</v>
      </c>
      <c r="B208" s="151" t="s">
        <v>322</v>
      </c>
    </row>
    <row r="209" spans="1:47" ht="15.75" thickBot="1" x14ac:dyDescent="0.3">
      <c r="L209" s="150"/>
    </row>
    <row r="210" spans="1:47" x14ac:dyDescent="0.25">
      <c r="E210" s="4" t="s">
        <v>129</v>
      </c>
      <c r="H210" s="4" t="s">
        <v>130</v>
      </c>
      <c r="O210" s="4" t="s">
        <v>129</v>
      </c>
      <c r="R210" s="4" t="s">
        <v>130</v>
      </c>
      <c r="W210" s="99" t="s">
        <v>323</v>
      </c>
      <c r="X210" s="100">
        <v>2023</v>
      </c>
      <c r="Y210" s="100">
        <v>2050</v>
      </c>
      <c r="Z210" s="101" t="s">
        <v>86</v>
      </c>
      <c r="AB210" s="99" t="s">
        <v>324</v>
      </c>
      <c r="AC210" s="100">
        <v>2023</v>
      </c>
      <c r="AD210" s="100">
        <v>2050</v>
      </c>
      <c r="AE210" s="101" t="s">
        <v>86</v>
      </c>
      <c r="AG210" s="99" t="s">
        <v>325</v>
      </c>
      <c r="AH210" s="100">
        <v>2023</v>
      </c>
      <c r="AI210" s="100">
        <v>2050</v>
      </c>
      <c r="AJ210" s="101" t="s">
        <v>86</v>
      </c>
      <c r="AL210" s="99" t="s">
        <v>326</v>
      </c>
      <c r="AM210" s="100">
        <v>2023</v>
      </c>
      <c r="AN210" s="100">
        <v>2050</v>
      </c>
      <c r="AO210" s="101" t="s">
        <v>86</v>
      </c>
      <c r="AQ210" s="99" t="s">
        <v>327</v>
      </c>
      <c r="AR210" s="100">
        <v>2023</v>
      </c>
      <c r="AS210" s="100">
        <v>2050</v>
      </c>
      <c r="AT210" s="101" t="s">
        <v>86</v>
      </c>
    </row>
    <row r="211" spans="1:47" x14ac:dyDescent="0.25">
      <c r="A211" s="25" t="s">
        <v>328</v>
      </c>
      <c r="B211" s="4">
        <v>2023</v>
      </c>
      <c r="C211" s="4">
        <v>2050</v>
      </c>
      <c r="D211" s="4" t="s">
        <v>86</v>
      </c>
      <c r="E211" s="4" t="s">
        <v>87</v>
      </c>
      <c r="F211" s="4" t="s">
        <v>88</v>
      </c>
      <c r="G211" s="4" t="s">
        <v>89</v>
      </c>
      <c r="I211" s="117"/>
      <c r="K211" s="25" t="s">
        <v>101</v>
      </c>
      <c r="L211" s="4">
        <v>2023</v>
      </c>
      <c r="M211" s="4">
        <v>2050</v>
      </c>
      <c r="N211" s="4" t="s">
        <v>86</v>
      </c>
      <c r="O211" s="4" t="s">
        <v>87</v>
      </c>
      <c r="P211" s="4" t="s">
        <v>88</v>
      </c>
      <c r="Q211" s="4" t="s">
        <v>89</v>
      </c>
      <c r="W211" s="102" t="s">
        <v>136</v>
      </c>
      <c r="X211" s="107">
        <f>$B$4</f>
        <v>0</v>
      </c>
      <c r="Y211" s="107">
        <f>$C$4</f>
        <v>0</v>
      </c>
      <c r="Z211" s="103" t="s">
        <v>91</v>
      </c>
      <c r="AB211" s="102" t="s">
        <v>136</v>
      </c>
      <c r="AC211" s="107">
        <f>$B$4</f>
        <v>0</v>
      </c>
      <c r="AD211" s="107">
        <f>$C$4</f>
        <v>0</v>
      </c>
      <c r="AE211" s="103" t="s">
        <v>91</v>
      </c>
      <c r="AG211" s="102" t="s">
        <v>136</v>
      </c>
      <c r="AH211" s="107">
        <f>$B$4</f>
        <v>0</v>
      </c>
      <c r="AI211" s="107">
        <f>$C$4</f>
        <v>0</v>
      </c>
      <c r="AJ211" s="103" t="s">
        <v>91</v>
      </c>
      <c r="AL211" s="102" t="s">
        <v>136</v>
      </c>
      <c r="AM211" s="107">
        <f>$B$4</f>
        <v>0</v>
      </c>
      <c r="AN211" s="107">
        <f>$C$4</f>
        <v>0</v>
      </c>
      <c r="AO211" s="103" t="s">
        <v>91</v>
      </c>
      <c r="AQ211" s="102" t="s">
        <v>136</v>
      </c>
      <c r="AR211" s="107">
        <f>$B$4</f>
        <v>0</v>
      </c>
      <c r="AS211" s="107">
        <f>$C$4</f>
        <v>0</v>
      </c>
      <c r="AT211" s="103" t="s">
        <v>91</v>
      </c>
    </row>
    <row r="212" spans="1:47" x14ac:dyDescent="0.25">
      <c r="A212" s="4" t="s">
        <v>137</v>
      </c>
      <c r="B212" s="113">
        <v>1000000</v>
      </c>
      <c r="C212" s="4">
        <v>1000000</v>
      </c>
      <c r="D212" s="4" t="s">
        <v>138</v>
      </c>
      <c r="E212" s="4">
        <v>17</v>
      </c>
      <c r="F212" s="4">
        <v>0.9</v>
      </c>
      <c r="G212" s="4">
        <v>0.4</v>
      </c>
      <c r="H212" s="144" t="s">
        <v>329</v>
      </c>
      <c r="I212" s="118" t="s">
        <v>330</v>
      </c>
      <c r="K212" s="4" t="s">
        <v>141</v>
      </c>
      <c r="L212" s="4">
        <v>15000000</v>
      </c>
      <c r="M212" s="4">
        <v>15000000</v>
      </c>
      <c r="N212" s="4" t="s">
        <v>138</v>
      </c>
      <c r="O212" s="4">
        <v>17</v>
      </c>
      <c r="P212" s="4">
        <v>0.9</v>
      </c>
      <c r="Q212" s="4">
        <v>0.4</v>
      </c>
      <c r="R212" s="144" t="s">
        <v>331</v>
      </c>
      <c r="S212" s="117" t="s">
        <v>332</v>
      </c>
      <c r="W212" s="102" t="s">
        <v>143</v>
      </c>
      <c r="X212" s="195">
        <v>3.17</v>
      </c>
      <c r="Y212" s="195"/>
      <c r="Z212" s="103" t="s">
        <v>144</v>
      </c>
      <c r="AB212" s="102" t="s">
        <v>143</v>
      </c>
      <c r="AC212" s="195">
        <v>3.2</v>
      </c>
      <c r="AD212" s="195"/>
      <c r="AE212" s="103" t="s">
        <v>144</v>
      </c>
      <c r="AG212" s="102" t="s">
        <v>145</v>
      </c>
      <c r="AH212" s="4">
        <v>2.1999999999999999E-2</v>
      </c>
      <c r="AI212" s="4">
        <v>0</v>
      </c>
      <c r="AJ212" s="4" t="s">
        <v>146</v>
      </c>
      <c r="AL212" s="102" t="s">
        <v>145</v>
      </c>
      <c r="AM212" s="4">
        <v>2.1999999999999999E-2</v>
      </c>
      <c r="AN212" s="4">
        <v>0</v>
      </c>
      <c r="AO212" s="4" t="s">
        <v>146</v>
      </c>
      <c r="AQ212" s="102" t="s">
        <v>145</v>
      </c>
      <c r="AR212" s="4">
        <v>2.1999999999999999E-2</v>
      </c>
      <c r="AS212" s="4">
        <v>0</v>
      </c>
      <c r="AT212" s="4" t="s">
        <v>146</v>
      </c>
      <c r="AU212" s="4" t="s">
        <v>147</v>
      </c>
    </row>
    <row r="213" spans="1:47" x14ac:dyDescent="0.25">
      <c r="A213" s="4" t="s">
        <v>148</v>
      </c>
      <c r="B213" s="4">
        <f>-B212*0.1</f>
        <v>-100000</v>
      </c>
      <c r="C213" s="4">
        <f>-C212*0.1</f>
        <v>-100000</v>
      </c>
      <c r="D213" s="4" t="s">
        <v>138</v>
      </c>
      <c r="E213" s="4">
        <v>17</v>
      </c>
      <c r="F213" s="4">
        <v>0.9</v>
      </c>
      <c r="G213" s="4">
        <v>0.4</v>
      </c>
      <c r="H213" s="144" t="s">
        <v>329</v>
      </c>
      <c r="I213" s="117" t="s">
        <v>333</v>
      </c>
      <c r="K213" s="4" t="s">
        <v>151</v>
      </c>
      <c r="L213" s="4">
        <f>-L212*0.1</f>
        <v>-1500000</v>
      </c>
      <c r="M213" s="4">
        <f>-M212*0.05</f>
        <v>-750000</v>
      </c>
      <c r="N213" s="4" t="s">
        <v>138</v>
      </c>
      <c r="O213" s="4">
        <v>17</v>
      </c>
      <c r="P213" s="4">
        <v>0.9</v>
      </c>
      <c r="Q213" s="4">
        <v>0.4</v>
      </c>
      <c r="R213" s="144" t="s">
        <v>149</v>
      </c>
      <c r="S213" s="117" t="s">
        <v>334</v>
      </c>
      <c r="W213" s="102" t="s">
        <v>154</v>
      </c>
      <c r="X213" s="195">
        <v>11.89</v>
      </c>
      <c r="Y213" s="195"/>
      <c r="Z213" s="103" t="s">
        <v>155</v>
      </c>
      <c r="AB213" s="102" t="s">
        <v>154</v>
      </c>
      <c r="AC213" s="195">
        <v>11.39</v>
      </c>
      <c r="AD213" s="195"/>
      <c r="AE213" s="103" t="s">
        <v>155</v>
      </c>
      <c r="AG213" s="102" t="s">
        <v>156</v>
      </c>
      <c r="AH213" s="94">
        <v>0.53</v>
      </c>
      <c r="AI213" s="94">
        <v>0.61</v>
      </c>
      <c r="AJ213" s="103" t="s">
        <v>157</v>
      </c>
      <c r="AL213" s="102" t="s">
        <v>158</v>
      </c>
      <c r="AM213" s="94">
        <v>0.52</v>
      </c>
      <c r="AN213" s="94">
        <v>0.6</v>
      </c>
      <c r="AO213" s="103" t="s">
        <v>157</v>
      </c>
      <c r="AQ213" s="102" t="s">
        <v>158</v>
      </c>
      <c r="AR213" s="94">
        <v>0.45</v>
      </c>
      <c r="AS213" s="94">
        <v>0.56000000000000005</v>
      </c>
      <c r="AT213" s="103" t="s">
        <v>157</v>
      </c>
      <c r="AU213" s="4" t="s">
        <v>159</v>
      </c>
    </row>
    <row r="214" spans="1:47" x14ac:dyDescent="0.25">
      <c r="A214" s="4" t="s">
        <v>160</v>
      </c>
      <c r="B214" s="4">
        <f>(793000+106000+128000)/0.85</f>
        <v>1208235.294117647</v>
      </c>
      <c r="C214" s="4">
        <f>(793000+106000+128000)/0.85</f>
        <v>1208235.294117647</v>
      </c>
      <c r="D214" s="4" t="s">
        <v>161</v>
      </c>
      <c r="E214" s="4">
        <v>17</v>
      </c>
      <c r="F214" s="4">
        <v>0.9</v>
      </c>
      <c r="G214" s="4">
        <v>0.4</v>
      </c>
      <c r="H214" s="144" t="s">
        <v>335</v>
      </c>
      <c r="I214" s="117" t="s">
        <v>336</v>
      </c>
      <c r="K214" s="4" t="s">
        <v>164</v>
      </c>
      <c r="L214" s="4">
        <v>25</v>
      </c>
      <c r="M214" s="4">
        <v>25</v>
      </c>
      <c r="N214" s="4" t="s">
        <v>165</v>
      </c>
      <c r="O214" s="4">
        <v>17</v>
      </c>
      <c r="P214" s="4">
        <v>0.9</v>
      </c>
      <c r="Q214" s="4">
        <v>0.4</v>
      </c>
      <c r="R214" s="144" t="s">
        <v>166</v>
      </c>
      <c r="S214" s="117" t="s">
        <v>198</v>
      </c>
      <c r="W214" s="102" t="s">
        <v>168</v>
      </c>
      <c r="X214" s="196">
        <f>X212/X213</f>
        <v>0.26661059714045415</v>
      </c>
      <c r="Y214" s="196"/>
      <c r="Z214" s="103" t="s">
        <v>169</v>
      </c>
      <c r="AB214" s="102" t="s">
        <v>168</v>
      </c>
      <c r="AC214" s="196">
        <f>AC212/AC213</f>
        <v>0.28094820017559263</v>
      </c>
      <c r="AD214" s="196"/>
      <c r="AE214" s="103" t="s">
        <v>169</v>
      </c>
      <c r="AG214" s="102" t="s">
        <v>170</v>
      </c>
      <c r="AH214" s="109">
        <f>AH212/AH213</f>
        <v>4.1509433962264149E-2</v>
      </c>
      <c r="AI214" s="109">
        <f>AI212/AI213</f>
        <v>0</v>
      </c>
      <c r="AJ214" s="103" t="s">
        <v>169</v>
      </c>
      <c r="AL214" s="102" t="s">
        <v>145</v>
      </c>
      <c r="AM214" s="109">
        <f>AM212/AM213</f>
        <v>4.2307692307692303E-2</v>
      </c>
      <c r="AN214" s="109">
        <f>AN212/AN213</f>
        <v>0</v>
      </c>
      <c r="AO214" s="103" t="s">
        <v>169</v>
      </c>
      <c r="AQ214" s="102" t="s">
        <v>145</v>
      </c>
      <c r="AR214" s="109">
        <f>AR212/AR213</f>
        <v>4.8888888888888885E-2</v>
      </c>
      <c r="AS214" s="109">
        <f>AS212/AS213</f>
        <v>0</v>
      </c>
      <c r="AT214" s="103" t="s">
        <v>169</v>
      </c>
    </row>
    <row r="215" spans="1:47" x14ac:dyDescent="0.25">
      <c r="A215" s="4" t="s">
        <v>171</v>
      </c>
      <c r="B215" s="4">
        <v>9450</v>
      </c>
      <c r="C215" s="4">
        <v>9450</v>
      </c>
      <c r="D215" s="4" t="s">
        <v>172</v>
      </c>
      <c r="E215" s="4">
        <v>17</v>
      </c>
      <c r="F215" s="4">
        <v>0.9</v>
      </c>
      <c r="G215" s="4">
        <v>0.4</v>
      </c>
      <c r="H215" s="144" t="s">
        <v>337</v>
      </c>
      <c r="I215" s="117" t="s">
        <v>338</v>
      </c>
      <c r="K215" s="4" t="s">
        <v>175</v>
      </c>
      <c r="L215" s="4">
        <f>(84000+127000+122000+82000)/0.85</f>
        <v>488235.29411764705</v>
      </c>
      <c r="M215" s="4">
        <f>(84000+127000+122000+82000)/0.85</f>
        <v>488235.29411764705</v>
      </c>
      <c r="N215" s="4" t="s">
        <v>161</v>
      </c>
      <c r="O215" s="4">
        <v>17</v>
      </c>
      <c r="P215" s="4">
        <v>0.9</v>
      </c>
      <c r="Q215" s="4">
        <v>0.4</v>
      </c>
      <c r="R215" s="144" t="s">
        <v>88</v>
      </c>
      <c r="S215" s="117" t="s">
        <v>339</v>
      </c>
      <c r="W215" s="102" t="s">
        <v>177</v>
      </c>
      <c r="X215" s="4">
        <f>L216*X214</f>
        <v>172.49705634987384</v>
      </c>
      <c r="Y215" s="4">
        <f>M216*X214</f>
        <v>159.9663582842725</v>
      </c>
      <c r="Z215" s="103" t="s">
        <v>178</v>
      </c>
      <c r="AB215" s="102" t="s">
        <v>177</v>
      </c>
      <c r="AC215" s="4">
        <f>L228*AC214</f>
        <v>181.77348551360842</v>
      </c>
      <c r="AD215" s="4">
        <f>M228*AC214</f>
        <v>168.56892010535557</v>
      </c>
      <c r="AE215" s="103" t="s">
        <v>178</v>
      </c>
      <c r="AG215" s="102" t="s">
        <v>177</v>
      </c>
      <c r="AH215" s="4">
        <f>AH214*L241</f>
        <v>24.449056603773585</v>
      </c>
      <c r="AI215" s="4">
        <f>AI214*M241</f>
        <v>0</v>
      </c>
      <c r="AJ215" s="103" t="s">
        <v>178</v>
      </c>
      <c r="AL215" s="102" t="s">
        <v>177</v>
      </c>
      <c r="AM215" s="4">
        <f>AM214*L253</f>
        <v>24.919230769230765</v>
      </c>
      <c r="AN215" s="4">
        <f>AN214*M253</f>
        <v>0</v>
      </c>
      <c r="AO215" s="103" t="s">
        <v>178</v>
      </c>
      <c r="AQ215" s="102" t="s">
        <v>177</v>
      </c>
      <c r="AR215" s="4">
        <f>AR214*L265</f>
        <v>31.631111111111107</v>
      </c>
      <c r="AS215" s="4">
        <f>AS214*M265</f>
        <v>0</v>
      </c>
      <c r="AT215" s="103" t="s">
        <v>178</v>
      </c>
    </row>
    <row r="216" spans="1:47" ht="15.75" thickBot="1" x14ac:dyDescent="0.3">
      <c r="A216" s="4" t="s">
        <v>179</v>
      </c>
      <c r="B216" s="150">
        <f>51%/C206</f>
        <v>0.68</v>
      </c>
      <c r="C216" s="150">
        <f>51%/C206</f>
        <v>0.68</v>
      </c>
      <c r="D216" s="4" t="s">
        <v>180</v>
      </c>
      <c r="E216" s="4">
        <v>17</v>
      </c>
      <c r="F216" s="4">
        <v>0.9</v>
      </c>
      <c r="G216" s="4">
        <v>0.4</v>
      </c>
      <c r="H216" s="144" t="s">
        <v>181</v>
      </c>
      <c r="I216" s="117" t="s">
        <v>340</v>
      </c>
      <c r="K216" s="4" t="s">
        <v>183</v>
      </c>
      <c r="L216" s="4">
        <v>647</v>
      </c>
      <c r="M216" s="4">
        <v>600</v>
      </c>
      <c r="N216" s="4" t="s">
        <v>184</v>
      </c>
      <c r="O216" s="4">
        <v>17</v>
      </c>
      <c r="P216" s="4">
        <v>0.9</v>
      </c>
      <c r="Q216" s="4">
        <v>0.4</v>
      </c>
      <c r="R216" s="144" t="s">
        <v>166</v>
      </c>
      <c r="S216" s="117" t="s">
        <v>341</v>
      </c>
      <c r="W216" s="104" t="s">
        <v>186</v>
      </c>
      <c r="X216" s="105">
        <f>X211/1000*X215</f>
        <v>0</v>
      </c>
      <c r="Y216" s="105">
        <f>Y215/1000*Y211</f>
        <v>0</v>
      </c>
      <c r="Z216" s="106" t="s">
        <v>187</v>
      </c>
      <c r="AB216" s="104" t="s">
        <v>186</v>
      </c>
      <c r="AC216" s="105">
        <f>AC211/1000*AC215</f>
        <v>0</v>
      </c>
      <c r="AD216" s="105">
        <f>AD215/1000*AD211</f>
        <v>0</v>
      </c>
      <c r="AE216" s="106" t="s">
        <v>187</v>
      </c>
      <c r="AG216" s="104" t="s">
        <v>186</v>
      </c>
      <c r="AH216" s="105">
        <f>AH211/1000*AH215</f>
        <v>0</v>
      </c>
      <c r="AI216" s="105">
        <f>AI215/1000*AI211</f>
        <v>0</v>
      </c>
      <c r="AJ216" s="106" t="s">
        <v>187</v>
      </c>
      <c r="AL216" s="104" t="s">
        <v>186</v>
      </c>
      <c r="AM216" s="105">
        <f>AM211/1000*AM215</f>
        <v>0</v>
      </c>
      <c r="AN216" s="105">
        <f>AN215/1000*AN211</f>
        <v>0</v>
      </c>
      <c r="AO216" s="106" t="s">
        <v>187</v>
      </c>
      <c r="AQ216" s="104" t="s">
        <v>186</v>
      </c>
      <c r="AR216" s="105">
        <f>AR211/1000*AR215</f>
        <v>0</v>
      </c>
      <c r="AS216" s="105">
        <f>AS215/1000*AS211</f>
        <v>0</v>
      </c>
      <c r="AT216" s="106" t="s">
        <v>187</v>
      </c>
    </row>
    <row r="217" spans="1:47" x14ac:dyDescent="0.25">
      <c r="A217" s="4" t="s">
        <v>188</v>
      </c>
      <c r="B217" s="4">
        <v>120000</v>
      </c>
      <c r="C217" s="4">
        <v>120000</v>
      </c>
      <c r="D217" s="4" t="s">
        <v>189</v>
      </c>
      <c r="E217" s="4">
        <v>17</v>
      </c>
      <c r="F217" s="4">
        <v>0.9</v>
      </c>
      <c r="G217" s="4">
        <v>0.4</v>
      </c>
      <c r="H217" s="144" t="s">
        <v>342</v>
      </c>
      <c r="I217" s="117" t="s">
        <v>343</v>
      </c>
      <c r="K217" s="4" t="s">
        <v>191</v>
      </c>
      <c r="L217" s="4">
        <f t="shared" ref="L217:Q217" si="5">B6</f>
        <v>0.06</v>
      </c>
      <c r="M217" s="4">
        <f t="shared" si="5"/>
        <v>0.06</v>
      </c>
      <c r="N217" s="4" t="str">
        <f t="shared" si="5"/>
        <v>[€/kWh]</v>
      </c>
      <c r="O217" s="4">
        <f t="shared" si="5"/>
        <v>17</v>
      </c>
      <c r="P217" s="4">
        <f t="shared" si="5"/>
        <v>0.9</v>
      </c>
      <c r="Q217" s="4">
        <f t="shared" si="5"/>
        <v>0.4</v>
      </c>
      <c r="R217" s="144" t="s">
        <v>236</v>
      </c>
      <c r="S217" s="118" t="s">
        <v>344</v>
      </c>
    </row>
    <row r="218" spans="1:47" x14ac:dyDescent="0.25">
      <c r="A218" s="4" t="s">
        <v>194</v>
      </c>
      <c r="B218" s="4">
        <v>25</v>
      </c>
      <c r="C218" s="4">
        <v>25</v>
      </c>
      <c r="D218" s="4" t="s">
        <v>165</v>
      </c>
      <c r="E218" s="4">
        <v>17</v>
      </c>
      <c r="F218" s="4">
        <v>0.9</v>
      </c>
      <c r="G218" s="4">
        <v>0.4</v>
      </c>
      <c r="H218" s="144" t="s">
        <v>166</v>
      </c>
      <c r="I218" s="117" t="s">
        <v>198</v>
      </c>
      <c r="K218" s="4" t="s">
        <v>197</v>
      </c>
      <c r="L218" s="150">
        <v>0</v>
      </c>
      <c r="M218" s="150">
        <v>0</v>
      </c>
      <c r="N218" s="4" t="s">
        <v>180</v>
      </c>
      <c r="O218" s="4">
        <v>17</v>
      </c>
      <c r="P218" s="4">
        <v>0.9</v>
      </c>
      <c r="Q218" s="4">
        <v>0.4</v>
      </c>
      <c r="R218" s="144" t="s">
        <v>166</v>
      </c>
      <c r="S218" s="117" t="s">
        <v>198</v>
      </c>
    </row>
    <row r="219" spans="1:47" x14ac:dyDescent="0.25">
      <c r="A219" s="4" t="s">
        <v>199</v>
      </c>
      <c r="B219" s="4">
        <f>(100000*(1+(15380-15380)/15380)/118231)</f>
        <v>0.8458018624557011</v>
      </c>
      <c r="C219" s="4">
        <f>(100000*(1+(15380-15380)/15380)/118231)</f>
        <v>0.8458018624557011</v>
      </c>
      <c r="D219" s="4" t="s">
        <v>200</v>
      </c>
      <c r="E219" s="4">
        <v>17</v>
      </c>
      <c r="F219" s="4">
        <v>0.9</v>
      </c>
      <c r="G219" s="4">
        <v>0.4</v>
      </c>
      <c r="H219" s="144" t="s">
        <v>181</v>
      </c>
      <c r="I219" s="117" t="s">
        <v>345</v>
      </c>
      <c r="K219" s="4" t="s">
        <v>203</v>
      </c>
      <c r="L219" s="150">
        <v>0.06</v>
      </c>
      <c r="M219" s="150">
        <v>0.06</v>
      </c>
      <c r="N219" s="4" t="s">
        <v>180</v>
      </c>
      <c r="O219" s="4">
        <v>17</v>
      </c>
      <c r="P219" s="4">
        <v>0.9</v>
      </c>
      <c r="Q219" s="4">
        <v>0.4</v>
      </c>
      <c r="R219" s="144" t="s">
        <v>166</v>
      </c>
      <c r="S219" s="117" t="s">
        <v>198</v>
      </c>
      <c r="W219" s="4" t="s">
        <v>149</v>
      </c>
      <c r="X219" s="4" t="s">
        <v>204</v>
      </c>
    </row>
    <row r="220" spans="1:47" x14ac:dyDescent="0.25">
      <c r="E220" s="4">
        <f>100000/118231</f>
        <v>0.8458018624557011</v>
      </c>
      <c r="I220" s="117"/>
      <c r="K220" s="4" t="s">
        <v>205</v>
      </c>
      <c r="L220" s="4">
        <f>X216</f>
        <v>0</v>
      </c>
      <c r="M220" s="4">
        <f>Y216</f>
        <v>0</v>
      </c>
      <c r="N220" s="4" t="s">
        <v>200</v>
      </c>
      <c r="O220" s="4">
        <f>$E$4</f>
        <v>17</v>
      </c>
      <c r="P220" s="4">
        <f>$F$4</f>
        <v>0.9</v>
      </c>
      <c r="Q220" s="4">
        <f>$G$4</f>
        <v>0.4</v>
      </c>
      <c r="R220" s="144" t="s">
        <v>346</v>
      </c>
      <c r="S220" s="118" t="s">
        <v>347</v>
      </c>
      <c r="W220" s="4" t="s">
        <v>88</v>
      </c>
      <c r="X220" s="4" t="s">
        <v>348</v>
      </c>
    </row>
    <row r="221" spans="1:47" x14ac:dyDescent="0.25">
      <c r="I221" s="117"/>
      <c r="S221" s="117"/>
      <c r="W221" s="4" t="s">
        <v>181</v>
      </c>
      <c r="X221" s="4" t="s">
        <v>209</v>
      </c>
    </row>
    <row r="222" spans="1:47" x14ac:dyDescent="0.25">
      <c r="E222" s="4" t="s">
        <v>129</v>
      </c>
      <c r="H222" s="4" t="s">
        <v>130</v>
      </c>
      <c r="I222" s="117"/>
      <c r="O222" s="4" t="s">
        <v>129</v>
      </c>
      <c r="R222" s="4" t="s">
        <v>130</v>
      </c>
      <c r="W222" s="4" t="s">
        <v>166</v>
      </c>
      <c r="X222" s="4" t="s">
        <v>213</v>
      </c>
    </row>
    <row r="223" spans="1:47" x14ac:dyDescent="0.25">
      <c r="A223" s="25" t="s">
        <v>349</v>
      </c>
      <c r="B223" s="4">
        <v>2023</v>
      </c>
      <c r="C223" s="4">
        <v>2050</v>
      </c>
      <c r="D223" s="4" t="s">
        <v>86</v>
      </c>
      <c r="E223" s="4" t="s">
        <v>87</v>
      </c>
      <c r="F223" s="4" t="s">
        <v>88</v>
      </c>
      <c r="G223" s="4" t="s">
        <v>89</v>
      </c>
      <c r="I223" s="117"/>
      <c r="K223" s="25" t="s">
        <v>102</v>
      </c>
      <c r="L223" s="4">
        <v>2023</v>
      </c>
      <c r="M223" s="4">
        <v>2050</v>
      </c>
      <c r="N223" s="4" t="s">
        <v>86</v>
      </c>
      <c r="O223" s="4" t="s">
        <v>87</v>
      </c>
      <c r="P223" s="4" t="s">
        <v>88</v>
      </c>
      <c r="Q223" s="4" t="s">
        <v>89</v>
      </c>
      <c r="W223" s="4" t="s">
        <v>201</v>
      </c>
      <c r="X223" s="4" t="s">
        <v>217</v>
      </c>
    </row>
    <row r="224" spans="1:47" x14ac:dyDescent="0.25">
      <c r="A224" s="4" t="s">
        <v>137</v>
      </c>
      <c r="B224" s="113">
        <v>5000000</v>
      </c>
      <c r="C224" s="4">
        <v>5000000</v>
      </c>
      <c r="D224" s="4" t="s">
        <v>138</v>
      </c>
      <c r="E224" s="4">
        <v>17</v>
      </c>
      <c r="F224" s="4">
        <v>0.9</v>
      </c>
      <c r="G224" s="4">
        <v>0.4</v>
      </c>
      <c r="H224" s="144" t="s">
        <v>329</v>
      </c>
      <c r="I224" s="118" t="s">
        <v>330</v>
      </c>
      <c r="K224" s="4" t="s">
        <v>141</v>
      </c>
      <c r="L224" s="4">
        <v>15000000</v>
      </c>
      <c r="M224" s="4">
        <v>15000000</v>
      </c>
      <c r="N224" s="4" t="s">
        <v>138</v>
      </c>
      <c r="O224" s="4">
        <v>17</v>
      </c>
      <c r="P224" s="4">
        <v>0.9</v>
      </c>
      <c r="Q224" s="4">
        <v>0.4</v>
      </c>
      <c r="R224" s="144" t="s">
        <v>350</v>
      </c>
      <c r="S224" s="117" t="s">
        <v>332</v>
      </c>
      <c r="W224" s="4" t="s">
        <v>195</v>
      </c>
      <c r="X224" s="4" t="s">
        <v>351</v>
      </c>
    </row>
    <row r="225" spans="1:24" x14ac:dyDescent="0.25">
      <c r="A225" s="4" t="s">
        <v>148</v>
      </c>
      <c r="B225" s="4">
        <f>-B224*0.1</f>
        <v>-500000</v>
      </c>
      <c r="C225" s="4">
        <f>-C224*0.1</f>
        <v>-500000</v>
      </c>
      <c r="D225" s="4" t="s">
        <v>138</v>
      </c>
      <c r="E225" s="4">
        <v>17</v>
      </c>
      <c r="F225" s="4">
        <v>0.9</v>
      </c>
      <c r="G225" s="4">
        <v>0.4</v>
      </c>
      <c r="H225" s="144" t="s">
        <v>329</v>
      </c>
      <c r="I225" s="117" t="s">
        <v>333</v>
      </c>
      <c r="K225" s="4" t="s">
        <v>151</v>
      </c>
      <c r="L225" s="4">
        <f>-L224*0.1</f>
        <v>-1500000</v>
      </c>
      <c r="M225" s="4">
        <f>-M224*0.05</f>
        <v>-750000</v>
      </c>
      <c r="N225" s="4" t="s">
        <v>138</v>
      </c>
      <c r="O225" s="4">
        <v>17</v>
      </c>
      <c r="P225" s="4">
        <v>0.9</v>
      </c>
      <c r="Q225" s="4">
        <v>0.4</v>
      </c>
      <c r="R225" s="144" t="s">
        <v>149</v>
      </c>
      <c r="S225" s="117" t="s">
        <v>334</v>
      </c>
      <c r="W225" s="4" t="s">
        <v>218</v>
      </c>
      <c r="X225" s="4" t="s">
        <v>286</v>
      </c>
    </row>
    <row r="226" spans="1:24" x14ac:dyDescent="0.25">
      <c r="A226" s="4" t="s">
        <v>160</v>
      </c>
      <c r="B226" s="4">
        <f>(793000+106000+128000)/0.85</f>
        <v>1208235.294117647</v>
      </c>
      <c r="C226" s="4">
        <f>(793000+106000+128000)/0.85</f>
        <v>1208235.294117647</v>
      </c>
      <c r="D226" s="4" t="s">
        <v>161</v>
      </c>
      <c r="E226" s="4">
        <v>17</v>
      </c>
      <c r="F226" s="4">
        <v>0.9</v>
      </c>
      <c r="G226" s="4">
        <v>0.4</v>
      </c>
      <c r="H226" s="144" t="s">
        <v>335</v>
      </c>
      <c r="I226" s="117" t="s">
        <v>336</v>
      </c>
      <c r="K226" s="4" t="s">
        <v>164</v>
      </c>
      <c r="L226" s="4">
        <v>25</v>
      </c>
      <c r="M226" s="4">
        <v>25</v>
      </c>
      <c r="N226" s="4" t="s">
        <v>165</v>
      </c>
      <c r="O226" s="4">
        <v>17</v>
      </c>
      <c r="P226" s="4">
        <v>0.9</v>
      </c>
      <c r="Q226" s="4">
        <v>0.4</v>
      </c>
      <c r="R226" s="144" t="s">
        <v>166</v>
      </c>
      <c r="S226" s="117" t="s">
        <v>198</v>
      </c>
      <c r="W226" s="4" t="s">
        <v>221</v>
      </c>
      <c r="X226" s="4" t="s">
        <v>227</v>
      </c>
    </row>
    <row r="227" spans="1:24" x14ac:dyDescent="0.25">
      <c r="A227" s="4" t="s">
        <v>171</v>
      </c>
      <c r="B227" s="4">
        <v>9450</v>
      </c>
      <c r="C227" s="4">
        <v>9450</v>
      </c>
      <c r="D227" s="4" t="s">
        <v>172</v>
      </c>
      <c r="E227" s="4">
        <v>17</v>
      </c>
      <c r="F227" s="4">
        <v>0.9</v>
      </c>
      <c r="G227" s="4">
        <v>0.4</v>
      </c>
      <c r="H227" s="144" t="s">
        <v>337</v>
      </c>
      <c r="I227" s="117" t="s">
        <v>338</v>
      </c>
      <c r="K227" s="4" t="s">
        <v>175</v>
      </c>
      <c r="L227" s="4">
        <f>(84000+127000+122000+82000)/0.85</f>
        <v>488235.29411764705</v>
      </c>
      <c r="M227" s="4">
        <f>(84000+127000+122000+82000)/0.85</f>
        <v>488235.29411764705</v>
      </c>
      <c r="N227" s="4" t="s">
        <v>161</v>
      </c>
      <c r="O227" s="4">
        <v>17</v>
      </c>
      <c r="P227" s="4">
        <v>0.9</v>
      </c>
      <c r="Q227" s="4">
        <v>0.4</v>
      </c>
      <c r="R227" s="144" t="s">
        <v>88</v>
      </c>
      <c r="S227" s="117" t="s">
        <v>339</v>
      </c>
      <c r="W227" s="4" t="s">
        <v>223</v>
      </c>
      <c r="X227" s="4" t="s">
        <v>147</v>
      </c>
    </row>
    <row r="228" spans="1:24" x14ac:dyDescent="0.25">
      <c r="A228" s="4" t="s">
        <v>179</v>
      </c>
      <c r="B228" s="150">
        <f>43%/C206</f>
        <v>0.57333333333333336</v>
      </c>
      <c r="C228" s="150">
        <f>43%/C206</f>
        <v>0.57333333333333336</v>
      </c>
      <c r="D228" s="4" t="s">
        <v>180</v>
      </c>
      <c r="E228" s="4">
        <v>17</v>
      </c>
      <c r="F228" s="4">
        <v>0.9</v>
      </c>
      <c r="G228" s="4">
        <v>0.4</v>
      </c>
      <c r="H228" s="144" t="s">
        <v>181</v>
      </c>
      <c r="I228" s="117" t="s">
        <v>352</v>
      </c>
      <c r="K228" s="4" t="s">
        <v>183</v>
      </c>
      <c r="L228" s="4">
        <v>647</v>
      </c>
      <c r="M228" s="4">
        <v>600</v>
      </c>
      <c r="N228" s="4" t="s">
        <v>184</v>
      </c>
      <c r="O228" s="4">
        <v>17</v>
      </c>
      <c r="P228" s="4">
        <v>0.9</v>
      </c>
      <c r="Q228" s="4">
        <v>0.4</v>
      </c>
      <c r="R228" s="144" t="s">
        <v>166</v>
      </c>
      <c r="S228" s="117" t="s">
        <v>341</v>
      </c>
      <c r="W228" s="4" t="s">
        <v>226</v>
      </c>
      <c r="X228" s="4" t="s">
        <v>159</v>
      </c>
    </row>
    <row r="229" spans="1:24" x14ac:dyDescent="0.25">
      <c r="A229" s="4" t="s">
        <v>188</v>
      </c>
      <c r="B229" s="4">
        <v>120000</v>
      </c>
      <c r="C229" s="4">
        <v>120000</v>
      </c>
      <c r="D229" s="4" t="s">
        <v>189</v>
      </c>
      <c r="E229" s="4">
        <v>17</v>
      </c>
      <c r="F229" s="4">
        <v>0.9</v>
      </c>
      <c r="G229" s="4">
        <v>0.4</v>
      </c>
      <c r="H229" s="144" t="s">
        <v>342</v>
      </c>
      <c r="I229" s="117" t="s">
        <v>343</v>
      </c>
      <c r="K229" s="4" t="s">
        <v>191</v>
      </c>
      <c r="L229" s="4">
        <f t="shared" ref="L229:Q229" si="6">B7</f>
        <v>3.1399999999999997E-2</v>
      </c>
      <c r="M229" s="4">
        <f t="shared" si="6"/>
        <v>3.1399999999999997E-2</v>
      </c>
      <c r="N229" s="4" t="str">
        <f t="shared" si="6"/>
        <v>[€/kWh]</v>
      </c>
      <c r="O229" s="4">
        <f t="shared" si="6"/>
        <v>17</v>
      </c>
      <c r="P229" s="4">
        <f t="shared" si="6"/>
        <v>0.9</v>
      </c>
      <c r="Q229" s="4">
        <f t="shared" si="6"/>
        <v>0.4</v>
      </c>
      <c r="R229" s="144" t="s">
        <v>166</v>
      </c>
      <c r="S229" s="118" t="s">
        <v>353</v>
      </c>
      <c r="W229" s="4" t="s">
        <v>89</v>
      </c>
      <c r="X229" s="4" t="s">
        <v>283</v>
      </c>
    </row>
    <row r="230" spans="1:24" x14ac:dyDescent="0.25">
      <c r="A230" s="4" t="s">
        <v>194</v>
      </c>
      <c r="B230" s="4">
        <v>25</v>
      </c>
      <c r="C230" s="4">
        <v>25</v>
      </c>
      <c r="D230" s="4" t="s">
        <v>165</v>
      </c>
      <c r="E230" s="4">
        <v>17</v>
      </c>
      <c r="F230" s="4">
        <v>0.9</v>
      </c>
      <c r="G230" s="4">
        <v>0.4</v>
      </c>
      <c r="H230" s="144" t="s">
        <v>166</v>
      </c>
      <c r="I230" s="117" t="s">
        <v>198</v>
      </c>
      <c r="K230" s="4" t="s">
        <v>197</v>
      </c>
      <c r="L230" s="150">
        <v>0</v>
      </c>
      <c r="M230" s="150">
        <v>0</v>
      </c>
      <c r="N230" s="4" t="s">
        <v>180</v>
      </c>
      <c r="O230" s="4">
        <v>17</v>
      </c>
      <c r="P230" s="4">
        <v>0.9</v>
      </c>
      <c r="Q230" s="4">
        <v>0.4</v>
      </c>
      <c r="R230" s="144" t="s">
        <v>166</v>
      </c>
      <c r="S230" s="117" t="s">
        <v>198</v>
      </c>
      <c r="W230" s="4" t="s">
        <v>192</v>
      </c>
      <c r="X230" s="4" t="s">
        <v>354</v>
      </c>
    </row>
    <row r="231" spans="1:24" x14ac:dyDescent="0.25">
      <c r="A231" s="4" t="s">
        <v>199</v>
      </c>
      <c r="B231" s="4">
        <f>(100000*(1+(30707-15380)/15380)/118231)</f>
        <v>1.6886890630966982</v>
      </c>
      <c r="C231" s="4">
        <f>(100000*(1+(30707-15380)/15380)/118231)</f>
        <v>1.6886890630966982</v>
      </c>
      <c r="D231" s="4" t="s">
        <v>200</v>
      </c>
      <c r="E231" s="4">
        <v>17</v>
      </c>
      <c r="F231" s="4">
        <v>0.9</v>
      </c>
      <c r="G231" s="4">
        <v>0.4</v>
      </c>
      <c r="H231" s="144" t="s">
        <v>181</v>
      </c>
      <c r="I231" s="117" t="s">
        <v>345</v>
      </c>
      <c r="K231" s="4" t="s">
        <v>203</v>
      </c>
      <c r="L231" s="150">
        <v>0.06</v>
      </c>
      <c r="M231" s="150">
        <v>0.06</v>
      </c>
      <c r="N231" s="4" t="s">
        <v>180</v>
      </c>
      <c r="O231" s="4">
        <v>17</v>
      </c>
      <c r="P231" s="4">
        <v>0.9</v>
      </c>
      <c r="Q231" s="4">
        <v>0.4</v>
      </c>
      <c r="R231" s="144" t="s">
        <v>166</v>
      </c>
      <c r="S231" s="117" t="s">
        <v>198</v>
      </c>
      <c r="W231" s="4" t="s">
        <v>234</v>
      </c>
      <c r="X231" s="4" t="s">
        <v>355</v>
      </c>
    </row>
    <row r="232" spans="1:24" x14ac:dyDescent="0.25">
      <c r="I232" s="117"/>
      <c r="K232" s="4" t="s">
        <v>205</v>
      </c>
      <c r="L232" s="4">
        <f>AC216</f>
        <v>0</v>
      </c>
      <c r="M232" s="4">
        <f>AD216</f>
        <v>0</v>
      </c>
      <c r="N232" s="4" t="s">
        <v>200</v>
      </c>
      <c r="O232" s="4">
        <f>$E$4</f>
        <v>17</v>
      </c>
      <c r="P232" s="4">
        <f>$F$4</f>
        <v>0.9</v>
      </c>
      <c r="Q232" s="4">
        <f>$G$4</f>
        <v>0.4</v>
      </c>
      <c r="R232" s="144" t="s">
        <v>346</v>
      </c>
      <c r="S232" s="118" t="s">
        <v>356</v>
      </c>
      <c r="W232" s="4" t="s">
        <v>236</v>
      </c>
      <c r="X232" s="4" t="s">
        <v>357</v>
      </c>
    </row>
    <row r="233" spans="1:24" x14ac:dyDescent="0.25">
      <c r="I233" s="117"/>
    </row>
    <row r="234" spans="1:24" x14ac:dyDescent="0.25">
      <c r="E234" s="4" t="s">
        <v>129</v>
      </c>
      <c r="H234" s="4" t="s">
        <v>130</v>
      </c>
      <c r="I234" s="117"/>
    </row>
    <row r="235" spans="1:24" x14ac:dyDescent="0.25">
      <c r="A235" s="25" t="s">
        <v>358</v>
      </c>
      <c r="B235" s="4">
        <v>2023</v>
      </c>
      <c r="C235" s="4">
        <v>2050</v>
      </c>
      <c r="D235" s="4" t="s">
        <v>86</v>
      </c>
      <c r="E235" s="4" t="s">
        <v>87</v>
      </c>
      <c r="F235" s="4" t="s">
        <v>88</v>
      </c>
      <c r="G235" s="4" t="s">
        <v>89</v>
      </c>
      <c r="I235" s="117"/>
      <c r="O235" s="4" t="s">
        <v>129</v>
      </c>
      <c r="R235" s="4" t="s">
        <v>130</v>
      </c>
      <c r="S235" s="117"/>
    </row>
    <row r="236" spans="1:24" x14ac:dyDescent="0.25">
      <c r="A236" s="4" t="s">
        <v>137</v>
      </c>
      <c r="B236" s="113">
        <v>1000000</v>
      </c>
      <c r="C236" s="4">
        <v>1000000</v>
      </c>
      <c r="D236" s="4" t="s">
        <v>138</v>
      </c>
      <c r="E236" s="4">
        <v>17</v>
      </c>
      <c r="F236" s="4">
        <v>0.9</v>
      </c>
      <c r="G236" s="4">
        <v>0.4</v>
      </c>
      <c r="H236" s="144" t="s">
        <v>329</v>
      </c>
      <c r="I236" s="118" t="s">
        <v>330</v>
      </c>
      <c r="K236" s="25" t="s">
        <v>95</v>
      </c>
      <c r="L236" s="4">
        <v>2023</v>
      </c>
      <c r="M236" s="4">
        <v>2050</v>
      </c>
      <c r="N236" s="4" t="s">
        <v>86</v>
      </c>
      <c r="O236" s="4" t="s">
        <v>87</v>
      </c>
      <c r="P236" s="4" t="s">
        <v>88</v>
      </c>
      <c r="Q236" s="4" t="s">
        <v>89</v>
      </c>
      <c r="S236" s="117"/>
    </row>
    <row r="237" spans="1:24" x14ac:dyDescent="0.25">
      <c r="A237" s="4" t="s">
        <v>148</v>
      </c>
      <c r="B237" s="4">
        <f>-B236*0.1</f>
        <v>-100000</v>
      </c>
      <c r="C237" s="4">
        <f>-C236*0.1</f>
        <v>-100000</v>
      </c>
      <c r="D237" s="4" t="s">
        <v>138</v>
      </c>
      <c r="E237" s="4">
        <v>17</v>
      </c>
      <c r="F237" s="4">
        <v>0.9</v>
      </c>
      <c r="G237" s="4">
        <v>0.4</v>
      </c>
      <c r="H237" s="144" t="s">
        <v>329</v>
      </c>
      <c r="I237" s="117" t="s">
        <v>333</v>
      </c>
      <c r="K237" s="4" t="s">
        <v>141</v>
      </c>
      <c r="L237" s="4">
        <f>L212*2</f>
        <v>30000000</v>
      </c>
      <c r="M237" s="4">
        <f>M212*1.3</f>
        <v>19500000</v>
      </c>
      <c r="N237" s="4" t="s">
        <v>138</v>
      </c>
      <c r="O237" s="4">
        <v>17</v>
      </c>
      <c r="P237" s="4">
        <v>0.9</v>
      </c>
      <c r="Q237" s="4">
        <v>0.4</v>
      </c>
      <c r="R237" s="144" t="s">
        <v>359</v>
      </c>
      <c r="S237" s="117" t="s">
        <v>360</v>
      </c>
    </row>
    <row r="238" spans="1:24" x14ac:dyDescent="0.25">
      <c r="A238" s="4" t="s">
        <v>160</v>
      </c>
      <c r="B238" s="4">
        <f>(793000+106000+128000)/0.85</f>
        <v>1208235.294117647</v>
      </c>
      <c r="C238" s="4">
        <f>(793000+106000+128000)/0.85</f>
        <v>1208235.294117647</v>
      </c>
      <c r="D238" s="4" t="s">
        <v>161</v>
      </c>
      <c r="E238" s="4">
        <v>17</v>
      </c>
      <c r="F238" s="4">
        <v>0.9</v>
      </c>
      <c r="G238" s="4">
        <v>0.4</v>
      </c>
      <c r="H238" s="144" t="s">
        <v>335</v>
      </c>
      <c r="I238" s="117" t="s">
        <v>336</v>
      </c>
      <c r="K238" s="4" t="s">
        <v>151</v>
      </c>
      <c r="L238" s="4">
        <f>-L237*0.05</f>
        <v>-1500000</v>
      </c>
      <c r="M238" s="4">
        <f>-M237*0.1</f>
        <v>-1950000</v>
      </c>
      <c r="N238" s="4" t="s">
        <v>138</v>
      </c>
      <c r="O238" s="4">
        <v>17</v>
      </c>
      <c r="P238" s="4">
        <v>0.9</v>
      </c>
      <c r="Q238" s="4">
        <v>0.4</v>
      </c>
      <c r="R238" s="144" t="s">
        <v>149</v>
      </c>
      <c r="S238" s="117" t="s">
        <v>361</v>
      </c>
    </row>
    <row r="239" spans="1:24" x14ac:dyDescent="0.25">
      <c r="A239" s="4" t="s">
        <v>171</v>
      </c>
      <c r="B239" s="4">
        <v>9450</v>
      </c>
      <c r="C239" s="4">
        <v>9450</v>
      </c>
      <c r="D239" s="4" t="s">
        <v>172</v>
      </c>
      <c r="E239" s="4">
        <v>17</v>
      </c>
      <c r="F239" s="4">
        <v>0.9</v>
      </c>
      <c r="G239" s="4">
        <v>0.4</v>
      </c>
      <c r="H239" s="144" t="s">
        <v>337</v>
      </c>
      <c r="I239" s="117" t="s">
        <v>338</v>
      </c>
      <c r="K239" s="4" t="s">
        <v>164</v>
      </c>
      <c r="L239" s="4">
        <v>25</v>
      </c>
      <c r="M239" s="4">
        <v>25</v>
      </c>
      <c r="N239" s="4" t="s">
        <v>165</v>
      </c>
      <c r="O239" s="4">
        <v>17</v>
      </c>
      <c r="P239" s="4">
        <v>0.9</v>
      </c>
      <c r="Q239" s="4">
        <v>0.4</v>
      </c>
      <c r="R239" s="144" t="s">
        <v>166</v>
      </c>
      <c r="S239" s="117" t="s">
        <v>198</v>
      </c>
    </row>
    <row r="240" spans="1:24" x14ac:dyDescent="0.25">
      <c r="A240" s="4" t="s">
        <v>179</v>
      </c>
      <c r="B240" s="150">
        <f>39%/C206</f>
        <v>0.52</v>
      </c>
      <c r="C240" s="150">
        <f>39%/C206</f>
        <v>0.52</v>
      </c>
      <c r="D240" s="4" t="s">
        <v>180</v>
      </c>
      <c r="E240" s="4">
        <v>17</v>
      </c>
      <c r="F240" s="4">
        <v>0.9</v>
      </c>
      <c r="G240" s="4">
        <v>0.4</v>
      </c>
      <c r="H240" s="144" t="s">
        <v>181</v>
      </c>
      <c r="I240" s="117" t="s">
        <v>362</v>
      </c>
      <c r="K240" s="4" t="s">
        <v>175</v>
      </c>
      <c r="L240" s="4">
        <f>(84000+122000+82000)/0.85</f>
        <v>338823.5294117647</v>
      </c>
      <c r="M240" s="4">
        <f>(84000+122000+82000)/0.85</f>
        <v>338823.5294117647</v>
      </c>
      <c r="N240" s="4" t="s">
        <v>161</v>
      </c>
      <c r="O240" s="4">
        <v>17</v>
      </c>
      <c r="P240" s="4">
        <v>0.9</v>
      </c>
      <c r="Q240" s="4">
        <v>0.4</v>
      </c>
      <c r="R240" s="144" t="s">
        <v>88</v>
      </c>
      <c r="S240" s="117" t="s">
        <v>363</v>
      </c>
    </row>
    <row r="241" spans="1:19" x14ac:dyDescent="0.25">
      <c r="A241" s="4" t="s">
        <v>188</v>
      </c>
      <c r="B241" s="4">
        <v>120000</v>
      </c>
      <c r="C241" s="4">
        <v>120000</v>
      </c>
      <c r="D241" s="4" t="s">
        <v>189</v>
      </c>
      <c r="E241" s="4">
        <v>17</v>
      </c>
      <c r="F241" s="4">
        <v>0.9</v>
      </c>
      <c r="G241" s="4">
        <v>0.4</v>
      </c>
      <c r="H241" s="144" t="s">
        <v>342</v>
      </c>
      <c r="I241" s="117" t="s">
        <v>343</v>
      </c>
      <c r="K241" s="4" t="s">
        <v>183</v>
      </c>
      <c r="L241" s="4">
        <v>589</v>
      </c>
      <c r="M241" s="4">
        <v>519</v>
      </c>
      <c r="N241" s="4" t="s">
        <v>184</v>
      </c>
      <c r="O241" s="4">
        <v>17</v>
      </c>
      <c r="P241" s="4">
        <v>0.9</v>
      </c>
      <c r="Q241" s="4">
        <v>0.4</v>
      </c>
      <c r="R241" s="144" t="s">
        <v>166</v>
      </c>
      <c r="S241" s="117" t="s">
        <v>364</v>
      </c>
    </row>
    <row r="242" spans="1:19" x14ac:dyDescent="0.25">
      <c r="A242" s="4" t="s">
        <v>194</v>
      </c>
      <c r="B242" s="4">
        <v>25</v>
      </c>
      <c r="C242" s="4">
        <v>25</v>
      </c>
      <c r="D242" s="4" t="s">
        <v>165</v>
      </c>
      <c r="E242" s="4">
        <v>17</v>
      </c>
      <c r="F242" s="4">
        <v>0.9</v>
      </c>
      <c r="G242" s="4">
        <v>0.4</v>
      </c>
      <c r="H242" s="144" t="s">
        <v>166</v>
      </c>
      <c r="I242" s="117" t="s">
        <v>198</v>
      </c>
      <c r="K242" s="4" t="s">
        <v>191</v>
      </c>
      <c r="L242" s="65">
        <f t="shared" ref="L242:Q242" si="7">B9</f>
        <v>0.2544561408768215</v>
      </c>
      <c r="M242" s="65">
        <f t="shared" si="7"/>
        <v>0.10949010032952979</v>
      </c>
      <c r="N242" s="65" t="str">
        <f t="shared" si="7"/>
        <v>[€/kWh]</v>
      </c>
      <c r="O242" s="65">
        <f t="shared" si="7"/>
        <v>12</v>
      </c>
      <c r="P242" s="65">
        <f t="shared" si="7"/>
        <v>0.9</v>
      </c>
      <c r="Q242" s="65">
        <f t="shared" si="7"/>
        <v>0.4</v>
      </c>
      <c r="R242" s="144" t="s">
        <v>166</v>
      </c>
      <c r="S242" s="118" t="s">
        <v>244</v>
      </c>
    </row>
    <row r="243" spans="1:19" x14ac:dyDescent="0.25">
      <c r="A243" s="4" t="s">
        <v>199</v>
      </c>
      <c r="B243" s="4">
        <f>(100000*(1+(14780-15380)/15380)/118231)</f>
        <v>0.81280569096848254</v>
      </c>
      <c r="C243" s="4">
        <f>(100000*(1+(14780-15380)/15380)/118231)</f>
        <v>0.81280569096848254</v>
      </c>
      <c r="D243" s="4" t="s">
        <v>200</v>
      </c>
      <c r="E243" s="4">
        <v>17</v>
      </c>
      <c r="F243" s="4">
        <v>0.9</v>
      </c>
      <c r="G243" s="4">
        <v>0.4</v>
      </c>
      <c r="H243" s="144" t="s">
        <v>181</v>
      </c>
      <c r="I243" s="117" t="s">
        <v>345</v>
      </c>
      <c r="K243" s="4" t="s">
        <v>197</v>
      </c>
      <c r="L243" s="150">
        <v>0.1</v>
      </c>
      <c r="M243" s="150">
        <v>0.08</v>
      </c>
      <c r="N243" s="4" t="s">
        <v>180</v>
      </c>
      <c r="O243" s="4">
        <v>17</v>
      </c>
      <c r="P243" s="4">
        <v>0.9</v>
      </c>
      <c r="Q243" s="4">
        <v>0.4</v>
      </c>
      <c r="R243" s="144" t="s">
        <v>234</v>
      </c>
      <c r="S243" s="117" t="s">
        <v>365</v>
      </c>
    </row>
    <row r="244" spans="1:19" x14ac:dyDescent="0.25">
      <c r="I244" s="117"/>
      <c r="K244" s="4" t="s">
        <v>203</v>
      </c>
      <c r="L244" s="150">
        <v>0.06</v>
      </c>
      <c r="M244" s="150">
        <v>0.06</v>
      </c>
      <c r="N244" s="4" t="s">
        <v>180</v>
      </c>
      <c r="O244" s="4">
        <v>17</v>
      </c>
      <c r="P244" s="4">
        <v>0.9</v>
      </c>
      <c r="Q244" s="4">
        <v>0.4</v>
      </c>
      <c r="R244" s="144" t="s">
        <v>166</v>
      </c>
      <c r="S244" s="117" t="s">
        <v>198</v>
      </c>
    </row>
    <row r="245" spans="1:19" x14ac:dyDescent="0.25">
      <c r="I245" s="117"/>
      <c r="K245" s="4" t="s">
        <v>205</v>
      </c>
      <c r="L245" s="4">
        <f>AH216</f>
        <v>0</v>
      </c>
      <c r="M245" s="4">
        <f>AI216</f>
        <v>0</v>
      </c>
      <c r="N245" s="4" t="s">
        <v>200</v>
      </c>
      <c r="O245" s="4">
        <f>$E$4</f>
        <v>17</v>
      </c>
      <c r="P245" s="4">
        <f>$F$4</f>
        <v>0.9</v>
      </c>
      <c r="Q245" s="4">
        <f>$G$4</f>
        <v>0.4</v>
      </c>
      <c r="R245" s="144" t="s">
        <v>366</v>
      </c>
      <c r="S245" s="118" t="s">
        <v>316</v>
      </c>
    </row>
    <row r="246" spans="1:19" x14ac:dyDescent="0.25">
      <c r="I246" s="117"/>
      <c r="S246" s="117"/>
    </row>
    <row r="247" spans="1:19" x14ac:dyDescent="0.25">
      <c r="E247" s="4" t="s">
        <v>129</v>
      </c>
      <c r="H247" s="4" t="s">
        <v>130</v>
      </c>
      <c r="I247" s="117"/>
      <c r="O247" s="4" t="s">
        <v>129</v>
      </c>
      <c r="R247" s="4" t="s">
        <v>130</v>
      </c>
      <c r="S247" s="117"/>
    </row>
    <row r="248" spans="1:19" x14ac:dyDescent="0.25">
      <c r="A248" s="25" t="s">
        <v>367</v>
      </c>
      <c r="B248" s="4">
        <v>2023</v>
      </c>
      <c r="C248" s="4">
        <v>2050</v>
      </c>
      <c r="D248" s="4" t="s">
        <v>86</v>
      </c>
      <c r="E248" s="4" t="s">
        <v>87</v>
      </c>
      <c r="F248" s="4" t="s">
        <v>88</v>
      </c>
      <c r="G248" s="4" t="s">
        <v>89</v>
      </c>
      <c r="I248" s="117"/>
      <c r="K248" s="25" t="s">
        <v>97</v>
      </c>
      <c r="L248" s="4">
        <v>2023</v>
      </c>
      <c r="M248" s="4">
        <v>2050</v>
      </c>
      <c r="N248" s="4" t="s">
        <v>86</v>
      </c>
      <c r="O248" s="4" t="s">
        <v>87</v>
      </c>
      <c r="P248" s="4" t="s">
        <v>88</v>
      </c>
      <c r="Q248" s="4" t="s">
        <v>89</v>
      </c>
      <c r="S248" s="117"/>
    </row>
    <row r="249" spans="1:19" x14ac:dyDescent="0.25">
      <c r="A249" s="4" t="s">
        <v>137</v>
      </c>
      <c r="B249" s="113">
        <v>1000000</v>
      </c>
      <c r="C249" s="4">
        <v>1000000</v>
      </c>
      <c r="D249" s="4" t="s">
        <v>138</v>
      </c>
      <c r="E249" s="4">
        <v>17</v>
      </c>
      <c r="F249" s="4">
        <v>0.9</v>
      </c>
      <c r="G249" s="4">
        <v>0.4</v>
      </c>
      <c r="H249" s="144" t="s">
        <v>329</v>
      </c>
      <c r="I249" s="118" t="s">
        <v>330</v>
      </c>
      <c r="K249" s="4" t="s">
        <v>141</v>
      </c>
      <c r="L249" s="4">
        <f>L212*2</f>
        <v>30000000</v>
      </c>
      <c r="M249" s="4">
        <f>M212*1.2</f>
        <v>18000000</v>
      </c>
      <c r="N249" s="4" t="s">
        <v>138</v>
      </c>
      <c r="O249" s="4">
        <v>17</v>
      </c>
      <c r="P249" s="4">
        <v>0.9</v>
      </c>
      <c r="Q249" s="4">
        <v>0.4</v>
      </c>
      <c r="R249" s="144" t="s">
        <v>350</v>
      </c>
      <c r="S249" s="117" t="s">
        <v>360</v>
      </c>
    </row>
    <row r="250" spans="1:19" x14ac:dyDescent="0.25">
      <c r="A250" s="4" t="s">
        <v>148</v>
      </c>
      <c r="B250" s="4">
        <f>-B249*0.1</f>
        <v>-100000</v>
      </c>
      <c r="C250" s="4">
        <f>-C249*0.1</f>
        <v>-100000</v>
      </c>
      <c r="D250" s="4" t="s">
        <v>138</v>
      </c>
      <c r="E250" s="4">
        <v>17</v>
      </c>
      <c r="F250" s="4">
        <v>0.9</v>
      </c>
      <c r="G250" s="4">
        <v>0.4</v>
      </c>
      <c r="H250" s="144" t="s">
        <v>329</v>
      </c>
      <c r="I250" s="117" t="s">
        <v>333</v>
      </c>
      <c r="K250" s="4" t="s">
        <v>151</v>
      </c>
      <c r="L250" s="4">
        <f>-L249*0.05</f>
        <v>-1500000</v>
      </c>
      <c r="M250" s="4">
        <f>-M249*0.1</f>
        <v>-1800000</v>
      </c>
      <c r="N250" s="4" t="s">
        <v>138</v>
      </c>
      <c r="O250" s="4">
        <v>17</v>
      </c>
      <c r="P250" s="4">
        <v>0.9</v>
      </c>
      <c r="Q250" s="4">
        <v>0.4</v>
      </c>
      <c r="R250" s="144" t="s">
        <v>149</v>
      </c>
      <c r="S250" s="117" t="s">
        <v>361</v>
      </c>
    </row>
    <row r="251" spans="1:19" x14ac:dyDescent="0.25">
      <c r="A251" s="4" t="s">
        <v>160</v>
      </c>
      <c r="B251" s="4">
        <f>(793000+106000+128000)/0.85</f>
        <v>1208235.294117647</v>
      </c>
      <c r="C251" s="4">
        <f>(793000+106000+128000)/0.85</f>
        <v>1208235.294117647</v>
      </c>
      <c r="D251" s="4" t="s">
        <v>161</v>
      </c>
      <c r="E251" s="4">
        <v>17</v>
      </c>
      <c r="F251" s="4">
        <v>0.9</v>
      </c>
      <c r="G251" s="4">
        <v>0.4</v>
      </c>
      <c r="H251" s="144" t="s">
        <v>335</v>
      </c>
      <c r="I251" s="117" t="s">
        <v>336</v>
      </c>
      <c r="K251" s="4" t="s">
        <v>164</v>
      </c>
      <c r="L251" s="4">
        <v>25</v>
      </c>
      <c r="M251" s="4">
        <v>25</v>
      </c>
      <c r="N251" s="4" t="s">
        <v>165</v>
      </c>
      <c r="O251" s="4">
        <v>17</v>
      </c>
      <c r="P251" s="4">
        <v>0.9</v>
      </c>
      <c r="Q251" s="4">
        <v>0.4</v>
      </c>
      <c r="R251" s="144" t="s">
        <v>166</v>
      </c>
      <c r="S251" s="117" t="s">
        <v>198</v>
      </c>
    </row>
    <row r="252" spans="1:19" x14ac:dyDescent="0.25">
      <c r="A252" s="4" t="s">
        <v>171</v>
      </c>
      <c r="B252" s="4">
        <v>9450</v>
      </c>
      <c r="C252" s="4">
        <v>9450</v>
      </c>
      <c r="D252" s="4" t="s">
        <v>172</v>
      </c>
      <c r="E252" s="4">
        <v>17</v>
      </c>
      <c r="F252" s="4">
        <v>0.9</v>
      </c>
      <c r="G252" s="4">
        <v>0.4</v>
      </c>
      <c r="H252" s="144" t="s">
        <v>337</v>
      </c>
      <c r="I252" s="117" t="s">
        <v>338</v>
      </c>
      <c r="K252" s="4" t="s">
        <v>175</v>
      </c>
      <c r="L252" s="4">
        <f>(84000+122000+82000)/0.85</f>
        <v>338823.5294117647</v>
      </c>
      <c r="M252" s="4">
        <f>(84000+122000+82000)/0.85</f>
        <v>338823.5294117647</v>
      </c>
      <c r="N252" s="4" t="s">
        <v>161</v>
      </c>
      <c r="O252" s="4">
        <v>17</v>
      </c>
      <c r="P252" s="4">
        <v>0.9</v>
      </c>
      <c r="Q252" s="4">
        <v>0.4</v>
      </c>
      <c r="R252" s="144" t="s">
        <v>88</v>
      </c>
      <c r="S252" s="117" t="s">
        <v>363</v>
      </c>
    </row>
    <row r="253" spans="1:19" x14ac:dyDescent="0.25">
      <c r="A253" s="4" t="s">
        <v>179</v>
      </c>
      <c r="B253" s="150">
        <f>51%/C206</f>
        <v>0.68</v>
      </c>
      <c r="C253" s="150">
        <f>51%/C206</f>
        <v>0.68</v>
      </c>
      <c r="D253" s="4" t="s">
        <v>180</v>
      </c>
      <c r="E253" s="4">
        <v>17</v>
      </c>
      <c r="F253" s="4">
        <v>0.9</v>
      </c>
      <c r="G253" s="4">
        <v>0.4</v>
      </c>
      <c r="H253" s="144" t="s">
        <v>181</v>
      </c>
      <c r="I253" s="117" t="s">
        <v>368</v>
      </c>
      <c r="K253" s="4" t="s">
        <v>183</v>
      </c>
      <c r="L253" s="4">
        <v>589</v>
      </c>
      <c r="M253" s="4">
        <v>519</v>
      </c>
      <c r="N253" s="4" t="s">
        <v>184</v>
      </c>
      <c r="O253" s="4">
        <v>17</v>
      </c>
      <c r="P253" s="4">
        <v>0.9</v>
      </c>
      <c r="Q253" s="4">
        <v>0.4</v>
      </c>
      <c r="R253" s="144" t="s">
        <v>166</v>
      </c>
      <c r="S253" s="117" t="s">
        <v>364</v>
      </c>
    </row>
    <row r="254" spans="1:19" x14ac:dyDescent="0.25">
      <c r="A254" s="4" t="s">
        <v>188</v>
      </c>
      <c r="B254" s="4">
        <v>120000</v>
      </c>
      <c r="C254" s="4">
        <v>120000</v>
      </c>
      <c r="D254" s="4" t="s">
        <v>189</v>
      </c>
      <c r="E254" s="4">
        <v>17</v>
      </c>
      <c r="F254" s="4">
        <v>0.9</v>
      </c>
      <c r="G254" s="4">
        <v>0.4</v>
      </c>
      <c r="H254" s="144" t="s">
        <v>342</v>
      </c>
      <c r="I254" s="117" t="s">
        <v>343</v>
      </c>
      <c r="K254" s="4" t="s">
        <v>191</v>
      </c>
      <c r="L254" s="4">
        <f t="shared" ref="L254:Q254" si="8">B10</f>
        <v>0.23976160758395154</v>
      </c>
      <c r="M254" s="4">
        <f t="shared" si="8"/>
        <v>0.11428118371505049</v>
      </c>
      <c r="N254" s="4" t="str">
        <f t="shared" si="8"/>
        <v>[€/kWh]</v>
      </c>
      <c r="O254" s="4">
        <f t="shared" si="8"/>
        <v>14</v>
      </c>
      <c r="P254" s="4">
        <f t="shared" si="8"/>
        <v>0.9</v>
      </c>
      <c r="Q254" s="4">
        <f t="shared" si="8"/>
        <v>0.4</v>
      </c>
      <c r="R254" s="144" t="s">
        <v>166</v>
      </c>
      <c r="S254" s="117" t="s">
        <v>244</v>
      </c>
    </row>
    <row r="255" spans="1:19" x14ac:dyDescent="0.25">
      <c r="A255" s="4" t="s">
        <v>194</v>
      </c>
      <c r="B255" s="4">
        <v>25</v>
      </c>
      <c r="C255" s="4">
        <v>25</v>
      </c>
      <c r="D255" s="4" t="s">
        <v>165</v>
      </c>
      <c r="E255" s="4">
        <v>17</v>
      </c>
      <c r="F255" s="4">
        <v>0.9</v>
      </c>
      <c r="G255" s="4">
        <v>0.4</v>
      </c>
      <c r="H255" s="144" t="s">
        <v>166</v>
      </c>
      <c r="I255" s="117" t="s">
        <v>198</v>
      </c>
      <c r="K255" s="4" t="s">
        <v>197</v>
      </c>
      <c r="L255" s="150">
        <v>0.08</v>
      </c>
      <c r="M255" s="150">
        <v>7.0000000000000007E-2</v>
      </c>
      <c r="N255" s="4" t="s">
        <v>180</v>
      </c>
      <c r="O255" s="4">
        <v>17</v>
      </c>
      <c r="P255" s="4">
        <v>0.9</v>
      </c>
      <c r="Q255" s="4">
        <v>0.4</v>
      </c>
      <c r="R255" s="144" t="s">
        <v>166</v>
      </c>
      <c r="S255" s="117" t="s">
        <v>365</v>
      </c>
    </row>
    <row r="256" spans="1:19" x14ac:dyDescent="0.25">
      <c r="A256" s="4" t="s">
        <v>199</v>
      </c>
      <c r="B256" s="4">
        <f>(100000*(1+(14780-15380)/15380)/118231)</f>
        <v>0.81280569096848254</v>
      </c>
      <c r="C256" s="4">
        <f>(100000*(1+(14780-15380)/15380)/118231)</f>
        <v>0.81280569096848254</v>
      </c>
      <c r="D256" s="4" t="s">
        <v>200</v>
      </c>
      <c r="E256" s="4">
        <v>17</v>
      </c>
      <c r="F256" s="4">
        <v>0.9</v>
      </c>
      <c r="G256" s="4">
        <v>0.4</v>
      </c>
      <c r="H256" s="144" t="s">
        <v>181</v>
      </c>
      <c r="I256" s="117" t="s">
        <v>345</v>
      </c>
      <c r="K256" s="4" t="s">
        <v>203</v>
      </c>
      <c r="L256" s="150">
        <v>0.06</v>
      </c>
      <c r="M256" s="150">
        <v>0.06</v>
      </c>
      <c r="N256" s="4" t="s">
        <v>180</v>
      </c>
      <c r="O256" s="4">
        <v>17</v>
      </c>
      <c r="P256" s="4">
        <v>0.9</v>
      </c>
      <c r="Q256" s="4">
        <v>0.4</v>
      </c>
      <c r="R256" s="144" t="s">
        <v>166</v>
      </c>
      <c r="S256" s="117" t="s">
        <v>198</v>
      </c>
    </row>
    <row r="257" spans="2:19" x14ac:dyDescent="0.25">
      <c r="I257" s="117"/>
      <c r="K257" s="4" t="s">
        <v>205</v>
      </c>
      <c r="L257" s="4">
        <f>AM216</f>
        <v>0</v>
      </c>
      <c r="M257" s="4">
        <f>AN216</f>
        <v>0</v>
      </c>
      <c r="N257" s="4" t="s">
        <v>200</v>
      </c>
      <c r="O257" s="4">
        <f>$E$4</f>
        <v>17</v>
      </c>
      <c r="P257" s="4">
        <f>$F$4</f>
        <v>0.9</v>
      </c>
      <c r="Q257" s="4">
        <f>$G$4</f>
        <v>0.4</v>
      </c>
      <c r="R257" s="144" t="s">
        <v>366</v>
      </c>
      <c r="S257" s="118" t="s">
        <v>369</v>
      </c>
    </row>
    <row r="258" spans="2:19" x14ac:dyDescent="0.25">
      <c r="S258" s="117"/>
    </row>
    <row r="259" spans="2:19" x14ac:dyDescent="0.25">
      <c r="O259" s="4" t="s">
        <v>129</v>
      </c>
      <c r="R259" s="4" t="s">
        <v>130</v>
      </c>
      <c r="S259" s="117"/>
    </row>
    <row r="260" spans="2:19" x14ac:dyDescent="0.25">
      <c r="K260" s="25" t="s">
        <v>99</v>
      </c>
      <c r="L260" s="4">
        <v>2023</v>
      </c>
      <c r="M260" s="4">
        <v>2050</v>
      </c>
      <c r="N260" s="4" t="s">
        <v>86</v>
      </c>
      <c r="O260" s="4" t="s">
        <v>87</v>
      </c>
      <c r="P260" s="4" t="s">
        <v>88</v>
      </c>
      <c r="Q260" s="4" t="s">
        <v>89</v>
      </c>
      <c r="S260" s="117"/>
    </row>
    <row r="261" spans="2:19" x14ac:dyDescent="0.25">
      <c r="K261" s="4" t="s">
        <v>141</v>
      </c>
      <c r="L261" s="4">
        <f>L212*1.3</f>
        <v>19500000</v>
      </c>
      <c r="M261" s="4">
        <f>M212</f>
        <v>15000000</v>
      </c>
      <c r="N261" s="4" t="s">
        <v>138</v>
      </c>
      <c r="O261" s="4">
        <v>17</v>
      </c>
      <c r="P261" s="4">
        <v>0.9</v>
      </c>
      <c r="Q261" s="4">
        <v>0.4</v>
      </c>
      <c r="R261" s="144" t="s">
        <v>370</v>
      </c>
      <c r="S261" s="117" t="s">
        <v>371</v>
      </c>
    </row>
    <row r="262" spans="2:19" x14ac:dyDescent="0.25">
      <c r="K262" s="4" t="s">
        <v>151</v>
      </c>
      <c r="L262" s="4">
        <f>-L261*0.05</f>
        <v>-975000</v>
      </c>
      <c r="M262" s="4">
        <f>-M261*0.1</f>
        <v>-1500000</v>
      </c>
      <c r="N262" s="4" t="s">
        <v>138</v>
      </c>
      <c r="O262" s="4">
        <v>17</v>
      </c>
      <c r="P262" s="4">
        <v>0.9</v>
      </c>
      <c r="Q262" s="4">
        <v>0.4</v>
      </c>
      <c r="R262" s="144" t="s">
        <v>149</v>
      </c>
      <c r="S262" s="117" t="s">
        <v>361</v>
      </c>
    </row>
    <row r="263" spans="2:19" x14ac:dyDescent="0.25">
      <c r="B263" s="150"/>
      <c r="K263" s="4" t="s">
        <v>164</v>
      </c>
      <c r="L263" s="4">
        <v>25</v>
      </c>
      <c r="M263" s="4">
        <v>25</v>
      </c>
      <c r="N263" s="4" t="s">
        <v>165</v>
      </c>
      <c r="O263" s="4">
        <v>17</v>
      </c>
      <c r="P263" s="4">
        <v>0.9</v>
      </c>
      <c r="Q263" s="4">
        <v>0.4</v>
      </c>
      <c r="R263" s="144" t="s">
        <v>166</v>
      </c>
      <c r="S263" s="117" t="s">
        <v>198</v>
      </c>
    </row>
    <row r="264" spans="2:19" x14ac:dyDescent="0.25">
      <c r="K264" s="4" t="s">
        <v>175</v>
      </c>
      <c r="L264" s="4">
        <f>(84000+127000+122000+82000)/0.85</f>
        <v>488235.29411764705</v>
      </c>
      <c r="M264" s="4">
        <f>(84000+127000+122000+82000)/0.85</f>
        <v>488235.29411764705</v>
      </c>
      <c r="N264" s="4" t="s">
        <v>161</v>
      </c>
      <c r="O264" s="4">
        <v>17</v>
      </c>
      <c r="P264" s="4">
        <v>0.9</v>
      </c>
      <c r="Q264" s="4">
        <v>0.4</v>
      </c>
      <c r="R264" s="144" t="s">
        <v>88</v>
      </c>
      <c r="S264" s="117" t="s">
        <v>339</v>
      </c>
    </row>
    <row r="265" spans="2:19" x14ac:dyDescent="0.25">
      <c r="K265" s="4" t="s">
        <v>183</v>
      </c>
      <c r="L265" s="4">
        <v>647</v>
      </c>
      <c r="M265" s="4">
        <v>600</v>
      </c>
      <c r="N265" s="4" t="s">
        <v>184</v>
      </c>
      <c r="O265" s="4">
        <v>17</v>
      </c>
      <c r="P265" s="4">
        <v>0.9</v>
      </c>
      <c r="Q265" s="4">
        <v>0.4</v>
      </c>
      <c r="R265" s="144" t="s">
        <v>166</v>
      </c>
      <c r="S265" s="117" t="s">
        <v>372</v>
      </c>
    </row>
    <row r="266" spans="2:19" x14ac:dyDescent="0.25">
      <c r="K266" s="4" t="s">
        <v>191</v>
      </c>
      <c r="L266" s="4">
        <f t="shared" ref="L266:Q266" si="9">B11</f>
        <v>0.46076973995226939</v>
      </c>
      <c r="M266" s="4">
        <f t="shared" si="9"/>
        <v>0.14224714585492179</v>
      </c>
      <c r="N266" s="4" t="str">
        <f t="shared" si="9"/>
        <v>[€/kWh]</v>
      </c>
      <c r="O266" s="4">
        <f t="shared" si="9"/>
        <v>17</v>
      </c>
      <c r="P266" s="4">
        <f t="shared" si="9"/>
        <v>0.9</v>
      </c>
      <c r="Q266" s="4">
        <f t="shared" si="9"/>
        <v>0.4</v>
      </c>
      <c r="R266" s="144" t="s">
        <v>236</v>
      </c>
      <c r="S266" s="117" t="s">
        <v>373</v>
      </c>
    </row>
    <row r="267" spans="2:19" x14ac:dyDescent="0.25">
      <c r="K267" s="4" t="s">
        <v>197</v>
      </c>
      <c r="L267" s="150">
        <v>0.04</v>
      </c>
      <c r="M267" s="150">
        <v>0.04</v>
      </c>
      <c r="N267" s="4" t="s">
        <v>180</v>
      </c>
      <c r="O267" s="4">
        <v>17</v>
      </c>
      <c r="P267" s="4">
        <v>0.9</v>
      </c>
      <c r="Q267" s="4">
        <v>0.4</v>
      </c>
      <c r="R267" s="144" t="s">
        <v>201</v>
      </c>
      <c r="S267" s="117" t="s">
        <v>374</v>
      </c>
    </row>
    <row r="268" spans="2:19" x14ac:dyDescent="0.25">
      <c r="K268" s="4" t="s">
        <v>203</v>
      </c>
      <c r="L268" s="150">
        <v>0.06</v>
      </c>
      <c r="M268" s="150">
        <v>0.06</v>
      </c>
      <c r="N268" s="4" t="s">
        <v>180</v>
      </c>
      <c r="O268" s="4">
        <v>17</v>
      </c>
      <c r="P268" s="4">
        <v>0.9</v>
      </c>
      <c r="Q268" s="4">
        <v>0.4</v>
      </c>
      <c r="R268" s="144" t="s">
        <v>166</v>
      </c>
      <c r="S268" s="117" t="s">
        <v>198</v>
      </c>
    </row>
    <row r="269" spans="2:19" x14ac:dyDescent="0.25">
      <c r="K269" s="4" t="s">
        <v>205</v>
      </c>
      <c r="L269" s="4">
        <f>AR216</f>
        <v>0</v>
      </c>
      <c r="M269" s="4">
        <f>AS216</f>
        <v>0</v>
      </c>
      <c r="N269" s="4" t="s">
        <v>200</v>
      </c>
      <c r="O269" s="4">
        <f>$E$4</f>
        <v>17</v>
      </c>
      <c r="P269" s="4">
        <f>$F$4</f>
        <v>0.9</v>
      </c>
      <c r="Q269" s="4">
        <f>$G$4</f>
        <v>0.4</v>
      </c>
      <c r="R269" s="144" t="s">
        <v>366</v>
      </c>
      <c r="S269" s="118" t="s">
        <v>375</v>
      </c>
    </row>
    <row r="272" spans="2:19" x14ac:dyDescent="0.25">
      <c r="S272" s="117"/>
    </row>
    <row r="273" spans="11:13" x14ac:dyDescent="0.25">
      <c r="K273" s="152" t="s">
        <v>376</v>
      </c>
      <c r="L273" s="152"/>
      <c r="M273" s="152"/>
    </row>
    <row r="274" spans="11:13" x14ac:dyDescent="0.25">
      <c r="K274" s="152" t="s">
        <v>377</v>
      </c>
      <c r="L274" s="152"/>
      <c r="M274" s="152"/>
    </row>
    <row r="275" spans="11:13" x14ac:dyDescent="0.25">
      <c r="K275" s="152" t="s">
        <v>378</v>
      </c>
      <c r="L275" s="152">
        <v>5.4722</v>
      </c>
      <c r="M275" s="152" t="s">
        <v>155</v>
      </c>
    </row>
    <row r="276" spans="11:13" x14ac:dyDescent="0.25">
      <c r="K276" s="152" t="s">
        <v>379</v>
      </c>
      <c r="L276" s="152">
        <v>4.3333000000000004</v>
      </c>
      <c r="M276" s="152" t="s">
        <v>380</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AC214:AD214"/>
    <mergeCell ref="X214:Y214"/>
    <mergeCell ref="X149:Y149"/>
    <mergeCell ref="X212:Y212"/>
    <mergeCell ref="X213:Y213"/>
    <mergeCell ref="AC212:AD212"/>
    <mergeCell ref="AC213:AD213"/>
    <mergeCell ref="X77:Y77"/>
    <mergeCell ref="X78:Y78"/>
    <mergeCell ref="X79:Y79"/>
    <mergeCell ref="X147:Y147"/>
    <mergeCell ref="X148:Y148"/>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E11" sqref="E11"/>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1</v>
      </c>
      <c r="B1" s="125" t="s">
        <v>26</v>
      </c>
      <c r="C1" s="125" t="s">
        <v>381</v>
      </c>
      <c r="D1" s="125" t="s">
        <v>2</v>
      </c>
      <c r="E1" s="125" t="s">
        <v>382</v>
      </c>
      <c r="F1" s="125" t="s">
        <v>383</v>
      </c>
      <c r="G1" s="125" t="s">
        <v>384</v>
      </c>
      <c r="H1" s="125" t="s">
        <v>385</v>
      </c>
      <c r="I1" s="130" t="s">
        <v>386</v>
      </c>
      <c r="J1" s="130" t="s">
        <v>387</v>
      </c>
      <c r="K1" s="125" t="s">
        <v>87</v>
      </c>
      <c r="L1" s="125" t="s">
        <v>88</v>
      </c>
      <c r="M1" s="125" t="s">
        <v>89</v>
      </c>
    </row>
    <row r="2" spans="1:13" x14ac:dyDescent="0.25">
      <c r="A2">
        <v>1</v>
      </c>
      <c r="B2" t="s">
        <v>18</v>
      </c>
      <c r="C2" t="s">
        <v>100</v>
      </c>
      <c r="D2" t="s">
        <v>13</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18</v>
      </c>
      <c r="C3" t="s">
        <v>100</v>
      </c>
      <c r="D3" t="s">
        <v>20</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18</v>
      </c>
      <c r="C4" t="s">
        <v>100</v>
      </c>
      <c r="D4" t="s">
        <v>21</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18</v>
      </c>
      <c r="C5" t="s">
        <v>100</v>
      </c>
      <c r="D5" t="s">
        <v>22</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18</v>
      </c>
      <c r="C6" t="s">
        <v>100</v>
      </c>
      <c r="D6" t="s">
        <v>23</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18</v>
      </c>
      <c r="C7" s="127" t="s">
        <v>299</v>
      </c>
      <c r="D7" t="s">
        <v>13</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18</v>
      </c>
      <c r="C8" s="127" t="s">
        <v>299</v>
      </c>
      <c r="D8" t="s">
        <v>20</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18</v>
      </c>
      <c r="C9" s="127" t="s">
        <v>299</v>
      </c>
      <c r="D9" t="s">
        <v>21</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18</v>
      </c>
      <c r="C10" s="127" t="s">
        <v>299</v>
      </c>
      <c r="D10" t="s">
        <v>22</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18</v>
      </c>
      <c r="C11" s="127" t="s">
        <v>299</v>
      </c>
      <c r="D11" t="s">
        <v>23</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18</v>
      </c>
      <c r="C12" t="s">
        <v>95</v>
      </c>
      <c r="D12" t="s">
        <v>13</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18</v>
      </c>
      <c r="C13" t="s">
        <v>95</v>
      </c>
      <c r="D13" t="s">
        <v>20</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18</v>
      </c>
      <c r="C14" t="s">
        <v>95</v>
      </c>
      <c r="D14" t="s">
        <v>21</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18</v>
      </c>
      <c r="C15" t="s">
        <v>95</v>
      </c>
      <c r="D15" t="s">
        <v>22</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18</v>
      </c>
      <c r="C16" t="s">
        <v>95</v>
      </c>
      <c r="D16" t="s">
        <v>23</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16</v>
      </c>
      <c r="C17" t="s">
        <v>100</v>
      </c>
      <c r="D17" t="s">
        <v>13</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16</v>
      </c>
      <c r="C18" t="s">
        <v>100</v>
      </c>
      <c r="D18" t="s">
        <v>20</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16</v>
      </c>
      <c r="C19" t="s">
        <v>100</v>
      </c>
      <c r="D19" t="s">
        <v>21</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16</v>
      </c>
      <c r="C20" t="s">
        <v>100</v>
      </c>
      <c r="D20" t="s">
        <v>22</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16</v>
      </c>
      <c r="C21" t="s">
        <v>100</v>
      </c>
      <c r="D21" t="s">
        <v>23</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16</v>
      </c>
      <c r="C22" t="s">
        <v>285</v>
      </c>
      <c r="D22" t="s">
        <v>13</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16</v>
      </c>
      <c r="C23" t="s">
        <v>285</v>
      </c>
      <c r="D23" t="s">
        <v>20</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16</v>
      </c>
      <c r="C24" t="s">
        <v>285</v>
      </c>
      <c r="D24" t="s">
        <v>21</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16</v>
      </c>
      <c r="C25" t="s">
        <v>285</v>
      </c>
      <c r="D25" t="s">
        <v>22</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16</v>
      </c>
      <c r="C26" t="s">
        <v>285</v>
      </c>
      <c r="D26" t="s">
        <v>23</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16</v>
      </c>
      <c r="C27" t="s">
        <v>299</v>
      </c>
      <c r="D27" t="s">
        <v>13</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16</v>
      </c>
      <c r="C28" t="s">
        <v>299</v>
      </c>
      <c r="D28" t="s">
        <v>20</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16</v>
      </c>
      <c r="C29" t="s">
        <v>299</v>
      </c>
      <c r="D29" t="s">
        <v>21</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16</v>
      </c>
      <c r="C30" t="s">
        <v>299</v>
      </c>
      <c r="D30" t="s">
        <v>22</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16</v>
      </c>
      <c r="C31" t="s">
        <v>299</v>
      </c>
      <c r="D31" t="s">
        <v>23</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16</v>
      </c>
      <c r="C32" t="s">
        <v>95</v>
      </c>
      <c r="D32" t="s">
        <v>13</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16</v>
      </c>
      <c r="C33" t="s">
        <v>95</v>
      </c>
      <c r="D33" t="s">
        <v>20</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16</v>
      </c>
      <c r="C34" t="s">
        <v>95</v>
      </c>
      <c r="D34" t="s">
        <v>21</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16</v>
      </c>
      <c r="C35" t="s">
        <v>95</v>
      </c>
      <c r="D35" t="s">
        <v>22</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16</v>
      </c>
      <c r="C36" t="s">
        <v>95</v>
      </c>
      <c r="D36" t="s">
        <v>23</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15</v>
      </c>
      <c r="C37" t="s">
        <v>101</v>
      </c>
      <c r="D37" t="s">
        <v>13</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15</v>
      </c>
      <c r="C38" t="s">
        <v>101</v>
      </c>
      <c r="D38" t="s">
        <v>20</v>
      </c>
      <c r="E38" s="126">
        <f>'Parameter Input'!X$215</f>
        <v>172.49705634987384</v>
      </c>
      <c r="F38" s="126">
        <f>'Parameter Input'!Y$215</f>
        <v>159.9663582842725</v>
      </c>
      <c r="G38" s="129"/>
      <c r="H38" s="129"/>
      <c r="I38" s="131"/>
      <c r="J38" s="131"/>
      <c r="K38">
        <v>12</v>
      </c>
      <c r="L38">
        <v>0.9</v>
      </c>
      <c r="M38">
        <v>0.4</v>
      </c>
    </row>
    <row r="39" spans="1:13" x14ac:dyDescent="0.25">
      <c r="A39">
        <v>38</v>
      </c>
      <c r="B39" t="s">
        <v>15</v>
      </c>
      <c r="C39" t="s">
        <v>101</v>
      </c>
      <c r="D39" t="s">
        <v>21</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15</v>
      </c>
      <c r="C40" t="s">
        <v>101</v>
      </c>
      <c r="D40" t="s">
        <v>22</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15</v>
      </c>
      <c r="C41" t="s">
        <v>101</v>
      </c>
      <c r="D41" t="s">
        <v>23</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15</v>
      </c>
      <c r="C42" t="s">
        <v>102</v>
      </c>
      <c r="D42" t="s">
        <v>13</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15</v>
      </c>
      <c r="C43" t="s">
        <v>102</v>
      </c>
      <c r="D43" t="s">
        <v>20</v>
      </c>
      <c r="E43" s="126">
        <f>'Parameter Input'!AC$215</f>
        <v>181.77348551360842</v>
      </c>
      <c r="F43" s="126">
        <f>'Parameter Input'!AD$215</f>
        <v>168.56892010535557</v>
      </c>
      <c r="G43" s="153"/>
      <c r="H43" s="153"/>
      <c r="I43" s="131"/>
      <c r="J43" s="131"/>
      <c r="K43">
        <v>12</v>
      </c>
      <c r="L43">
        <v>0.9</v>
      </c>
      <c r="M43">
        <v>0.4</v>
      </c>
    </row>
    <row r="44" spans="1:13" x14ac:dyDescent="0.25">
      <c r="A44">
        <v>43</v>
      </c>
      <c r="B44" t="s">
        <v>15</v>
      </c>
      <c r="C44" t="s">
        <v>102</v>
      </c>
      <c r="D44" t="s">
        <v>21</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15</v>
      </c>
      <c r="C45" t="s">
        <v>102</v>
      </c>
      <c r="D45" t="s">
        <v>22</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15</v>
      </c>
      <c r="C46" t="s">
        <v>102</v>
      </c>
      <c r="D46" t="s">
        <v>23</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15</v>
      </c>
      <c r="C47" t="s">
        <v>95</v>
      </c>
      <c r="D47" t="s">
        <v>13</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15</v>
      </c>
      <c r="C48" t="s">
        <v>95</v>
      </c>
      <c r="D48" t="s">
        <v>20</v>
      </c>
      <c r="E48" s="126">
        <f>'Parameter Input'!AH$215</f>
        <v>24.449056603773585</v>
      </c>
      <c r="F48" s="126">
        <f>'Parameter Input'!AI$215</f>
        <v>0</v>
      </c>
      <c r="G48" s="129"/>
      <c r="H48" s="129"/>
      <c r="I48" s="131"/>
      <c r="J48" s="131"/>
      <c r="K48">
        <v>12</v>
      </c>
      <c r="L48">
        <v>0.9</v>
      </c>
      <c r="M48">
        <v>0.4</v>
      </c>
    </row>
    <row r="49" spans="1:13" x14ac:dyDescent="0.25">
      <c r="A49">
        <v>48</v>
      </c>
      <c r="B49" t="s">
        <v>15</v>
      </c>
      <c r="C49" t="s">
        <v>95</v>
      </c>
      <c r="D49" t="s">
        <v>21</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15</v>
      </c>
      <c r="C50" t="s">
        <v>95</v>
      </c>
      <c r="D50" t="s">
        <v>22</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15</v>
      </c>
      <c r="C51" t="s">
        <v>95</v>
      </c>
      <c r="D51" t="s">
        <v>23</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15</v>
      </c>
      <c r="C52" t="s">
        <v>97</v>
      </c>
      <c r="D52" t="s">
        <v>13</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15</v>
      </c>
      <c r="C53" t="s">
        <v>97</v>
      </c>
      <c r="D53" t="s">
        <v>20</v>
      </c>
      <c r="E53" s="126">
        <f>'Parameter Input'!AM$215</f>
        <v>24.919230769230765</v>
      </c>
      <c r="F53" s="126">
        <f>'Parameter Input'!AN$215</f>
        <v>0</v>
      </c>
      <c r="G53" s="129"/>
      <c r="H53" s="129"/>
      <c r="I53" s="131"/>
      <c r="J53" s="131"/>
      <c r="K53">
        <v>12</v>
      </c>
      <c r="L53">
        <v>0.9</v>
      </c>
      <c r="M53">
        <v>0.4</v>
      </c>
    </row>
    <row r="54" spans="1:13" x14ac:dyDescent="0.25">
      <c r="A54">
        <v>53</v>
      </c>
      <c r="B54" t="s">
        <v>15</v>
      </c>
      <c r="C54" t="s">
        <v>97</v>
      </c>
      <c r="D54" t="s">
        <v>21</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15</v>
      </c>
      <c r="C55" t="s">
        <v>97</v>
      </c>
      <c r="D55" t="s">
        <v>22</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15</v>
      </c>
      <c r="C56" t="s">
        <v>97</v>
      </c>
      <c r="D56" t="s">
        <v>23</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15</v>
      </c>
      <c r="C57" t="s">
        <v>99</v>
      </c>
      <c r="D57" t="s">
        <v>13</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15</v>
      </c>
      <c r="C58" t="s">
        <v>99</v>
      </c>
      <c r="D58" t="s">
        <v>20</v>
      </c>
      <c r="E58" s="126">
        <f>'Parameter Input'!AR$215</f>
        <v>31.631111111111107</v>
      </c>
      <c r="F58" s="126">
        <f>'Parameter Input'!AS$215</f>
        <v>0</v>
      </c>
      <c r="G58" s="129"/>
      <c r="H58" s="129"/>
      <c r="I58" s="131"/>
      <c r="J58" s="131"/>
      <c r="K58">
        <v>12</v>
      </c>
      <c r="L58">
        <v>0.9</v>
      </c>
      <c r="M58">
        <v>0.4</v>
      </c>
    </row>
    <row r="59" spans="1:13" x14ac:dyDescent="0.25">
      <c r="A59">
        <v>58</v>
      </c>
      <c r="B59" t="s">
        <v>15</v>
      </c>
      <c r="C59" t="s">
        <v>99</v>
      </c>
      <c r="D59" t="s">
        <v>21</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15</v>
      </c>
      <c r="C60" t="s">
        <v>99</v>
      </c>
      <c r="D60" t="s">
        <v>22</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15</v>
      </c>
      <c r="C61" t="s">
        <v>99</v>
      </c>
      <c r="D61" t="s">
        <v>23</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Q307" workbookViewId="0">
      <selection activeCell="V460" sqref="V460"/>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388</v>
      </c>
      <c r="AG1" t="s">
        <v>389</v>
      </c>
      <c r="AH1" t="s">
        <v>390</v>
      </c>
      <c r="AI1" t="s">
        <v>391</v>
      </c>
      <c r="AJ1" t="s">
        <v>26</v>
      </c>
      <c r="AK1" t="s">
        <v>392</v>
      </c>
      <c r="AL1" t="s">
        <v>381</v>
      </c>
      <c r="AM1" t="s">
        <v>393</v>
      </c>
    </row>
    <row r="2" spans="1:39" x14ac:dyDescent="0.25">
      <c r="AG2" s="154" t="s">
        <v>394</v>
      </c>
      <c r="AH2" s="154" t="s">
        <v>58</v>
      </c>
      <c r="AI2" s="154">
        <v>2023</v>
      </c>
      <c r="AJ2" s="154" t="str">
        <f>A7</f>
        <v>Road</v>
      </c>
      <c r="AK2" s="154" t="str">
        <f>B7</f>
        <v>Dry bulk</v>
      </c>
      <c r="AL2" s="154" t="str">
        <f>C7</f>
        <v>Diesel</v>
      </c>
      <c r="AM2" s="164">
        <f>I7</f>
        <v>1</v>
      </c>
    </row>
    <row r="3" spans="1:39" x14ac:dyDescent="0.25">
      <c r="D3" s="197">
        <v>2023</v>
      </c>
      <c r="E3" s="197"/>
      <c r="F3" s="197"/>
      <c r="G3" s="197"/>
      <c r="H3" s="197"/>
      <c r="I3" s="197"/>
      <c r="J3" s="197"/>
      <c r="K3" s="197"/>
      <c r="M3" s="197">
        <v>2034</v>
      </c>
      <c r="N3" s="197"/>
      <c r="O3" s="197"/>
      <c r="P3" s="197"/>
      <c r="Q3" s="197"/>
      <c r="R3" s="197"/>
      <c r="S3" s="197"/>
      <c r="T3" s="197"/>
      <c r="W3" s="197">
        <v>2050</v>
      </c>
      <c r="X3" s="197"/>
      <c r="Y3" s="197"/>
      <c r="Z3" s="197"/>
      <c r="AA3" s="197"/>
      <c r="AB3" s="197"/>
      <c r="AC3" s="197"/>
      <c r="AD3" s="197"/>
      <c r="AE3" s="197"/>
      <c r="AG3" s="154" t="s">
        <v>299</v>
      </c>
      <c r="AH3" s="154" t="s">
        <v>58</v>
      </c>
      <c r="AI3" s="154">
        <v>2023</v>
      </c>
      <c r="AJ3" s="154" t="str">
        <f t="shared" ref="AJ3:AL3" si="0">A8</f>
        <v>Road</v>
      </c>
      <c r="AK3" s="154" t="str">
        <f t="shared" si="0"/>
        <v>Dry bulk</v>
      </c>
      <c r="AL3" s="154" t="str">
        <f t="shared" si="0"/>
        <v>Battery</v>
      </c>
      <c r="AM3" s="164">
        <f t="shared" ref="AM3:AM16" si="1">I8</f>
        <v>1</v>
      </c>
    </row>
    <row r="4" spans="1:39" x14ac:dyDescent="0.25">
      <c r="AG4" s="154" t="s">
        <v>95</v>
      </c>
      <c r="AH4" s="154" t="s">
        <v>58</v>
      </c>
      <c r="AI4" s="154">
        <v>2023</v>
      </c>
      <c r="AJ4" s="154" t="str">
        <f t="shared" ref="AJ4:AL4" si="2">A9</f>
        <v>Road</v>
      </c>
      <c r="AK4" s="154" t="str">
        <f t="shared" si="2"/>
        <v>Dry bulk</v>
      </c>
      <c r="AL4" s="154" t="str">
        <f t="shared" si="2"/>
        <v>Hydrogen</v>
      </c>
      <c r="AM4" s="164">
        <f t="shared" si="1"/>
        <v>1</v>
      </c>
    </row>
    <row r="5" spans="1:39" x14ac:dyDescent="0.25">
      <c r="A5" s="154" t="s">
        <v>395</v>
      </c>
      <c r="I5" s="197" t="s">
        <v>396</v>
      </c>
      <c r="J5" s="197"/>
      <c r="K5" s="197"/>
      <c r="R5" s="197" t="s">
        <v>396</v>
      </c>
      <c r="S5" s="197"/>
      <c r="T5" s="197"/>
      <c r="AB5" s="197" t="s">
        <v>396</v>
      </c>
      <c r="AC5" s="197"/>
      <c r="AD5" s="197"/>
      <c r="AG5" s="154" t="s">
        <v>394</v>
      </c>
      <c r="AH5" s="154" t="s">
        <v>58</v>
      </c>
      <c r="AI5" s="154">
        <v>2023</v>
      </c>
      <c r="AJ5" s="154" t="str">
        <f t="shared" ref="AJ5:AL5" si="3">A10</f>
        <v>Road</v>
      </c>
      <c r="AK5" s="154" t="str">
        <f t="shared" si="3"/>
        <v>Liquid bulk</v>
      </c>
      <c r="AL5" s="154" t="str">
        <f t="shared" si="3"/>
        <v>Diesel</v>
      </c>
      <c r="AM5" s="164">
        <f t="shared" si="1"/>
        <v>1</v>
      </c>
    </row>
    <row r="6" spans="1:39" x14ac:dyDescent="0.25">
      <c r="D6" s="161" t="s">
        <v>397</v>
      </c>
      <c r="E6" s="154" t="s">
        <v>58</v>
      </c>
      <c r="F6" s="154" t="s">
        <v>116</v>
      </c>
      <c r="G6" s="154" t="s">
        <v>114</v>
      </c>
      <c r="I6" s="154" t="s">
        <v>58</v>
      </c>
      <c r="J6" s="154" t="s">
        <v>116</v>
      </c>
      <c r="K6" s="154" t="s">
        <v>114</v>
      </c>
      <c r="M6" s="161" t="s">
        <v>397</v>
      </c>
      <c r="N6" s="154" t="s">
        <v>58</v>
      </c>
      <c r="O6" s="154" t="s">
        <v>116</v>
      </c>
      <c r="P6" s="154" t="s">
        <v>114</v>
      </c>
      <c r="R6" s="154" t="s">
        <v>58</v>
      </c>
      <c r="S6" s="154" t="s">
        <v>116</v>
      </c>
      <c r="T6" s="154" t="s">
        <v>114</v>
      </c>
      <c r="W6" s="161" t="s">
        <v>397</v>
      </c>
      <c r="X6" s="154" t="s">
        <v>58</v>
      </c>
      <c r="Y6" s="154" t="s">
        <v>116</v>
      </c>
      <c r="Z6" s="154" t="s">
        <v>114</v>
      </c>
      <c r="AB6" s="154" t="s">
        <v>58</v>
      </c>
      <c r="AC6" s="154" t="s">
        <v>116</v>
      </c>
      <c r="AD6" s="154" t="s">
        <v>114</v>
      </c>
      <c r="AG6" s="154" t="s">
        <v>299</v>
      </c>
      <c r="AH6" s="154" t="s">
        <v>58</v>
      </c>
      <c r="AI6" s="154">
        <v>2023</v>
      </c>
      <c r="AJ6" s="154" t="str">
        <f t="shared" ref="AJ6:AL6" si="4">A11</f>
        <v>Road</v>
      </c>
      <c r="AK6" s="154" t="str">
        <f t="shared" si="4"/>
        <v>Liquid bulk</v>
      </c>
      <c r="AL6" s="154" t="str">
        <f t="shared" si="4"/>
        <v>Battery</v>
      </c>
      <c r="AM6" s="164">
        <f t="shared" si="1"/>
        <v>1</v>
      </c>
    </row>
    <row r="7" spans="1:39" x14ac:dyDescent="0.25">
      <c r="A7" s="154" t="s">
        <v>18</v>
      </c>
      <c r="B7" s="154" t="s">
        <v>13</v>
      </c>
      <c r="C7" s="154" t="s">
        <v>100</v>
      </c>
      <c r="D7" s="154">
        <f>FIGURES!AP17</f>
        <v>0.16008550383733161</v>
      </c>
      <c r="E7" s="154">
        <v>0.16150148792048974</v>
      </c>
      <c r="F7" s="154">
        <v>0.16198823244907534</v>
      </c>
      <c r="G7" s="154">
        <v>0.16008550383733161</v>
      </c>
      <c r="I7" s="163">
        <f>E7/E7</f>
        <v>1</v>
      </c>
      <c r="J7" s="163">
        <f>F7/E7</f>
        <v>1.0030138702426397</v>
      </c>
      <c r="K7" s="163">
        <f>G7/E7</f>
        <v>0.99123237747595705</v>
      </c>
      <c r="M7" s="154">
        <f>FIGURES!CS17</f>
        <v>0.15507712829099893</v>
      </c>
      <c r="N7" s="154">
        <v>0.1595312014287559</v>
      </c>
      <c r="O7" s="154">
        <v>0.16136201676758852</v>
      </c>
      <c r="P7" s="154">
        <v>0.15507712829099893</v>
      </c>
      <c r="R7" s="163">
        <f>N7/N7</f>
        <v>1</v>
      </c>
      <c r="S7" s="163">
        <f>O7/N7</f>
        <v>1.0114762210930268</v>
      </c>
      <c r="T7" s="163">
        <f>P7/N7</f>
        <v>0.97208023823636724</v>
      </c>
      <c r="W7" s="154">
        <f>FIGURES!EV17</f>
        <v>0.15508101886292719</v>
      </c>
      <c r="X7" s="154">
        <v>0.1593651172133618</v>
      </c>
      <c r="Y7" s="154">
        <v>0.16218038184364741</v>
      </c>
      <c r="Z7" s="154">
        <v>0.15508101886292719</v>
      </c>
      <c r="AB7" s="163">
        <f>X7/X7</f>
        <v>1</v>
      </c>
      <c r="AC7" s="163">
        <f>Y7/X7</f>
        <v>1.0176655009547446</v>
      </c>
      <c r="AD7" s="163">
        <f>Z7/X7</f>
        <v>0.97311771593843233</v>
      </c>
      <c r="AG7" s="154" t="s">
        <v>95</v>
      </c>
      <c r="AH7" s="154" t="s">
        <v>58</v>
      </c>
      <c r="AI7" s="154">
        <v>2023</v>
      </c>
      <c r="AJ7" s="154" t="str">
        <f t="shared" ref="AJ7:AL7" si="5">A12</f>
        <v>Road</v>
      </c>
      <c r="AK7" s="154" t="str">
        <f t="shared" si="5"/>
        <v>Liquid bulk</v>
      </c>
      <c r="AL7" s="154" t="str">
        <f t="shared" si="5"/>
        <v>Hydrogen</v>
      </c>
      <c r="AM7" s="164">
        <f t="shared" si="1"/>
        <v>1</v>
      </c>
    </row>
    <row r="8" spans="1:39" x14ac:dyDescent="0.25">
      <c r="A8" s="154" t="s">
        <v>18</v>
      </c>
      <c r="B8" s="154" t="s">
        <v>13</v>
      </c>
      <c r="C8" s="154" t="s">
        <v>299</v>
      </c>
      <c r="D8" s="154">
        <f>FIGURES!AQ17</f>
        <v>0.21637192652690349</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394</v>
      </c>
      <c r="AH8" s="154" t="s">
        <v>58</v>
      </c>
      <c r="AI8" s="154">
        <v>2023</v>
      </c>
      <c r="AJ8" s="154" t="str">
        <f t="shared" ref="AJ8:AL8" si="15">A13</f>
        <v>Road</v>
      </c>
      <c r="AK8" s="154" t="str">
        <f t="shared" si="15"/>
        <v>Container</v>
      </c>
      <c r="AL8" s="154" t="str">
        <f t="shared" si="15"/>
        <v>Diesel</v>
      </c>
      <c r="AM8" s="164">
        <f t="shared" si="1"/>
        <v>1</v>
      </c>
    </row>
    <row r="9" spans="1:39" x14ac:dyDescent="0.25">
      <c r="A9" s="154" t="s">
        <v>18</v>
      </c>
      <c r="B9" s="154" t="s">
        <v>13</v>
      </c>
      <c r="C9" s="154" t="s">
        <v>95</v>
      </c>
      <c r="D9" s="154">
        <f>FIGURES!AR17</f>
        <v>0.24891004870420008</v>
      </c>
      <c r="E9" s="154">
        <v>0.24514866003769331</v>
      </c>
      <c r="F9" s="154">
        <v>0.24350126702679284</v>
      </c>
      <c r="G9" s="154">
        <v>0.24891004870420008</v>
      </c>
      <c r="I9" s="163">
        <f t="shared" si="6"/>
        <v>1</v>
      </c>
      <c r="J9" s="163">
        <f t="shared" si="7"/>
        <v>0.99328002441193364</v>
      </c>
      <c r="K9" s="163">
        <f t="shared" si="8"/>
        <v>1.0153432968629257</v>
      </c>
      <c r="M9" s="154">
        <f>FIGURES!CU17</f>
        <v>0.19725556359642915</v>
      </c>
      <c r="N9" s="154">
        <v>0.19457806694570512</v>
      </c>
      <c r="O9" s="154">
        <v>0.19270653480404287</v>
      </c>
      <c r="P9" s="154">
        <v>0.19725556359642915</v>
      </c>
      <c r="R9" s="163">
        <f t="shared" si="9"/>
        <v>1</v>
      </c>
      <c r="S9" s="163">
        <f t="shared" si="10"/>
        <v>0.99038158734414561</v>
      </c>
      <c r="T9" s="163">
        <f t="shared" si="11"/>
        <v>1.0137605265215794</v>
      </c>
      <c r="W9" s="154">
        <f>FIGURES!EX17</f>
        <v>0.17043322555935234</v>
      </c>
      <c r="X9" s="154">
        <v>0.16864154646639173</v>
      </c>
      <c r="Y9" s="154">
        <v>0.1667304221005671</v>
      </c>
      <c r="Z9" s="154">
        <v>0.17043322555935234</v>
      </c>
      <c r="AB9" s="163">
        <f t="shared" si="12"/>
        <v>1</v>
      </c>
      <c r="AC9" s="163">
        <f t="shared" si="13"/>
        <v>0.9886675353383011</v>
      </c>
      <c r="AD9" s="163">
        <f t="shared" si="14"/>
        <v>1.0106241856203428</v>
      </c>
      <c r="AG9" s="154" t="s">
        <v>299</v>
      </c>
      <c r="AH9" s="154" t="s">
        <v>58</v>
      </c>
      <c r="AI9" s="154">
        <v>2023</v>
      </c>
      <c r="AJ9" s="154" t="str">
        <f t="shared" ref="AJ9:AL9" si="16">A14</f>
        <v>Road</v>
      </c>
      <c r="AK9" s="154" t="str">
        <f t="shared" si="16"/>
        <v>Container</v>
      </c>
      <c r="AL9" s="154" t="str">
        <f t="shared" si="16"/>
        <v>Battery</v>
      </c>
      <c r="AM9" s="164">
        <f t="shared" si="1"/>
        <v>1</v>
      </c>
    </row>
    <row r="10" spans="1:39" x14ac:dyDescent="0.25">
      <c r="A10" s="154" t="s">
        <v>18</v>
      </c>
      <c r="B10" s="154" t="s">
        <v>20</v>
      </c>
      <c r="C10" s="154" t="s">
        <v>100</v>
      </c>
      <c r="D10" s="154">
        <f>FIGURES!AS17</f>
        <v>8.0027147488310843E-2</v>
      </c>
      <c r="E10" s="154">
        <v>8.1266133561074191E-2</v>
      </c>
      <c r="F10" s="154">
        <v>8.1692035023586587E-2</v>
      </c>
      <c r="G10" s="154">
        <v>8.0027147488310843E-2</v>
      </c>
      <c r="I10" s="163">
        <f t="shared" si="6"/>
        <v>1</v>
      </c>
      <c r="J10" s="163">
        <f t="shared" si="7"/>
        <v>1.005240823499894</v>
      </c>
      <c r="K10" s="163">
        <f t="shared" si="8"/>
        <v>0.98475396800030846</v>
      </c>
      <c r="M10" s="154">
        <f>FIGURES!CV17</f>
        <v>7.4903410112360652E-2</v>
      </c>
      <c r="N10" s="154">
        <v>7.8800724107898013E-2</v>
      </c>
      <c r="O10" s="154">
        <v>8.0402687529376543E-2</v>
      </c>
      <c r="P10" s="154">
        <v>7.4903410112360652E-2</v>
      </c>
      <c r="R10" s="163">
        <f t="shared" si="9"/>
        <v>1</v>
      </c>
      <c r="S10" s="163">
        <f t="shared" si="10"/>
        <v>1.0203292982344305</v>
      </c>
      <c r="T10" s="163">
        <f t="shared" si="11"/>
        <v>0.95054215504160899</v>
      </c>
      <c r="W10" s="154">
        <f>FIGURES!EY17</f>
        <v>7.393658744712471E-2</v>
      </c>
      <c r="X10" s="154">
        <v>7.7685173503754978E-2</v>
      </c>
      <c r="Y10" s="154">
        <v>8.014853005525488E-2</v>
      </c>
      <c r="Z10" s="154">
        <v>7.393658744712471E-2</v>
      </c>
      <c r="AB10" s="163">
        <f t="shared" si="12"/>
        <v>1</v>
      </c>
      <c r="AC10" s="163">
        <f t="shared" si="13"/>
        <v>1.0317094812355776</v>
      </c>
      <c r="AD10" s="163">
        <f t="shared" si="14"/>
        <v>0.95174644159803445</v>
      </c>
      <c r="AG10" s="154" t="s">
        <v>95</v>
      </c>
      <c r="AH10" s="154" t="s">
        <v>58</v>
      </c>
      <c r="AI10" s="154">
        <v>2023</v>
      </c>
      <c r="AJ10" s="154" t="str">
        <f t="shared" ref="AJ10:AL10" si="17">A15</f>
        <v>Road</v>
      </c>
      <c r="AK10" s="154" t="str">
        <f t="shared" si="17"/>
        <v>Container</v>
      </c>
      <c r="AL10" s="154" t="str">
        <f t="shared" si="17"/>
        <v>Hydrogen</v>
      </c>
      <c r="AM10" s="164">
        <f t="shared" si="1"/>
        <v>1</v>
      </c>
    </row>
    <row r="11" spans="1:39" x14ac:dyDescent="0.25">
      <c r="A11" s="154" t="s">
        <v>18</v>
      </c>
      <c r="B11" s="154" t="s">
        <v>20</v>
      </c>
      <c r="C11" s="154" t="s">
        <v>299</v>
      </c>
      <c r="D11" s="154">
        <f>FIGURES!AT17</f>
        <v>0.10531087632523629</v>
      </c>
      <c r="E11" s="154">
        <v>0.10398939898527251</v>
      </c>
      <c r="F11" s="154">
        <v>0.10341062536549094</v>
      </c>
      <c r="G11" s="154">
        <v>0.10531087632523629</v>
      </c>
      <c r="I11" s="163">
        <f t="shared" si="6"/>
        <v>1</v>
      </c>
      <c r="J11" s="163">
        <f t="shared" si="7"/>
        <v>0.99443430171316261</v>
      </c>
      <c r="K11" s="163">
        <f t="shared" si="8"/>
        <v>1.0127078082271725</v>
      </c>
      <c r="M11" s="154">
        <f>FIGURES!CW17</f>
        <v>8.6186731956471668E-2</v>
      </c>
      <c r="N11" s="154">
        <v>8.5196928607980713E-2</v>
      </c>
      <c r="O11" s="154">
        <v>8.4503796562852188E-2</v>
      </c>
      <c r="P11" s="154">
        <v>8.6186731956471668E-2</v>
      </c>
      <c r="R11" s="163">
        <f t="shared" si="9"/>
        <v>1</v>
      </c>
      <c r="S11" s="163">
        <f t="shared" si="10"/>
        <v>0.99186435407410223</v>
      </c>
      <c r="T11" s="163">
        <f t="shared" si="11"/>
        <v>1.0116178290070217</v>
      </c>
      <c r="W11" s="154">
        <f>FIGURES!EZ17</f>
        <v>7.8396743248474315E-2</v>
      </c>
      <c r="X11" s="154">
        <v>7.7653618448074446E-2</v>
      </c>
      <c r="Y11" s="154">
        <v>7.68609519943146E-2</v>
      </c>
      <c r="Z11" s="154">
        <v>7.8396743248474315E-2</v>
      </c>
      <c r="AB11" s="163">
        <f t="shared" si="12"/>
        <v>1</v>
      </c>
      <c r="AC11" s="163">
        <f t="shared" si="13"/>
        <v>0.98979227923177993</v>
      </c>
      <c r="AD11" s="163">
        <f t="shared" si="14"/>
        <v>1.0095697382202065</v>
      </c>
      <c r="AG11" s="154" t="s">
        <v>394</v>
      </c>
      <c r="AH11" s="154" t="s">
        <v>58</v>
      </c>
      <c r="AI11" s="154">
        <v>2023</v>
      </c>
      <c r="AJ11" s="154" t="str">
        <f t="shared" ref="AJ11:AL11" si="18">A16</f>
        <v>Road</v>
      </c>
      <c r="AK11" s="154" t="str">
        <f t="shared" si="18"/>
        <v>Break bulk</v>
      </c>
      <c r="AL11" s="154" t="str">
        <f t="shared" si="18"/>
        <v>Diesel</v>
      </c>
      <c r="AM11" s="164">
        <f t="shared" si="1"/>
        <v>1</v>
      </c>
    </row>
    <row r="12" spans="1:39" x14ac:dyDescent="0.25">
      <c r="A12" s="154" t="s">
        <v>18</v>
      </c>
      <c r="B12" s="154" t="s">
        <v>20</v>
      </c>
      <c r="C12" s="154" t="s">
        <v>95</v>
      </c>
      <c r="D12" s="154">
        <f>FIGURES!AU17</f>
        <v>0.1301849178703009</v>
      </c>
      <c r="E12" s="154">
        <v>0.12688035079230253</v>
      </c>
      <c r="F12" s="154">
        <v>0.12543303407206524</v>
      </c>
      <c r="G12" s="154">
        <v>0.1301849178703009</v>
      </c>
      <c r="I12" s="163">
        <f t="shared" si="6"/>
        <v>1</v>
      </c>
      <c r="J12" s="163">
        <f t="shared" si="7"/>
        <v>0.98859305864777691</v>
      </c>
      <c r="K12" s="163">
        <f t="shared" si="8"/>
        <v>1.0260447504862893</v>
      </c>
      <c r="M12" s="154">
        <f>FIGURES!CX17</f>
        <v>0.10221949414527944</v>
      </c>
      <c r="N12" s="154">
        <v>9.9869671953068617E-2</v>
      </c>
      <c r="O12" s="154">
        <v>9.8227179605328535E-2</v>
      </c>
      <c r="P12" s="154">
        <v>0.10221949414527944</v>
      </c>
      <c r="R12" s="163">
        <f t="shared" si="9"/>
        <v>1</v>
      </c>
      <c r="S12" s="163">
        <f t="shared" si="10"/>
        <v>0.98355364230582498</v>
      </c>
      <c r="T12" s="163">
        <f t="shared" si="11"/>
        <v>1.0235288866605576</v>
      </c>
      <c r="W12" s="154">
        <f>FIGURES!FA17</f>
        <v>8.6217422559525025E-2</v>
      </c>
      <c r="X12" s="154">
        <v>8.4647164209378539E-2</v>
      </c>
      <c r="Y12" s="154">
        <v>8.2972221969222298E-2</v>
      </c>
      <c r="Z12" s="154">
        <v>8.6217422559525025E-2</v>
      </c>
      <c r="AB12" s="163">
        <f t="shared" si="12"/>
        <v>1</v>
      </c>
      <c r="AC12" s="163">
        <f t="shared" si="13"/>
        <v>0.98021265974116756</v>
      </c>
      <c r="AD12" s="163">
        <f t="shared" si="14"/>
        <v>1.0185506314926556</v>
      </c>
      <c r="AG12" s="154" t="s">
        <v>299</v>
      </c>
      <c r="AH12" s="154" t="s">
        <v>58</v>
      </c>
      <c r="AI12" s="154">
        <v>2023</v>
      </c>
      <c r="AJ12" s="154" t="str">
        <f>A17</f>
        <v>Road</v>
      </c>
      <c r="AK12" s="154" t="str">
        <f>B17</f>
        <v>Break bulk</v>
      </c>
      <c r="AL12" s="154" t="str">
        <f>C17</f>
        <v>Battery</v>
      </c>
      <c r="AM12" s="164">
        <f t="shared" si="1"/>
        <v>1</v>
      </c>
    </row>
    <row r="13" spans="1:39" x14ac:dyDescent="0.25">
      <c r="A13" s="154" t="s">
        <v>18</v>
      </c>
      <c r="B13" s="154" t="s">
        <v>21</v>
      </c>
      <c r="C13" s="154" t="s">
        <v>100</v>
      </c>
      <c r="D13" s="154">
        <f>FIGURES!AV17</f>
        <v>8.4300018728238085E-2</v>
      </c>
      <c r="E13" s="154">
        <v>8.5592873760686805E-2</v>
      </c>
      <c r="F13" s="154">
        <v>8.6037292678091043E-2</v>
      </c>
      <c r="G13" s="154">
        <v>8.4300018728238085E-2</v>
      </c>
      <c r="I13" s="163">
        <f t="shared" si="6"/>
        <v>1</v>
      </c>
      <c r="J13" s="163">
        <f t="shared" si="7"/>
        <v>1.0051922420392942</v>
      </c>
      <c r="K13" s="163">
        <f t="shared" si="8"/>
        <v>0.98489529588568936</v>
      </c>
      <c r="M13" s="154">
        <f>FIGURES!CY17</f>
        <v>7.8990350349502914E-2</v>
      </c>
      <c r="N13" s="154">
        <v>8.305711277962885E-2</v>
      </c>
      <c r="O13" s="154">
        <v>8.472872678464996E-2</v>
      </c>
      <c r="P13" s="154">
        <v>7.8990350349502914E-2</v>
      </c>
      <c r="R13" s="163">
        <f t="shared" si="9"/>
        <v>1</v>
      </c>
      <c r="S13" s="163">
        <f t="shared" si="10"/>
        <v>1.0201260789001456</v>
      </c>
      <c r="T13" s="163">
        <f t="shared" si="11"/>
        <v>0.95103655431755652</v>
      </c>
      <c r="W13" s="154">
        <f>FIGURES!FB17</f>
        <v>7.8029701949290181E-2</v>
      </c>
      <c r="X13" s="154">
        <v>8.1941270008382638E-2</v>
      </c>
      <c r="Y13" s="154">
        <v>8.45117290186434E-2</v>
      </c>
      <c r="Z13" s="154">
        <v>7.8029701949290181E-2</v>
      </c>
      <c r="AB13" s="163">
        <f t="shared" si="12"/>
        <v>1</v>
      </c>
      <c r="AC13" s="163">
        <f t="shared" si="13"/>
        <v>1.0313695285659814</v>
      </c>
      <c r="AD13" s="163">
        <f t="shared" si="14"/>
        <v>0.95226376087785436</v>
      </c>
      <c r="AG13" s="154" t="s">
        <v>95</v>
      </c>
      <c r="AH13" s="154" t="s">
        <v>58</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18</v>
      </c>
      <c r="B14" s="154" t="s">
        <v>21</v>
      </c>
      <c r="C14" s="154" t="s">
        <v>299</v>
      </c>
      <c r="D14" s="154">
        <f>FIGURES!AW17</f>
        <v>0.11143385784995678</v>
      </c>
      <c r="E14" s="154">
        <v>0.11005871333542969</v>
      </c>
      <c r="F14" s="154">
        <v>0.10945643485185198</v>
      </c>
      <c r="G14" s="154">
        <v>0.11143385784995678</v>
      </c>
      <c r="I14" s="163">
        <f t="shared" si="6"/>
        <v>1</v>
      </c>
      <c r="J14" s="163">
        <f t="shared" si="7"/>
        <v>0.99452766196037456</v>
      </c>
      <c r="K14" s="163">
        <f t="shared" si="8"/>
        <v>1.0124946446569481</v>
      </c>
      <c r="M14" s="154">
        <f>FIGURES!CZ17</f>
        <v>9.075990136878348E-2</v>
      </c>
      <c r="N14" s="154">
        <v>8.9729273933051135E-2</v>
      </c>
      <c r="O14" s="154">
        <v>8.900755390312412E-2</v>
      </c>
      <c r="P14" s="154">
        <v>9.075990136878348E-2</v>
      </c>
      <c r="R14" s="163">
        <f t="shared" si="9"/>
        <v>1</v>
      </c>
      <c r="S14" s="163">
        <f t="shared" si="10"/>
        <v>0.99195669374895978</v>
      </c>
      <c r="T14" s="163">
        <f t="shared" si="11"/>
        <v>1.0114859665141314</v>
      </c>
      <c r="W14" s="154">
        <f>FIGURES!FC17</f>
        <v>8.2480435679140041E-2</v>
      </c>
      <c r="X14" s="154">
        <v>8.1706056355476092E-2</v>
      </c>
      <c r="Y14" s="154">
        <v>8.0880051743567882E-2</v>
      </c>
      <c r="Z14" s="154">
        <v>8.2480435679140041E-2</v>
      </c>
      <c r="AB14" s="163">
        <f t="shared" si="12"/>
        <v>1</v>
      </c>
      <c r="AC14" s="163">
        <f t="shared" si="13"/>
        <v>0.98989053383858672</v>
      </c>
      <c r="AD14" s="163">
        <f t="shared" si="14"/>
        <v>1.0094776245263251</v>
      </c>
      <c r="AG14" s="154" t="s">
        <v>394</v>
      </c>
      <c r="AH14" s="154" t="s">
        <v>58</v>
      </c>
      <c r="AI14" s="154">
        <v>2023</v>
      </c>
      <c r="AJ14" s="154" t="str">
        <f t="shared" si="19"/>
        <v>Road</v>
      </c>
      <c r="AK14" s="154" t="str">
        <f t="shared" si="20"/>
        <v>Neo bulk</v>
      </c>
      <c r="AL14" s="154" t="str">
        <f t="shared" si="21"/>
        <v>Diesel</v>
      </c>
      <c r="AM14" s="164">
        <f t="shared" si="1"/>
        <v>1</v>
      </c>
    </row>
    <row r="15" spans="1:39" x14ac:dyDescent="0.25">
      <c r="A15" s="154" t="s">
        <v>18</v>
      </c>
      <c r="B15" s="154" t="s">
        <v>21</v>
      </c>
      <c r="C15" s="154" t="s">
        <v>95</v>
      </c>
      <c r="D15" s="154">
        <f>FIGURES!AX17</f>
        <v>0.13776629264773832</v>
      </c>
      <c r="E15" s="154">
        <v>0.13432269291236781</v>
      </c>
      <c r="F15" s="154">
        <v>0.13281448340801569</v>
      </c>
      <c r="G15" s="154">
        <v>0.13776629264773832</v>
      </c>
      <c r="I15" s="163">
        <f t="shared" si="6"/>
        <v>1</v>
      </c>
      <c r="J15" s="163">
        <f t="shared" si="7"/>
        <v>0.98877174458275574</v>
      </c>
      <c r="K15" s="163">
        <f t="shared" si="8"/>
        <v>1.0256367681491996</v>
      </c>
      <c r="M15" s="154">
        <f>FIGURES!DA17</f>
        <v>0.10781569950851688</v>
      </c>
      <c r="N15" s="154">
        <v>0.10536615030719333</v>
      </c>
      <c r="O15" s="154">
        <v>0.10365395019608566</v>
      </c>
      <c r="P15" s="154">
        <v>0.10781569950851688</v>
      </c>
      <c r="R15" s="163">
        <f t="shared" si="9"/>
        <v>1</v>
      </c>
      <c r="S15" s="163">
        <f t="shared" si="10"/>
        <v>0.98374999839971577</v>
      </c>
      <c r="T15" s="163">
        <f t="shared" si="11"/>
        <v>1.0232479709487527</v>
      </c>
      <c r="W15" s="154">
        <f>FIGURES!FD17</f>
        <v>9.0825524918120487E-2</v>
      </c>
      <c r="X15" s="154">
        <v>8.9187877646247971E-2</v>
      </c>
      <c r="Y15" s="154">
        <v>8.7441053889583953E-2</v>
      </c>
      <c r="Z15" s="154">
        <v>9.0825524918120487E-2</v>
      </c>
      <c r="AB15" s="163">
        <f t="shared" si="12"/>
        <v>1</v>
      </c>
      <c r="AC15" s="163">
        <f t="shared" si="13"/>
        <v>0.98041411229009656</v>
      </c>
      <c r="AD15" s="163">
        <f t="shared" si="14"/>
        <v>1.0183617697280345</v>
      </c>
      <c r="AG15" s="154" t="s">
        <v>299</v>
      </c>
      <c r="AH15" s="154" t="s">
        <v>58</v>
      </c>
      <c r="AI15" s="154">
        <v>2023</v>
      </c>
      <c r="AJ15" s="154" t="str">
        <f t="shared" si="19"/>
        <v>Road</v>
      </c>
      <c r="AK15" s="154" t="str">
        <f t="shared" si="20"/>
        <v>Neo bulk</v>
      </c>
      <c r="AL15" s="154" t="str">
        <f t="shared" si="21"/>
        <v>Battery</v>
      </c>
      <c r="AM15" s="164">
        <f t="shared" si="1"/>
        <v>1</v>
      </c>
    </row>
    <row r="16" spans="1:39" x14ac:dyDescent="0.25">
      <c r="A16" s="154" t="s">
        <v>18</v>
      </c>
      <c r="B16" s="154" t="s">
        <v>22</v>
      </c>
      <c r="C16" s="154" t="s">
        <v>100</v>
      </c>
      <c r="D16" s="154">
        <f>FIGURES!AY17</f>
        <v>0.10828383175735644</v>
      </c>
      <c r="E16" s="154">
        <v>0.10957668678980516</v>
      </c>
      <c r="F16" s="154">
        <v>0.1100211057072094</v>
      </c>
      <c r="G16" s="154">
        <v>0.10828383175735644</v>
      </c>
      <c r="I16" s="163">
        <f t="shared" si="6"/>
        <v>1</v>
      </c>
      <c r="J16" s="163">
        <f t="shared" si="7"/>
        <v>1.0040557798417171</v>
      </c>
      <c r="K16" s="163">
        <f t="shared" si="8"/>
        <v>0.98820136773318645</v>
      </c>
      <c r="M16" s="154">
        <f>FIGURES!DB17</f>
        <v>0.10325471557553673</v>
      </c>
      <c r="N16" s="154">
        <v>0.10732147800566266</v>
      </c>
      <c r="O16" s="154">
        <v>0.10899309201068375</v>
      </c>
      <c r="P16" s="154">
        <v>0.10325471557553673</v>
      </c>
      <c r="R16" s="163">
        <f t="shared" si="9"/>
        <v>1</v>
      </c>
      <c r="S16" s="163">
        <f t="shared" si="10"/>
        <v>1.0155757639205536</v>
      </c>
      <c r="T16" s="163">
        <f t="shared" si="11"/>
        <v>0.96210672359626503</v>
      </c>
      <c r="W16" s="154">
        <f>FIGURES!FE17</f>
        <v>0.1026612051195252</v>
      </c>
      <c r="X16" s="154">
        <v>0.10657277317861766</v>
      </c>
      <c r="Y16" s="154">
        <v>0.10914323218887842</v>
      </c>
      <c r="Z16" s="154">
        <v>0.1026612051195252</v>
      </c>
      <c r="AB16" s="163">
        <f t="shared" si="12"/>
        <v>1</v>
      </c>
      <c r="AC16" s="163">
        <f t="shared" si="13"/>
        <v>1.0241192842561451</v>
      </c>
      <c r="AD16" s="163">
        <f t="shared" si="14"/>
        <v>0.9632967413493444</v>
      </c>
      <c r="AG16" s="154" t="s">
        <v>95</v>
      </c>
      <c r="AH16" s="154" t="s">
        <v>58</v>
      </c>
      <c r="AI16" s="154">
        <v>2023</v>
      </c>
      <c r="AJ16" s="154" t="str">
        <f t="shared" si="19"/>
        <v>Road</v>
      </c>
      <c r="AK16" s="154" t="str">
        <f t="shared" si="20"/>
        <v>Neo bulk</v>
      </c>
      <c r="AL16" s="154" t="str">
        <f t="shared" si="21"/>
        <v>Hydrogen</v>
      </c>
      <c r="AM16" s="164">
        <f t="shared" si="1"/>
        <v>1</v>
      </c>
    </row>
    <row r="17" spans="1:39" x14ac:dyDescent="0.25">
      <c r="A17" s="154" t="s">
        <v>18</v>
      </c>
      <c r="B17" s="154" t="s">
        <v>22</v>
      </c>
      <c r="C17" s="154" t="s">
        <v>299</v>
      </c>
      <c r="D17" s="154">
        <f>FIGURES!AZ17</f>
        <v>0.14511916971521754</v>
      </c>
      <c r="E17" s="154">
        <v>0.14374402520069046</v>
      </c>
      <c r="F17" s="154">
        <v>0.14314174671711277</v>
      </c>
      <c r="G17" s="154">
        <v>0.14511916971521754</v>
      </c>
      <c r="I17" s="163">
        <f t="shared" si="6"/>
        <v>1</v>
      </c>
      <c r="J17" s="163">
        <f t="shared" si="7"/>
        <v>0.99581006248616732</v>
      </c>
      <c r="K17" s="163">
        <f t="shared" si="8"/>
        <v>1.0095666203350515</v>
      </c>
      <c r="M17" s="154">
        <f>FIGURES!DC17</f>
        <v>0.11774997366588581</v>
      </c>
      <c r="N17" s="154">
        <v>0.11671934623015348</v>
      </c>
      <c r="O17" s="154">
        <v>0.11599762620022647</v>
      </c>
      <c r="P17" s="154">
        <v>0.11774997366588581</v>
      </c>
      <c r="R17" s="163">
        <f t="shared" si="9"/>
        <v>1</v>
      </c>
      <c r="S17" s="163">
        <f t="shared" si="10"/>
        <v>0.9938166203526887</v>
      </c>
      <c r="T17" s="163">
        <f t="shared" si="11"/>
        <v>1.0088299623757324</v>
      </c>
      <c r="W17" s="154">
        <f>FIGURES!FF17</f>
        <v>0.10721750661777942</v>
      </c>
      <c r="X17" s="154">
        <v>0.10644312729411544</v>
      </c>
      <c r="Y17" s="154">
        <v>0.10561712268220722</v>
      </c>
      <c r="Z17" s="154">
        <v>0.10721750661777942</v>
      </c>
      <c r="AB17" s="163">
        <f t="shared" si="12"/>
        <v>1</v>
      </c>
      <c r="AC17" s="163">
        <f t="shared" si="13"/>
        <v>0.99223994415697814</v>
      </c>
      <c r="AD17" s="163">
        <f t="shared" si="14"/>
        <v>1.0072750523528331</v>
      </c>
      <c r="AG17" s="154" t="s">
        <v>394</v>
      </c>
      <c r="AH17" s="154" t="s">
        <v>116</v>
      </c>
      <c r="AI17" s="154">
        <v>2023</v>
      </c>
      <c r="AJ17" s="154" t="str">
        <f>A7</f>
        <v>Road</v>
      </c>
      <c r="AK17" s="154" t="str">
        <f>B7</f>
        <v>Dry bulk</v>
      </c>
      <c r="AL17" s="154" t="str">
        <f>C7</f>
        <v>Diesel</v>
      </c>
      <c r="AM17" s="164">
        <f>J7</f>
        <v>1.0030138702426397</v>
      </c>
    </row>
    <row r="18" spans="1:39" x14ac:dyDescent="0.25">
      <c r="A18" s="154" t="s">
        <v>18</v>
      </c>
      <c r="B18" s="154" t="s">
        <v>22</v>
      </c>
      <c r="C18" s="154" t="s">
        <v>95</v>
      </c>
      <c r="D18" s="154">
        <f>FIGURES!BA17</f>
        <v>0.17252924484292287</v>
      </c>
      <c r="E18" s="154">
        <v>0.16908564510755242</v>
      </c>
      <c r="F18" s="154">
        <v>0.16757743560320026</v>
      </c>
      <c r="G18" s="154">
        <v>0.17252924484292287</v>
      </c>
      <c r="I18" s="163">
        <f t="shared" si="6"/>
        <v>1</v>
      </c>
      <c r="J18" s="163">
        <f t="shared" si="7"/>
        <v>0.99108020374294459</v>
      </c>
      <c r="K18" s="163">
        <f t="shared" si="8"/>
        <v>1.0203660087950106</v>
      </c>
      <c r="M18" s="154">
        <f>FIGURES!DD17</f>
        <v>0.13592149433202599</v>
      </c>
      <c r="N18" s="154">
        <v>0.13347194513070246</v>
      </c>
      <c r="O18" s="154">
        <v>0.13175974501959475</v>
      </c>
      <c r="P18" s="154">
        <v>0.13592149433202599</v>
      </c>
      <c r="R18" s="163">
        <f t="shared" si="9"/>
        <v>1</v>
      </c>
      <c r="S18" s="163">
        <f t="shared" si="10"/>
        <v>0.98717183517906304</v>
      </c>
      <c r="T18" s="163">
        <f t="shared" si="11"/>
        <v>1.0183525399208411</v>
      </c>
      <c r="W18" s="154">
        <f>FIGURES!FG17</f>
        <v>0.11599502780168205</v>
      </c>
      <c r="X18" s="154">
        <v>0.11435738052980955</v>
      </c>
      <c r="Y18" s="154">
        <v>0.11261055677314552</v>
      </c>
      <c r="Z18" s="154">
        <v>0.11599502780168205</v>
      </c>
      <c r="AB18" s="163">
        <f t="shared" si="12"/>
        <v>1</v>
      </c>
      <c r="AC18" s="163">
        <f t="shared" si="13"/>
        <v>0.98472487085161342</v>
      </c>
      <c r="AD18" s="163">
        <f t="shared" si="14"/>
        <v>1.0143204335766123</v>
      </c>
      <c r="AG18" s="154" t="s">
        <v>299</v>
      </c>
      <c r="AH18" s="154" t="s">
        <v>116</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18</v>
      </c>
      <c r="B19" s="154" t="s">
        <v>23</v>
      </c>
      <c r="C19" s="154" t="s">
        <v>100</v>
      </c>
      <c r="D19" s="154">
        <f>FIGURES!BB17</f>
        <v>9.1760643921659973E-2</v>
      </c>
      <c r="E19" s="154">
        <v>9.2999629994423322E-2</v>
      </c>
      <c r="F19" s="154">
        <v>9.3425531456935718E-2</v>
      </c>
      <c r="G19" s="154">
        <v>9.1760643921659973E-2</v>
      </c>
      <c r="I19" s="163">
        <f t="shared" si="6"/>
        <v>1</v>
      </c>
      <c r="J19" s="163">
        <f t="shared" si="7"/>
        <v>1.0045796038386168</v>
      </c>
      <c r="K19" s="163">
        <f t="shared" si="8"/>
        <v>0.98667751610584209</v>
      </c>
      <c r="M19" s="154">
        <f>FIGURES!DE17</f>
        <v>8.680166405080067E-2</v>
      </c>
      <c r="N19" s="154">
        <v>9.069897804633803E-2</v>
      </c>
      <c r="O19" s="154">
        <v>9.2300941467816588E-2</v>
      </c>
      <c r="P19" s="154">
        <v>8.680166405080067E-2</v>
      </c>
      <c r="R19" s="163">
        <f t="shared" si="9"/>
        <v>1</v>
      </c>
      <c r="S19" s="163">
        <f t="shared" si="10"/>
        <v>1.0176624197536175</v>
      </c>
      <c r="T19" s="163">
        <f t="shared" si="11"/>
        <v>0.95703023253970709</v>
      </c>
      <c r="W19" s="154">
        <f>FIGURES!FH17</f>
        <v>8.6050447366825461E-2</v>
      </c>
      <c r="X19" s="154">
        <v>8.9799033423455743E-2</v>
      </c>
      <c r="Y19" s="154">
        <v>9.2262389974955644E-2</v>
      </c>
      <c r="Z19" s="154">
        <v>8.6050447366825461E-2</v>
      </c>
      <c r="AB19" s="163">
        <f t="shared" si="12"/>
        <v>1</v>
      </c>
      <c r="AC19" s="163">
        <f t="shared" si="13"/>
        <v>1.0274318827006046</v>
      </c>
      <c r="AD19" s="163">
        <f t="shared" si="14"/>
        <v>0.95825583067299314</v>
      </c>
      <c r="AG19" s="154" t="s">
        <v>95</v>
      </c>
      <c r="AH19" s="154" t="s">
        <v>116</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18</v>
      </c>
      <c r="B20" s="154" t="s">
        <v>23</v>
      </c>
      <c r="C20" s="154" t="s">
        <v>299</v>
      </c>
      <c r="D20" s="154">
        <f>FIGURES!BC17</f>
        <v>0.12257559398774524</v>
      </c>
      <c r="E20" s="154">
        <v>0.12125411664778149</v>
      </c>
      <c r="F20" s="154">
        <v>0.1206753430279999</v>
      </c>
      <c r="G20" s="154">
        <v>0.12257559398774524</v>
      </c>
      <c r="I20" s="163">
        <f t="shared" si="6"/>
        <v>1</v>
      </c>
      <c r="J20" s="163">
        <f t="shared" si="7"/>
        <v>0.99522677138077864</v>
      </c>
      <c r="K20" s="163">
        <f t="shared" si="8"/>
        <v>1.0108984121652742</v>
      </c>
      <c r="M20" s="154">
        <f>FIGURES!DF17</f>
        <v>9.9550466319943506E-2</v>
      </c>
      <c r="N20" s="154">
        <v>9.8560662971452551E-2</v>
      </c>
      <c r="O20" s="154">
        <v>9.7867530926324026E-2</v>
      </c>
      <c r="P20" s="154">
        <v>9.9550466319943506E-2</v>
      </c>
      <c r="R20" s="163">
        <f t="shared" si="9"/>
        <v>1</v>
      </c>
      <c r="S20" s="163">
        <f t="shared" si="10"/>
        <v>0.99296745756134686</v>
      </c>
      <c r="T20" s="163">
        <f t="shared" si="11"/>
        <v>1.0100425800583104</v>
      </c>
      <c r="W20" s="154">
        <f>FIGURES!FI17</f>
        <v>9.0486902077712511E-2</v>
      </c>
      <c r="X20" s="154">
        <v>8.9743777277312642E-2</v>
      </c>
      <c r="Y20" s="154">
        <v>8.8951110823552781E-2</v>
      </c>
      <c r="Z20" s="154">
        <v>9.0486902077712511E-2</v>
      </c>
      <c r="AB20" s="163">
        <f t="shared" si="12"/>
        <v>1</v>
      </c>
      <c r="AC20" s="163">
        <f t="shared" si="13"/>
        <v>0.99116744940085943</v>
      </c>
      <c r="AD20" s="163">
        <f t="shared" si="14"/>
        <v>1.0082805161866941</v>
      </c>
      <c r="AG20" s="154" t="s">
        <v>394</v>
      </c>
      <c r="AH20" s="154" t="s">
        <v>116</v>
      </c>
      <c r="AI20" s="154">
        <v>2023</v>
      </c>
      <c r="AJ20" s="154" t="str">
        <f t="shared" ref="AJ20:AL20" si="25">A10</f>
        <v>Road</v>
      </c>
      <c r="AK20" s="154" t="str">
        <f t="shared" si="25"/>
        <v>Liquid bulk</v>
      </c>
      <c r="AL20" s="154" t="str">
        <f t="shared" si="25"/>
        <v>Diesel</v>
      </c>
      <c r="AM20" s="164">
        <f t="shared" si="23"/>
        <v>1.005240823499894</v>
      </c>
    </row>
    <row r="21" spans="1:39" x14ac:dyDescent="0.25">
      <c r="A21" s="154" t="s">
        <v>18</v>
      </c>
      <c r="B21" s="154" t="s">
        <v>23</v>
      </c>
      <c r="C21" s="154" t="s">
        <v>95</v>
      </c>
      <c r="D21" s="154">
        <f>FIGURES!BD17</f>
        <v>0.14817175095677115</v>
      </c>
      <c r="E21" s="154">
        <v>0.14486718387877273</v>
      </c>
      <c r="F21" s="154">
        <v>0.14341986715853552</v>
      </c>
      <c r="G21" s="154">
        <v>0.14817175095677115</v>
      </c>
      <c r="I21" s="163">
        <f t="shared" si="6"/>
        <v>1</v>
      </c>
      <c r="J21" s="163">
        <f t="shared" si="7"/>
        <v>0.99000935421338521</v>
      </c>
      <c r="K21" s="163">
        <f t="shared" si="8"/>
        <v>1.0228110120561447</v>
      </c>
      <c r="M21" s="154">
        <f>FIGURES!DG17</f>
        <v>0.11631368968632125</v>
      </c>
      <c r="N21" s="154">
        <v>0.11396386749411043</v>
      </c>
      <c r="O21" s="154">
        <v>0.11232137514637038</v>
      </c>
      <c r="P21" s="154">
        <v>0.11631368968632125</v>
      </c>
      <c r="R21" s="163">
        <f t="shared" si="9"/>
        <v>1</v>
      </c>
      <c r="S21" s="163">
        <f t="shared" si="10"/>
        <v>0.98558760435341541</v>
      </c>
      <c r="T21" s="163">
        <f t="shared" si="11"/>
        <v>1.0206190106029198</v>
      </c>
      <c r="W21" s="154">
        <f>FIGURES!FJ17</f>
        <v>9.8614255232537446E-2</v>
      </c>
      <c r="X21" s="154">
        <v>9.7043996882390932E-2</v>
      </c>
      <c r="Y21" s="154">
        <v>9.5369054642234719E-2</v>
      </c>
      <c r="Z21" s="154">
        <v>9.8614255232537446E-2</v>
      </c>
      <c r="AB21" s="163">
        <f t="shared" si="12"/>
        <v>1</v>
      </c>
      <c r="AC21" s="163">
        <f t="shared" si="13"/>
        <v>0.98274038277518494</v>
      </c>
      <c r="AD21" s="163">
        <f t="shared" si="14"/>
        <v>1.0161808911482648</v>
      </c>
      <c r="AG21" s="154" t="s">
        <v>299</v>
      </c>
      <c r="AH21" s="154" t="s">
        <v>116</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95</v>
      </c>
      <c r="AH22" s="154" t="s">
        <v>116</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16</v>
      </c>
      <c r="I23" s="197" t="s">
        <v>396</v>
      </c>
      <c r="J23" s="197"/>
      <c r="K23" s="197"/>
      <c r="R23" s="197" t="s">
        <v>396</v>
      </c>
      <c r="S23" s="197"/>
      <c r="T23" s="197"/>
      <c r="AB23" s="197" t="s">
        <v>396</v>
      </c>
      <c r="AC23" s="197"/>
      <c r="AD23" s="197"/>
      <c r="AG23" s="154" t="s">
        <v>394</v>
      </c>
      <c r="AH23" s="154" t="s">
        <v>116</v>
      </c>
      <c r="AI23" s="154">
        <v>2023</v>
      </c>
      <c r="AJ23" s="154" t="str">
        <f t="shared" ref="AJ23:AL23" si="28">A13</f>
        <v>Road</v>
      </c>
      <c r="AK23" s="154" t="str">
        <f t="shared" si="28"/>
        <v>Container</v>
      </c>
      <c r="AL23" s="154" t="str">
        <f t="shared" si="28"/>
        <v>Diesel</v>
      </c>
      <c r="AM23" s="164">
        <f t="shared" si="23"/>
        <v>1.0051922420392942</v>
      </c>
    </row>
    <row r="24" spans="1:39" x14ac:dyDescent="0.25">
      <c r="D24" s="161" t="s">
        <v>397</v>
      </c>
      <c r="E24" s="154" t="s">
        <v>58</v>
      </c>
      <c r="F24" s="154" t="s">
        <v>116</v>
      </c>
      <c r="G24" s="154" t="s">
        <v>114</v>
      </c>
      <c r="I24" s="154" t="s">
        <v>398</v>
      </c>
      <c r="J24" s="154" t="s">
        <v>399</v>
      </c>
      <c r="K24" s="154" t="s">
        <v>400</v>
      </c>
      <c r="M24" s="161" t="s">
        <v>397</v>
      </c>
      <c r="N24" s="154" t="s">
        <v>58</v>
      </c>
      <c r="O24" s="154" t="s">
        <v>116</v>
      </c>
      <c r="P24" s="154" t="s">
        <v>114</v>
      </c>
      <c r="R24" s="154" t="s">
        <v>58</v>
      </c>
      <c r="S24" s="154" t="s">
        <v>116</v>
      </c>
      <c r="T24" s="154" t="s">
        <v>114</v>
      </c>
      <c r="W24" s="161" t="s">
        <v>397</v>
      </c>
      <c r="X24" s="154" t="s">
        <v>58</v>
      </c>
      <c r="Y24" s="154" t="s">
        <v>116</v>
      </c>
      <c r="Z24" s="154" t="s">
        <v>114</v>
      </c>
      <c r="AB24" s="154" t="s">
        <v>58</v>
      </c>
      <c r="AC24" s="154" t="s">
        <v>116</v>
      </c>
      <c r="AD24" s="154" t="s">
        <v>114</v>
      </c>
      <c r="AG24" s="154" t="s">
        <v>299</v>
      </c>
      <c r="AH24" s="154" t="s">
        <v>116</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16</v>
      </c>
      <c r="B25" s="154" t="s">
        <v>13</v>
      </c>
      <c r="C25" s="154" t="s">
        <v>100</v>
      </c>
      <c r="D25" s="154">
        <f>FIGURES!V17</f>
        <v>1.4673217391859582E-2</v>
      </c>
      <c r="E25" s="154">
        <v>1.504014858290743E-2</v>
      </c>
      <c r="F25" s="154">
        <v>1.5166281179830127E-2</v>
      </c>
      <c r="G25" s="154">
        <v>1.4673217391859582E-2</v>
      </c>
      <c r="I25" s="163">
        <f>E25/E25</f>
        <v>1</v>
      </c>
      <c r="J25" s="163">
        <f>F25/E25</f>
        <v>1.0083863930085133</v>
      </c>
      <c r="K25" s="163">
        <f>G25/E25</f>
        <v>0.97560322033887004</v>
      </c>
      <c r="M25" s="154">
        <f>FIGURES!BY17</f>
        <v>1.3095815431312328E-2</v>
      </c>
      <c r="N25" s="154">
        <v>1.4341852600912312E-2</v>
      </c>
      <c r="O25" s="154">
        <v>1.4854027388416598E-2</v>
      </c>
      <c r="P25" s="154">
        <v>1.3095815431312328E-2</v>
      </c>
      <c r="R25" s="163">
        <f>N25/N25</f>
        <v>1</v>
      </c>
      <c r="S25" s="163">
        <f>O25/N25</f>
        <v>1.0357118987174436</v>
      </c>
      <c r="T25" s="163">
        <f>P25/N25</f>
        <v>0.91311881356800995</v>
      </c>
      <c r="W25" s="154">
        <f>FIGURES!EB17</f>
        <v>1.2642546688743159E-2</v>
      </c>
      <c r="X25" s="154">
        <v>1.3980316656105102E-2</v>
      </c>
      <c r="Y25" s="154">
        <v>1.4859422634657239E-2</v>
      </c>
      <c r="Z25" s="154">
        <v>1.2642546688743159E-2</v>
      </c>
      <c r="AB25" s="163">
        <f>X25/X25</f>
        <v>1</v>
      </c>
      <c r="AC25" s="163">
        <f>Y25/X25</f>
        <v>1.0628816928955782</v>
      </c>
      <c r="AD25" s="163">
        <f>Z25/X25</f>
        <v>0.90431046733281617</v>
      </c>
      <c r="AG25" s="154" t="s">
        <v>95</v>
      </c>
      <c r="AH25" s="154" t="s">
        <v>116</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16</v>
      </c>
      <c r="B26" s="154" t="s">
        <v>13</v>
      </c>
      <c r="C26" s="154" t="s">
        <v>285</v>
      </c>
      <c r="D26" s="154">
        <f>FIGURES!W17</f>
        <v>1.2515885154245758E-2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1.2677602662583812E-2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1.2387246227158675E-2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394</v>
      </c>
      <c r="AH26" s="154" t="s">
        <v>116</v>
      </c>
      <c r="AI26" s="154">
        <v>2023</v>
      </c>
      <c r="AJ26" s="154" t="str">
        <f t="shared" ref="AJ26:AL26" si="40">A16</f>
        <v>Road</v>
      </c>
      <c r="AK26" s="154" t="str">
        <f t="shared" si="40"/>
        <v>Break bulk</v>
      </c>
      <c r="AL26" s="154" t="str">
        <f t="shared" si="40"/>
        <v>Diesel</v>
      </c>
      <c r="AM26" s="164">
        <f t="shared" si="23"/>
        <v>1.0040557798417171</v>
      </c>
    </row>
    <row r="27" spans="1:39" x14ac:dyDescent="0.25">
      <c r="A27" s="154" t="s">
        <v>16</v>
      </c>
      <c r="B27" s="154" t="s">
        <v>13</v>
      </c>
      <c r="C27" s="154" t="s">
        <v>299</v>
      </c>
      <c r="D27" s="154">
        <f>FIGURES!X17</f>
        <v>1.733080925299478E-2</v>
      </c>
      <c r="E27" s="154">
        <v>1.7015042906868429E-2</v>
      </c>
      <c r="F27" s="154">
        <v>1.6876745241349807E-2</v>
      </c>
      <c r="G27" s="154">
        <v>1.733080925299478E-2</v>
      </c>
      <c r="I27" s="163">
        <f t="shared" si="31"/>
        <v>1</v>
      </c>
      <c r="J27" s="163">
        <f t="shared" si="32"/>
        <v>0.99187203545265257</v>
      </c>
      <c r="K27" s="163">
        <f t="shared" si="33"/>
        <v>1.0185580693422105</v>
      </c>
      <c r="M27" s="154">
        <f>FIGURES!CA17</f>
        <v>1.5970411683245658E-2</v>
      </c>
      <c r="N27" s="154">
        <v>1.5678518738614936E-2</v>
      </c>
      <c r="O27" s="154">
        <v>1.5474114142511137E-2</v>
      </c>
      <c r="P27" s="154">
        <v>1.5970411683245658E-2</v>
      </c>
      <c r="R27" s="163">
        <f t="shared" si="34"/>
        <v>1</v>
      </c>
      <c r="S27" s="163">
        <f t="shared" si="35"/>
        <v>0.98696276099091129</v>
      </c>
      <c r="T27" s="163">
        <f t="shared" si="36"/>
        <v>1.0186173802192049</v>
      </c>
      <c r="W27" s="154">
        <f>FIGURES!ED17</f>
        <v>1.3671916904513842E-2</v>
      </c>
      <c r="X27" s="154">
        <v>1.3434877631593524E-2</v>
      </c>
      <c r="Y27" s="154">
        <v>1.3182035740478514E-2</v>
      </c>
      <c r="Z27" s="154">
        <v>1.3671916904513842E-2</v>
      </c>
      <c r="AB27" s="163">
        <f t="shared" si="37"/>
        <v>1</v>
      </c>
      <c r="AC27" s="163">
        <f t="shared" si="38"/>
        <v>0.98118018652284367</v>
      </c>
      <c r="AD27" s="163">
        <f t="shared" si="39"/>
        <v>1.0176435751348338</v>
      </c>
      <c r="AG27" s="154" t="s">
        <v>299</v>
      </c>
      <c r="AH27" s="154" t="s">
        <v>116</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16</v>
      </c>
      <c r="B28" s="154" t="s">
        <v>13</v>
      </c>
      <c r="C28" s="154" t="s">
        <v>95</v>
      </c>
      <c r="D28" s="154">
        <f>FIGURES!Y17</f>
        <v>2.2041384862265825E-2</v>
      </c>
      <c r="E28" s="154">
        <v>2.133769640797668E-2</v>
      </c>
      <c r="F28" s="154">
        <v>2.1029498679895606E-2</v>
      </c>
      <c r="G28" s="154">
        <v>2.2041384862265825E-2</v>
      </c>
      <c r="I28" s="163">
        <f t="shared" si="31"/>
        <v>1</v>
      </c>
      <c r="J28" s="163">
        <f t="shared" si="32"/>
        <v>0.98555618553248037</v>
      </c>
      <c r="K28" s="163">
        <f t="shared" si="33"/>
        <v>1.0329786515298851</v>
      </c>
      <c r="M28" s="154">
        <f>FIGURES!CB17</f>
        <v>1.8362459770413571E-2</v>
      </c>
      <c r="N28" s="154">
        <v>1.7772633240648497E-2</v>
      </c>
      <c r="O28" s="154">
        <v>1.736035287116159E-2</v>
      </c>
      <c r="P28" s="154">
        <v>1.8362459770413571E-2</v>
      </c>
      <c r="R28" s="163">
        <f t="shared" si="34"/>
        <v>1</v>
      </c>
      <c r="S28" s="163">
        <f t="shared" si="35"/>
        <v>0.97680251632358206</v>
      </c>
      <c r="T28" s="163">
        <f t="shared" si="36"/>
        <v>1.0331873460605747</v>
      </c>
      <c r="W28" s="154">
        <f>FIGURES!EE17</f>
        <v>1.3379883134876433E-2</v>
      </c>
      <c r="X28" s="154">
        <v>1.2975657245638596E-2</v>
      </c>
      <c r="Y28" s="154">
        <v>1.2544482963784907E-2</v>
      </c>
      <c r="Z28" s="154">
        <v>1.3379883134876433E-2</v>
      </c>
      <c r="AB28" s="163">
        <f t="shared" si="37"/>
        <v>1</v>
      </c>
      <c r="AC28" s="163">
        <f t="shared" si="38"/>
        <v>0.9667705247070536</v>
      </c>
      <c r="AD28" s="163">
        <f t="shared" si="39"/>
        <v>1.0311526330871377</v>
      </c>
      <c r="AG28" s="154" t="s">
        <v>95</v>
      </c>
      <c r="AH28" s="154" t="s">
        <v>116</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16</v>
      </c>
      <c r="B29" s="154" t="s">
        <v>20</v>
      </c>
      <c r="C29" s="154" t="s">
        <v>100</v>
      </c>
      <c r="D29" s="154">
        <f>FIGURES!Z17</f>
        <v>2.2179603065261261E-2</v>
      </c>
      <c r="E29" s="154">
        <v>2.2729999851833028E-2</v>
      </c>
      <c r="F29" s="154">
        <v>2.2919198747217075E-2</v>
      </c>
      <c r="G29" s="154">
        <v>2.2179603065261261E-2</v>
      </c>
      <c r="I29" s="163">
        <f t="shared" si="31"/>
        <v>1</v>
      </c>
      <c r="J29" s="163">
        <f t="shared" si="32"/>
        <v>1.0083237526008513</v>
      </c>
      <c r="K29" s="163">
        <f t="shared" si="33"/>
        <v>0.97578544697934166</v>
      </c>
      <c r="M29" s="154">
        <f>FIGURES!CC17</f>
        <v>1.9813500124440376E-2</v>
      </c>
      <c r="N29" s="154">
        <v>2.168255587884035E-2</v>
      </c>
      <c r="O29" s="154">
        <v>2.2450818060096783E-2</v>
      </c>
      <c r="P29" s="154">
        <v>1.9813500124440376E-2</v>
      </c>
      <c r="R29" s="163">
        <f t="shared" si="34"/>
        <v>1</v>
      </c>
      <c r="S29" s="163">
        <f t="shared" si="35"/>
        <v>1.0354322703259429</v>
      </c>
      <c r="T29" s="163">
        <f t="shared" si="36"/>
        <v>0.91379910353539295</v>
      </c>
      <c r="W29" s="154">
        <f>FIGURES!EF17</f>
        <v>1.9133597010586624E-2</v>
      </c>
      <c r="X29" s="154">
        <v>2.1140251961629539E-2</v>
      </c>
      <c r="Y29" s="154">
        <v>2.2458910929457742E-2</v>
      </c>
      <c r="Z29" s="154">
        <v>1.9133597010586624E-2</v>
      </c>
      <c r="AB29" s="163">
        <f t="shared" si="37"/>
        <v>1</v>
      </c>
      <c r="AC29" s="163">
        <f t="shared" si="38"/>
        <v>1.062376691168186</v>
      </c>
      <c r="AD29" s="163">
        <f t="shared" si="39"/>
        <v>0.90507894822232582</v>
      </c>
      <c r="AG29" s="154" t="s">
        <v>394</v>
      </c>
      <c r="AH29" s="154" t="s">
        <v>116</v>
      </c>
      <c r="AI29" s="154">
        <v>2023</v>
      </c>
      <c r="AJ29" s="154" t="str">
        <f t="shared" ref="AJ29:AL29" si="43">A19</f>
        <v>Road</v>
      </c>
      <c r="AK29" s="154" t="str">
        <f t="shared" si="43"/>
        <v>Neo bulk</v>
      </c>
      <c r="AL29" s="154" t="str">
        <f t="shared" si="43"/>
        <v>Diesel</v>
      </c>
      <c r="AM29" s="164">
        <f t="shared" si="23"/>
        <v>1.0045796038386168</v>
      </c>
    </row>
    <row r="30" spans="1:39" x14ac:dyDescent="0.25">
      <c r="A30" s="154" t="s">
        <v>16</v>
      </c>
      <c r="B30" s="154" t="s">
        <v>20</v>
      </c>
      <c r="C30" s="154" t="s">
        <v>285</v>
      </c>
      <c r="D30" s="154">
        <f>FIGURES!AA17</f>
        <v>1.8943604708840517E-2</v>
      </c>
      <c r="E30" s="154">
        <v>1.8508070055702812E-2</v>
      </c>
      <c r="F30" s="154">
        <v>1.831731690382225E-2</v>
      </c>
      <c r="G30" s="154">
        <v>1.8943604708840517E-2</v>
      </c>
      <c r="I30" s="163">
        <f t="shared" si="31"/>
        <v>1</v>
      </c>
      <c r="J30" s="163">
        <f t="shared" si="32"/>
        <v>0.98969351470431755</v>
      </c>
      <c r="K30" s="163">
        <f t="shared" si="33"/>
        <v>1.0235321485074833</v>
      </c>
      <c r="M30" s="154">
        <f>FIGURES!CD17</f>
        <v>1.9186180971347597E-2</v>
      </c>
      <c r="N30" s="154">
        <v>1.8781519660710795E-2</v>
      </c>
      <c r="O30" s="154">
        <v>1.8498146481327523E-2</v>
      </c>
      <c r="P30" s="154">
        <v>1.9186180971347597E-2</v>
      </c>
      <c r="R30" s="163">
        <f t="shared" si="34"/>
        <v>1</v>
      </c>
      <c r="S30" s="163">
        <f t="shared" si="35"/>
        <v>0.98491212721321675</v>
      </c>
      <c r="T30" s="163">
        <f t="shared" si="36"/>
        <v>1.0215457171702307</v>
      </c>
      <c r="W30" s="154">
        <f>FIGURES!EG17</f>
        <v>1.8750646318209892E-2</v>
      </c>
      <c r="X30" s="154">
        <v>1.8419860505700242E-2</v>
      </c>
      <c r="Y30" s="154">
        <v>1.8067022305689948E-2</v>
      </c>
      <c r="Z30" s="154">
        <v>1.8750646318209892E-2</v>
      </c>
      <c r="AB30" s="163">
        <f t="shared" si="37"/>
        <v>1</v>
      </c>
      <c r="AC30" s="163">
        <f t="shared" si="38"/>
        <v>0.98084468664129654</v>
      </c>
      <c r="AD30" s="163">
        <f t="shared" si="39"/>
        <v>1.0179581062737844</v>
      </c>
      <c r="AG30" s="154" t="s">
        <v>299</v>
      </c>
      <c r="AH30" s="154" t="s">
        <v>116</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16</v>
      </c>
      <c r="B31" s="154" t="s">
        <v>20</v>
      </c>
      <c r="C31" s="154" t="s">
        <v>299</v>
      </c>
      <c r="D31" s="154">
        <f>FIGURES!AB17</f>
        <v>2.5968273679995914E-2</v>
      </c>
      <c r="E31" s="154">
        <v>2.5498255477549962E-2</v>
      </c>
      <c r="F31" s="154">
        <v>2.5292399404073643E-2</v>
      </c>
      <c r="G31" s="154">
        <v>2.5968273679995914E-2</v>
      </c>
      <c r="I31" s="163">
        <f t="shared" si="31"/>
        <v>1</v>
      </c>
      <c r="J31" s="163">
        <f t="shared" si="32"/>
        <v>0.99192666048633926</v>
      </c>
      <c r="K31" s="163">
        <f t="shared" si="33"/>
        <v>1.0184333474444862</v>
      </c>
      <c r="M31" s="154">
        <f>FIGURES!CE17</f>
        <v>2.3982790832993116E-2</v>
      </c>
      <c r="N31" s="154">
        <v>2.3547580340845191E-2</v>
      </c>
      <c r="O31" s="154">
        <v>2.3242814410376483E-2</v>
      </c>
      <c r="P31" s="154">
        <v>2.3982790832993116E-2</v>
      </c>
      <c r="R31" s="163">
        <f t="shared" si="34"/>
        <v>1</v>
      </c>
      <c r="S31" s="163">
        <f t="shared" si="35"/>
        <v>0.98705744173892607</v>
      </c>
      <c r="T31" s="163">
        <f t="shared" si="36"/>
        <v>1.0184821746374093</v>
      </c>
      <c r="W31" s="154">
        <f>FIGURES!EH17</f>
        <v>2.0599626753889825E-2</v>
      </c>
      <c r="X31" s="154">
        <v>2.0245434172372331E-2</v>
      </c>
      <c r="Y31" s="154">
        <v>1.9867628752087009E-2</v>
      </c>
      <c r="Z31" s="154">
        <v>2.0599626753889825E-2</v>
      </c>
      <c r="AB31" s="163">
        <f t="shared" si="37"/>
        <v>1</v>
      </c>
      <c r="AC31" s="163">
        <f t="shared" si="38"/>
        <v>0.98133873459721155</v>
      </c>
      <c r="AD31" s="163">
        <f t="shared" si="39"/>
        <v>1.0174949363151145</v>
      </c>
      <c r="AG31" s="154" t="s">
        <v>95</v>
      </c>
      <c r="AH31" s="154" t="s">
        <v>116</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16</v>
      </c>
      <c r="B32" s="154" t="s">
        <v>20</v>
      </c>
      <c r="C32" s="154" t="s">
        <v>95</v>
      </c>
      <c r="D32" s="154">
        <f>FIGURES!AC17</f>
        <v>3.3105868080487003E-2</v>
      </c>
      <c r="E32" s="154">
        <v>3.2054382492967229E-2</v>
      </c>
      <c r="F32" s="154">
        <v>3.1593858425521863E-2</v>
      </c>
      <c r="G32" s="154">
        <v>3.3105868080487003E-2</v>
      </c>
      <c r="I32" s="163">
        <f t="shared" si="31"/>
        <v>1</v>
      </c>
      <c r="J32" s="163">
        <f t="shared" si="32"/>
        <v>0.98563303886617049</v>
      </c>
      <c r="K32" s="163">
        <f t="shared" si="33"/>
        <v>1.0328031771552757</v>
      </c>
      <c r="M32" s="154">
        <f>FIGURES!CF17</f>
        <v>2.7608638890397191E-2</v>
      </c>
      <c r="N32" s="154">
        <v>2.6727291340349239E-2</v>
      </c>
      <c r="O32" s="154">
        <v>2.6111241916928297E-2</v>
      </c>
      <c r="P32" s="154">
        <v>2.7608638890397191E-2</v>
      </c>
      <c r="R32" s="163">
        <f t="shared" si="34"/>
        <v>1</v>
      </c>
      <c r="S32" s="163">
        <f t="shared" si="35"/>
        <v>0.97695054782858171</v>
      </c>
      <c r="T32" s="163">
        <f t="shared" si="36"/>
        <v>1.032975565642801</v>
      </c>
      <c r="W32" s="154">
        <f>FIGURES!EI17</f>
        <v>2.0163430021264243E-2</v>
      </c>
      <c r="X32" s="154">
        <v>1.9559415994822228E-2</v>
      </c>
      <c r="Y32" s="154">
        <v>1.8915134366617417E-2</v>
      </c>
      <c r="Z32" s="154">
        <v>2.0163430021264243E-2</v>
      </c>
      <c r="AB32" s="163">
        <f t="shared" si="37"/>
        <v>1</v>
      </c>
      <c r="AC32" s="163">
        <f t="shared" si="38"/>
        <v>0.96706028296676316</v>
      </c>
      <c r="AD32" s="163">
        <f t="shared" si="39"/>
        <v>1.0308809847186597</v>
      </c>
      <c r="AG32" s="154" t="s">
        <v>394</v>
      </c>
      <c r="AH32" s="154" t="s">
        <v>114</v>
      </c>
      <c r="AI32" s="154">
        <v>2023</v>
      </c>
      <c r="AJ32" s="154" t="str">
        <f>A7</f>
        <v>Road</v>
      </c>
      <c r="AK32" s="154" t="str">
        <f>B7</f>
        <v>Dry bulk</v>
      </c>
      <c r="AL32" s="154" t="str">
        <f>C7</f>
        <v>Diesel</v>
      </c>
      <c r="AM32" s="164">
        <f>K7</f>
        <v>0.99123237747595705</v>
      </c>
    </row>
    <row r="33" spans="1:39" x14ac:dyDescent="0.25">
      <c r="A33" s="154" t="s">
        <v>16</v>
      </c>
      <c r="B33" s="154" t="s">
        <v>21</v>
      </c>
      <c r="C33" s="154" t="s">
        <v>100</v>
      </c>
      <c r="D33" s="154">
        <f>FIGURES!AD17</f>
        <v>2.0919868645195999E-2</v>
      </c>
      <c r="E33" s="154">
        <v>2.1470265431767766E-2</v>
      </c>
      <c r="F33" s="154">
        <v>2.1659464327151809E-2</v>
      </c>
      <c r="G33" s="154">
        <v>2.0919868645195999E-2</v>
      </c>
      <c r="I33" s="163">
        <f t="shared" si="31"/>
        <v>1</v>
      </c>
      <c r="J33" s="163">
        <f t="shared" si="32"/>
        <v>1.0088121358343387</v>
      </c>
      <c r="K33" s="163">
        <f t="shared" si="33"/>
        <v>0.9743646957546509</v>
      </c>
      <c r="M33" s="154">
        <f>FIGURES!CG17</f>
        <v>1.8553765704375114E-2</v>
      </c>
      <c r="N33" s="154">
        <v>2.0422821458775088E-2</v>
      </c>
      <c r="O33" s="154">
        <v>2.119108364003152E-2</v>
      </c>
      <c r="P33" s="154">
        <v>1.8553765704375114E-2</v>
      </c>
      <c r="R33" s="163">
        <f t="shared" si="34"/>
        <v>1</v>
      </c>
      <c r="S33" s="163">
        <f t="shared" si="35"/>
        <v>1.037617827821059</v>
      </c>
      <c r="T33" s="163">
        <f t="shared" si="36"/>
        <v>0.90848200097264742</v>
      </c>
      <c r="W33" s="154">
        <f>FIGURES!EJ17</f>
        <v>1.7873862590521362E-2</v>
      </c>
      <c r="X33" s="154">
        <v>1.9880517541564273E-2</v>
      </c>
      <c r="Y33" s="154">
        <v>2.119917650939248E-2</v>
      </c>
      <c r="Z33" s="154">
        <v>1.7873862590521362E-2</v>
      </c>
      <c r="AB33" s="163">
        <f t="shared" si="37"/>
        <v>1</v>
      </c>
      <c r="AC33" s="163">
        <f t="shared" si="38"/>
        <v>1.0663292072286992</v>
      </c>
      <c r="AD33" s="163">
        <f t="shared" si="39"/>
        <v>0.89906424986937139</v>
      </c>
      <c r="AG33" s="154" t="s">
        <v>299</v>
      </c>
      <c r="AH33" s="154" t="s">
        <v>114</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16</v>
      </c>
      <c r="B34" s="154" t="s">
        <v>21</v>
      </c>
      <c r="C34" s="154" t="s">
        <v>285</v>
      </c>
      <c r="D34" s="154">
        <f>FIGURES!AE17</f>
        <v>1.7683870288775261E-2</v>
      </c>
      <c r="E34" s="154">
        <v>1.7248335635637553E-2</v>
      </c>
      <c r="F34" s="154">
        <v>1.7057582483756988E-2</v>
      </c>
      <c r="G34" s="154">
        <v>1.7683870288775261E-2</v>
      </c>
      <c r="I34" s="163">
        <f t="shared" si="31"/>
        <v>1</v>
      </c>
      <c r="J34" s="163">
        <f t="shared" si="32"/>
        <v>0.9889407792200865</v>
      </c>
      <c r="K34" s="163">
        <f t="shared" si="33"/>
        <v>1.0252508220119414</v>
      </c>
      <c r="M34" s="154">
        <f>FIGURES!CH17</f>
        <v>1.7926446551282338E-2</v>
      </c>
      <c r="N34" s="154">
        <v>1.7521785240645533E-2</v>
      </c>
      <c r="O34" s="154">
        <v>1.7238412061262268E-2</v>
      </c>
      <c r="P34" s="154">
        <v>1.7926446551282338E-2</v>
      </c>
      <c r="R34" s="163">
        <f t="shared" si="34"/>
        <v>1</v>
      </c>
      <c r="S34" s="163">
        <f t="shared" si="35"/>
        <v>0.98382737971665579</v>
      </c>
      <c r="T34" s="163">
        <f t="shared" si="36"/>
        <v>1.0230947534785499</v>
      </c>
      <c r="W34" s="154">
        <f>FIGURES!EK17</f>
        <v>1.7490911898144633E-2</v>
      </c>
      <c r="X34" s="154">
        <v>1.716012608563498E-2</v>
      </c>
      <c r="Y34" s="154">
        <v>1.6807287885624685E-2</v>
      </c>
      <c r="Z34" s="154">
        <v>1.7490911898144633E-2</v>
      </c>
      <c r="AB34" s="163">
        <f t="shared" si="37"/>
        <v>1</v>
      </c>
      <c r="AC34" s="163">
        <f t="shared" si="38"/>
        <v>0.97943848441150672</v>
      </c>
      <c r="AD34" s="163">
        <f t="shared" si="39"/>
        <v>1.0192764208642127</v>
      </c>
      <c r="AG34" s="154" t="s">
        <v>95</v>
      </c>
      <c r="AH34" s="154" t="s">
        <v>114</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16</v>
      </c>
      <c r="B35" s="154" t="s">
        <v>21</v>
      </c>
      <c r="C35" s="154" t="s">
        <v>299</v>
      </c>
      <c r="D35" s="154">
        <f>FIGURES!AF17</f>
        <v>2.4687970144163886E-2</v>
      </c>
      <c r="E35" s="154">
        <v>2.4217951941717931E-2</v>
      </c>
      <c r="F35" s="154">
        <v>2.4012095868241601E-2</v>
      </c>
      <c r="G35" s="154">
        <v>2.4687970144163886E-2</v>
      </c>
      <c r="I35" s="163">
        <f t="shared" si="31"/>
        <v>1</v>
      </c>
      <c r="J35" s="163">
        <f t="shared" si="32"/>
        <v>0.99149985622352643</v>
      </c>
      <c r="K35" s="163">
        <f t="shared" si="33"/>
        <v>1.0194078427266304</v>
      </c>
      <c r="M35" s="154">
        <f>FIGURES!CI17</f>
        <v>2.2707029101169868E-2</v>
      </c>
      <c r="N35" s="154">
        <v>2.2271818609021943E-2</v>
      </c>
      <c r="O35" s="154">
        <v>2.1967052678553235E-2</v>
      </c>
      <c r="P35" s="154">
        <v>2.2707029101169868E-2</v>
      </c>
      <c r="R35" s="163">
        <f t="shared" si="34"/>
        <v>1</v>
      </c>
      <c r="S35" s="163">
        <f t="shared" si="35"/>
        <v>0.98631607342809213</v>
      </c>
      <c r="T35" s="163">
        <f t="shared" si="36"/>
        <v>1.0195408601240865</v>
      </c>
      <c r="W35" s="154">
        <f>FIGURES!EL17</f>
        <v>1.9329702144425247E-2</v>
      </c>
      <c r="X35" s="154">
        <v>1.8975509562907757E-2</v>
      </c>
      <c r="Y35" s="154">
        <v>1.8597704142622438E-2</v>
      </c>
      <c r="Z35" s="154">
        <v>1.9329702144425247E-2</v>
      </c>
      <c r="AB35" s="163">
        <f t="shared" si="37"/>
        <v>1</v>
      </c>
      <c r="AC35" s="163">
        <f t="shared" si="38"/>
        <v>0.98008984058990267</v>
      </c>
      <c r="AD35" s="163">
        <f t="shared" si="39"/>
        <v>1.0186657744469665</v>
      </c>
      <c r="AG35" s="154" t="s">
        <v>394</v>
      </c>
      <c r="AH35" s="154" t="s">
        <v>114</v>
      </c>
      <c r="AI35" s="154">
        <v>2023</v>
      </c>
      <c r="AJ35" s="154" t="str">
        <f t="shared" ref="AJ35:AL35" si="49">A10</f>
        <v>Road</v>
      </c>
      <c r="AK35" s="154" t="str">
        <f t="shared" si="49"/>
        <v>Liquid bulk</v>
      </c>
      <c r="AL35" s="154" t="str">
        <f t="shared" si="49"/>
        <v>Diesel</v>
      </c>
      <c r="AM35" s="164">
        <f t="shared" si="47"/>
        <v>0.98475396800030846</v>
      </c>
    </row>
    <row r="36" spans="1:39" x14ac:dyDescent="0.25">
      <c r="A36" s="154" t="s">
        <v>16</v>
      </c>
      <c r="B36" s="154" t="s">
        <v>21</v>
      </c>
      <c r="C36" s="154" t="s">
        <v>95</v>
      </c>
      <c r="D36" s="154">
        <f>FIGURES!AG17</f>
        <v>3.1835966511754063E-2</v>
      </c>
      <c r="E36" s="154">
        <v>3.0784480924234296E-2</v>
      </c>
      <c r="F36" s="154">
        <v>3.0323956856788927E-2</v>
      </c>
      <c r="G36" s="154">
        <v>3.1835966511754063E-2</v>
      </c>
      <c r="I36" s="163">
        <f t="shared" si="31"/>
        <v>1</v>
      </c>
      <c r="J36" s="163">
        <f t="shared" si="32"/>
        <v>0.98504038224393664</v>
      </c>
      <c r="K36" s="163">
        <f t="shared" si="33"/>
        <v>1.0341563526800288</v>
      </c>
      <c r="M36" s="154">
        <f>FIGURES!CJ17</f>
        <v>2.6338737321664259E-2</v>
      </c>
      <c r="N36" s="154">
        <v>2.5457389771616303E-2</v>
      </c>
      <c r="O36" s="154">
        <v>2.4841340348195354E-2</v>
      </c>
      <c r="P36" s="154">
        <v>2.6338737321664259E-2</v>
      </c>
      <c r="R36" s="163">
        <f t="shared" si="34"/>
        <v>1</v>
      </c>
      <c r="S36" s="163">
        <f t="shared" si="35"/>
        <v>0.97580076241328517</v>
      </c>
      <c r="T36" s="163">
        <f t="shared" si="36"/>
        <v>1.0346204995074009</v>
      </c>
      <c r="W36" s="154">
        <f>FIGURES!EM17</f>
        <v>1.8893528452531304E-2</v>
      </c>
      <c r="X36" s="154">
        <v>1.8289514426089285E-2</v>
      </c>
      <c r="Y36" s="154">
        <v>1.7645232797884478E-2</v>
      </c>
      <c r="Z36" s="154">
        <v>1.8893528452531304E-2</v>
      </c>
      <c r="AB36" s="163">
        <f t="shared" si="37"/>
        <v>1</v>
      </c>
      <c r="AC36" s="163">
        <f t="shared" si="38"/>
        <v>0.96477316930373147</v>
      </c>
      <c r="AD36" s="163">
        <f t="shared" si="39"/>
        <v>1.0330251537777524</v>
      </c>
      <c r="AG36" s="154" t="s">
        <v>299</v>
      </c>
      <c r="AH36" s="154" t="s">
        <v>114</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16</v>
      </c>
      <c r="B37" s="154" t="s">
        <v>22</v>
      </c>
      <c r="C37" s="154" t="s">
        <v>100</v>
      </c>
      <c r="D37" s="154">
        <f>FIGURES!AH17</f>
        <v>1.8939520639606751E-2</v>
      </c>
      <c r="E37" s="154">
        <v>1.9265681698315947E-2</v>
      </c>
      <c r="F37" s="154">
        <v>1.9377799562247236E-2</v>
      </c>
      <c r="G37" s="154">
        <v>1.8939520639606751E-2</v>
      </c>
      <c r="I37" s="163">
        <f t="shared" si="31"/>
        <v>1</v>
      </c>
      <c r="J37" s="163">
        <f t="shared" si="32"/>
        <v>1.0058195638071343</v>
      </c>
      <c r="K37" s="163">
        <f t="shared" si="33"/>
        <v>0.98307035983379165</v>
      </c>
      <c r="M37" s="154">
        <f>FIGURES!CK17</f>
        <v>1.7537385563564746E-2</v>
      </c>
      <c r="N37" s="154">
        <v>1.8644974158764732E-2</v>
      </c>
      <c r="O37" s="154">
        <v>1.910024063654632E-2</v>
      </c>
      <c r="P37" s="154">
        <v>1.7537385563564746E-2</v>
      </c>
      <c r="R37" s="163">
        <f t="shared" si="34"/>
        <v>1</v>
      </c>
      <c r="S37" s="163">
        <f t="shared" si="35"/>
        <v>1.0244176513147685</v>
      </c>
      <c r="T37" s="163">
        <f t="shared" si="36"/>
        <v>0.94059586321929411</v>
      </c>
      <c r="W37" s="154">
        <f>FIGURES!EN17</f>
        <v>1.7134480014614373E-2</v>
      </c>
      <c r="X37" s="154">
        <v>1.8323608874491658E-2</v>
      </c>
      <c r="Y37" s="154">
        <v>1.9105036410982441E-2</v>
      </c>
      <c r="Z37" s="154">
        <v>1.7134480014614373E-2</v>
      </c>
      <c r="AB37" s="163">
        <f t="shared" si="37"/>
        <v>1</v>
      </c>
      <c r="AC37" s="163">
        <f t="shared" si="38"/>
        <v>1.0426459406464745</v>
      </c>
      <c r="AD37" s="163">
        <f t="shared" si="39"/>
        <v>0.9351040033640603</v>
      </c>
      <c r="AG37" s="154" t="s">
        <v>95</v>
      </c>
      <c r="AH37" s="154" t="s">
        <v>114</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16</v>
      </c>
      <c r="B38" s="154" t="s">
        <v>22</v>
      </c>
      <c r="C38" s="154" t="s">
        <v>285</v>
      </c>
      <c r="D38" s="154">
        <f>FIGURES!AI17</f>
        <v>1.7021891983950016E-2</v>
      </c>
      <c r="E38" s="154">
        <v>1.6763797374683229E-2</v>
      </c>
      <c r="F38" s="154">
        <v>1.6650758469865117E-2</v>
      </c>
      <c r="G38" s="154">
        <v>1.7021891983950016E-2</v>
      </c>
      <c r="I38" s="163">
        <f t="shared" si="31"/>
        <v>1</v>
      </c>
      <c r="J38" s="163">
        <f t="shared" si="32"/>
        <v>0.99325696306799649</v>
      </c>
      <c r="K38" s="163">
        <f t="shared" si="33"/>
        <v>1.0153959513765396</v>
      </c>
      <c r="M38" s="154">
        <f>FIGURES!CL17</f>
        <v>1.7165640880250507E-2</v>
      </c>
      <c r="N38" s="154">
        <v>1.6925841585058325E-2</v>
      </c>
      <c r="O38" s="154">
        <v>1.6757916738016389E-2</v>
      </c>
      <c r="P38" s="154">
        <v>1.7165640880250507E-2</v>
      </c>
      <c r="R38" s="163">
        <f t="shared" si="34"/>
        <v>1</v>
      </c>
      <c r="S38" s="163">
        <f t="shared" si="35"/>
        <v>0.99007878892177648</v>
      </c>
      <c r="T38" s="163">
        <f t="shared" si="36"/>
        <v>1.0141676438354399</v>
      </c>
      <c r="W38" s="154">
        <f>FIGURES!EO17</f>
        <v>1.6907546270983717E-2</v>
      </c>
      <c r="X38" s="154">
        <v>1.6711525048755775E-2</v>
      </c>
      <c r="Y38" s="154">
        <v>1.6502435745045972E-2</v>
      </c>
      <c r="Z38" s="154">
        <v>1.6907546270983717E-2</v>
      </c>
      <c r="AB38" s="163">
        <f t="shared" si="37"/>
        <v>1</v>
      </c>
      <c r="AC38" s="163">
        <f t="shared" si="38"/>
        <v>0.9874883170087837</v>
      </c>
      <c r="AD38" s="163">
        <f t="shared" si="39"/>
        <v>1.0117297028042653</v>
      </c>
      <c r="AG38" s="154" t="s">
        <v>394</v>
      </c>
      <c r="AH38" s="154" t="s">
        <v>114</v>
      </c>
      <c r="AI38" s="154">
        <v>2023</v>
      </c>
      <c r="AJ38" s="154" t="str">
        <f t="shared" ref="AJ38:AL38" si="52">A13</f>
        <v>Road</v>
      </c>
      <c r="AK38" s="154" t="str">
        <f t="shared" si="52"/>
        <v>Container</v>
      </c>
      <c r="AL38" s="154" t="str">
        <f t="shared" si="52"/>
        <v>Diesel</v>
      </c>
      <c r="AM38" s="164">
        <f t="shared" si="47"/>
        <v>0.98489529588568936</v>
      </c>
    </row>
    <row r="39" spans="1:39" x14ac:dyDescent="0.25">
      <c r="A39" s="154" t="s">
        <v>16</v>
      </c>
      <c r="B39" s="154" t="s">
        <v>22</v>
      </c>
      <c r="C39" s="154" t="s">
        <v>299</v>
      </c>
      <c r="D39" s="154">
        <f>FIGURES!AJ17</f>
        <v>2.1502702114462001E-2</v>
      </c>
      <c r="E39" s="154">
        <v>2.1221213958628901E-2</v>
      </c>
      <c r="F39" s="154">
        <v>2.1097929272656427E-2</v>
      </c>
      <c r="G39" s="154">
        <v>2.1502702114462001E-2</v>
      </c>
      <c r="I39" s="163">
        <f t="shared" si="31"/>
        <v>1</v>
      </c>
      <c r="J39" s="163">
        <f t="shared" si="32"/>
        <v>0.99419049795111536</v>
      </c>
      <c r="K39" s="163">
        <f t="shared" si="33"/>
        <v>1.0132644699960081</v>
      </c>
      <c r="M39" s="154">
        <f>FIGURES!CM17</f>
        <v>2.0246558840251564E-2</v>
      </c>
      <c r="N39" s="154">
        <v>1.9986514239513552E-2</v>
      </c>
      <c r="O39" s="154">
        <v>1.9804412162157507E-2</v>
      </c>
      <c r="P39" s="154">
        <v>2.0246558840251564E-2</v>
      </c>
      <c r="R39" s="163">
        <f t="shared" si="34"/>
        <v>1</v>
      </c>
      <c r="S39" s="163">
        <f t="shared" si="35"/>
        <v>0.99088875252714015</v>
      </c>
      <c r="T39" s="163">
        <f t="shared" si="36"/>
        <v>1.0130110032005433</v>
      </c>
      <c r="W39" s="154">
        <f>FIGURES!EP17</f>
        <v>1.8144564980957366E-2</v>
      </c>
      <c r="X39" s="154">
        <v>1.7933559776614191E-2</v>
      </c>
      <c r="Y39" s="154">
        <v>1.7708487558648144E-2</v>
      </c>
      <c r="Z39" s="154">
        <v>1.8144564980957366E-2</v>
      </c>
      <c r="AB39" s="163">
        <f t="shared" si="37"/>
        <v>1</v>
      </c>
      <c r="AC39" s="163">
        <f t="shared" si="38"/>
        <v>0.98744966304684545</v>
      </c>
      <c r="AD39" s="163">
        <f t="shared" si="39"/>
        <v>1.0117659408935826</v>
      </c>
      <c r="AG39" s="154" t="s">
        <v>299</v>
      </c>
      <c r="AH39" s="154" t="s">
        <v>114</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16</v>
      </c>
      <c r="B40" s="154" t="s">
        <v>22</v>
      </c>
      <c r="C40" s="154" t="s">
        <v>95</v>
      </c>
      <c r="D40" s="154">
        <f>FIGURES!AK17</f>
        <v>2.5594574169206932E-2</v>
      </c>
      <c r="E40" s="154">
        <v>2.4968173966746804E-2</v>
      </c>
      <c r="F40" s="154">
        <v>2.4693826536302244E-2</v>
      </c>
      <c r="G40" s="154">
        <v>2.5594574169206932E-2</v>
      </c>
      <c r="I40" s="163">
        <f>E40/E40</f>
        <v>1</v>
      </c>
      <c r="J40" s="163">
        <f>F40/E40</f>
        <v>0.98901211475016382</v>
      </c>
      <c r="K40" s="163">
        <f>G40/E40</f>
        <v>1.0250879460906666</v>
      </c>
      <c r="M40" s="154">
        <f>FIGURES!CN17</f>
        <v>2.2319716654740793E-2</v>
      </c>
      <c r="N40" s="154">
        <v>2.1794672573927469E-2</v>
      </c>
      <c r="O40" s="154">
        <v>2.1427674216425909E-2</v>
      </c>
      <c r="P40" s="154">
        <v>2.2319716654740793E-2</v>
      </c>
      <c r="R40" s="163">
        <f>N40/N40</f>
        <v>1</v>
      </c>
      <c r="S40" s="163">
        <f>O40/N40</f>
        <v>0.98316109791249662</v>
      </c>
      <c r="T40" s="163">
        <f>P40/N40</f>
        <v>1.0240904780300037</v>
      </c>
      <c r="W40" s="154">
        <f>FIGURES!EQ17</f>
        <v>1.7884391626669393E-2</v>
      </c>
      <c r="X40" s="154">
        <v>1.7524563101254713E-2</v>
      </c>
      <c r="Y40" s="154">
        <v>1.7140746007479047E-2</v>
      </c>
      <c r="Z40" s="154">
        <v>1.7884391626669393E-2</v>
      </c>
      <c r="AB40" s="163">
        <f>X40/X40</f>
        <v>1</v>
      </c>
      <c r="AC40" s="163">
        <f>Y40/X40</f>
        <v>0.97809833594378248</v>
      </c>
      <c r="AD40" s="163">
        <f>Z40/X40</f>
        <v>1.0205328100527036</v>
      </c>
      <c r="AG40" s="154" t="s">
        <v>95</v>
      </c>
      <c r="AH40" s="154" t="s">
        <v>114</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16</v>
      </c>
      <c r="B41" s="154" t="s">
        <v>23</v>
      </c>
      <c r="C41" s="154" t="s">
        <v>100</v>
      </c>
      <c r="D41" s="154">
        <f>FIGURES!AL17</f>
        <v>2.1760421369870931E-2</v>
      </c>
      <c r="E41" s="154">
        <v>2.2310818156442702E-2</v>
      </c>
      <c r="F41" s="154">
        <v>2.2500017051826748E-2</v>
      </c>
      <c r="G41" s="154">
        <v>2.1760421369870931E-2</v>
      </c>
      <c r="I41" s="163">
        <f t="shared" ref="I41:I44" si="55">E41/E41</f>
        <v>1</v>
      </c>
      <c r="J41" s="163">
        <f t="shared" ref="J41:J44" si="56">F41/E41</f>
        <v>1.008480141519571</v>
      </c>
      <c r="K41" s="163">
        <f t="shared" ref="K41:K44" si="57">G41/E41</f>
        <v>0.97533049739761191</v>
      </c>
      <c r="M41" s="154">
        <f>FIGURES!CO17</f>
        <v>1.939431842905005E-2</v>
      </c>
      <c r="N41" s="154">
        <v>2.1263374183450028E-2</v>
      </c>
      <c r="O41" s="154">
        <v>2.2031636364706456E-2</v>
      </c>
      <c r="P41" s="154">
        <v>1.939431842905005E-2</v>
      </c>
      <c r="R41" s="163">
        <f t="shared" ref="R41:R44" si="58">N41/N41</f>
        <v>1</v>
      </c>
      <c r="S41" s="163">
        <f t="shared" ref="S41:S44" si="59">O41/N41</f>
        <v>1.0361307746657815</v>
      </c>
      <c r="T41" s="163">
        <f t="shared" ref="T41:T44" si="60">P41/N41</f>
        <v>0.91209975715638192</v>
      </c>
      <c r="W41" s="154">
        <f>FIGURES!ER17</f>
        <v>1.8714415315196298E-2</v>
      </c>
      <c r="X41" s="154">
        <v>2.0721070266239212E-2</v>
      </c>
      <c r="Y41" s="154">
        <v>2.2039729234067412E-2</v>
      </c>
      <c r="Z41" s="154">
        <v>1.8714415315196298E-2</v>
      </c>
      <c r="AB41" s="163">
        <f t="shared" ref="AB41:AB44" si="61">X41/X41</f>
        <v>1</v>
      </c>
      <c r="AC41" s="163">
        <f t="shared" ref="AC41:AC44" si="62">Y41/X41</f>
        <v>1.0636385549049889</v>
      </c>
      <c r="AD41" s="163">
        <f t="shared" ref="AD41:AD44" si="63">Z41/X41</f>
        <v>0.90315872079675574</v>
      </c>
      <c r="AG41" s="154" t="s">
        <v>394</v>
      </c>
      <c r="AH41" s="154" t="s">
        <v>114</v>
      </c>
      <c r="AI41" s="154">
        <v>2023</v>
      </c>
      <c r="AJ41" s="154" t="str">
        <f t="shared" ref="AJ41:AL41" si="64">A16</f>
        <v>Road</v>
      </c>
      <c r="AK41" s="154" t="str">
        <f t="shared" si="64"/>
        <v>Break bulk</v>
      </c>
      <c r="AL41" s="154" t="str">
        <f t="shared" si="64"/>
        <v>Diesel</v>
      </c>
      <c r="AM41" s="164">
        <f t="shared" si="47"/>
        <v>0.98820136773318645</v>
      </c>
    </row>
    <row r="42" spans="1:39" x14ac:dyDescent="0.25">
      <c r="A42" s="154" t="s">
        <v>16</v>
      </c>
      <c r="B42" s="154" t="s">
        <v>23</v>
      </c>
      <c r="C42" s="154" t="s">
        <v>285</v>
      </c>
      <c r="D42" s="154">
        <f>FIGURES!AM17</f>
        <v>1.8524423013450197E-2</v>
      </c>
      <c r="E42" s="154">
        <v>1.8088888360312493E-2</v>
      </c>
      <c r="F42" s="154">
        <v>1.7898135208431927E-2</v>
      </c>
      <c r="G42" s="154">
        <v>1.8524423013450197E-2</v>
      </c>
      <c r="I42" s="163">
        <f t="shared" si="55"/>
        <v>1</v>
      </c>
      <c r="J42" s="163">
        <f t="shared" si="56"/>
        <v>0.9894546780276956</v>
      </c>
      <c r="K42" s="163">
        <f t="shared" si="57"/>
        <v>1.0240774692431227</v>
      </c>
      <c r="M42" s="154">
        <f>FIGURES!CP17</f>
        <v>1.8766999275957274E-2</v>
      </c>
      <c r="N42" s="154">
        <v>1.8362337965320469E-2</v>
      </c>
      <c r="O42" s="154">
        <v>1.8078964785937204E-2</v>
      </c>
      <c r="P42" s="154">
        <v>1.8766999275957274E-2</v>
      </c>
      <c r="R42" s="163">
        <f t="shared" si="58"/>
        <v>1</v>
      </c>
      <c r="S42" s="163">
        <f t="shared" si="59"/>
        <v>0.98456769612244088</v>
      </c>
      <c r="T42" s="163">
        <f t="shared" si="60"/>
        <v>1.0220375701286546</v>
      </c>
      <c r="W42" s="154">
        <f>FIGURES!ES17</f>
        <v>1.8331464622819565E-2</v>
      </c>
      <c r="X42" s="154">
        <v>1.8000678810309916E-2</v>
      </c>
      <c r="Y42" s="154">
        <v>1.7647840610299621E-2</v>
      </c>
      <c r="Z42" s="154">
        <v>1.8331464622819565E-2</v>
      </c>
      <c r="AB42" s="163">
        <f t="shared" si="61"/>
        <v>1</v>
      </c>
      <c r="AC42" s="163">
        <f t="shared" si="62"/>
        <v>0.98039861697836606</v>
      </c>
      <c r="AD42" s="163">
        <f t="shared" si="63"/>
        <v>1.0183762965827818</v>
      </c>
      <c r="AG42" s="154" t="s">
        <v>299</v>
      </c>
      <c r="AH42" s="154" t="s">
        <v>114</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16</v>
      </c>
      <c r="B43" s="154" t="s">
        <v>23</v>
      </c>
      <c r="C43" s="154" t="s">
        <v>299</v>
      </c>
      <c r="D43" s="154">
        <f>FIGURES!AN17</f>
        <v>2.5397503776248789E-2</v>
      </c>
      <c r="E43" s="154">
        <v>2.49301340667612E-2</v>
      </c>
      <c r="F43" s="154">
        <v>2.4725437966150184E-2</v>
      </c>
      <c r="G43" s="154">
        <v>2.5397503776248789E-2</v>
      </c>
      <c r="I43" s="163">
        <f t="shared" si="55"/>
        <v>1</v>
      </c>
      <c r="J43" s="163">
        <f t="shared" si="56"/>
        <v>0.99178920979474661</v>
      </c>
      <c r="K43" s="163">
        <f t="shared" si="57"/>
        <v>1.0187471799484111</v>
      </c>
      <c r="M43" s="154">
        <f>FIGURES!CQ17</f>
        <v>2.3454140879343735E-2</v>
      </c>
      <c r="N43" s="154">
        <v>2.302084239242996E-2</v>
      </c>
      <c r="O43" s="154">
        <v>2.2717415386607508E-2</v>
      </c>
      <c r="P43" s="154">
        <v>2.3454140879343735E-2</v>
      </c>
      <c r="R43" s="163">
        <f t="shared" si="58"/>
        <v>1</v>
      </c>
      <c r="S43" s="163">
        <f t="shared" si="59"/>
        <v>0.9868194655673318</v>
      </c>
      <c r="T43" s="163">
        <f t="shared" si="60"/>
        <v>1.0188220083143551</v>
      </c>
      <c r="W43" s="154">
        <f>FIGURES!ET17</f>
        <v>2.0120246053379153E-2</v>
      </c>
      <c r="X43" s="154">
        <v>1.976704357882381E-2</v>
      </c>
      <c r="Y43" s="154">
        <v>1.9390294272631441E-2</v>
      </c>
      <c r="Z43" s="154">
        <v>2.0120246053379153E-2</v>
      </c>
      <c r="AB43" s="163">
        <f t="shared" si="61"/>
        <v>1</v>
      </c>
      <c r="AC43" s="163">
        <f t="shared" si="62"/>
        <v>0.98094053343434851</v>
      </c>
      <c r="AD43" s="163">
        <f t="shared" si="63"/>
        <v>1.0178682499052982</v>
      </c>
      <c r="AG43" s="154" t="s">
        <v>95</v>
      </c>
      <c r="AH43" s="154" t="s">
        <v>114</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16</v>
      </c>
      <c r="B44" s="154" t="s">
        <v>23</v>
      </c>
      <c r="C44" s="154" t="s">
        <v>95</v>
      </c>
      <c r="D44" s="154">
        <f>FIGURES!AO17</f>
        <v>3.259174240264022E-2</v>
      </c>
      <c r="E44" s="154">
        <v>3.1543189491869697E-2</v>
      </c>
      <c r="F44" s="154">
        <v>3.1083949862595519E-2</v>
      </c>
      <c r="G44" s="154">
        <v>3.259174240264022E-2</v>
      </c>
      <c r="I44" s="163">
        <f t="shared" si="55"/>
        <v>1</v>
      </c>
      <c r="J44" s="163">
        <f t="shared" si="56"/>
        <v>0.98544092602326894</v>
      </c>
      <c r="K44" s="163">
        <f t="shared" si="57"/>
        <v>1.033241816305253</v>
      </c>
      <c r="M44" s="154">
        <f>FIGURES!CR17</f>
        <v>2.7109845421020403E-2</v>
      </c>
      <c r="N44" s="154">
        <v>2.6230956019233066E-2</v>
      </c>
      <c r="O44" s="154">
        <v>2.5616624806543579E-2</v>
      </c>
      <c r="P44" s="154">
        <v>2.7109845421020403E-2</v>
      </c>
      <c r="R44" s="163">
        <f t="shared" si="58"/>
        <v>1</v>
      </c>
      <c r="S44" s="163">
        <f t="shared" si="59"/>
        <v>0.97657991526351362</v>
      </c>
      <c r="T44" s="163">
        <f t="shared" si="60"/>
        <v>1.0335058089816824</v>
      </c>
      <c r="W44" s="154">
        <f>FIGURES!EU17</f>
        <v>1.9685401830273497E-2</v>
      </c>
      <c r="X44" s="154">
        <v>1.9083072446885646E-2</v>
      </c>
      <c r="Y44" s="154">
        <v>1.8440587771271937E-2</v>
      </c>
      <c r="Z44" s="154">
        <v>1.9685401830273497E-2</v>
      </c>
      <c r="AB44" s="163">
        <f t="shared" si="61"/>
        <v>1</v>
      </c>
      <c r="AC44" s="163">
        <f t="shared" si="62"/>
        <v>0.96633222048483269</v>
      </c>
      <c r="AD44" s="163">
        <f t="shared" si="63"/>
        <v>1.0315635432954693</v>
      </c>
      <c r="AG44" s="154" t="s">
        <v>394</v>
      </c>
      <c r="AH44" s="154" t="s">
        <v>114</v>
      </c>
      <c r="AI44" s="154">
        <v>2023</v>
      </c>
      <c r="AJ44" s="154" t="str">
        <f t="shared" ref="AJ44:AL44" si="67">A19</f>
        <v>Road</v>
      </c>
      <c r="AK44" s="154" t="str">
        <f t="shared" si="67"/>
        <v>Neo bulk</v>
      </c>
      <c r="AL44" s="154" t="str">
        <f t="shared" si="67"/>
        <v>Diesel</v>
      </c>
      <c r="AM44" s="164">
        <f t="shared" si="47"/>
        <v>0.98667751610584209</v>
      </c>
    </row>
    <row r="45" spans="1:39" x14ac:dyDescent="0.25">
      <c r="AG45" s="154" t="s">
        <v>299</v>
      </c>
      <c r="AH45" s="154" t="s">
        <v>114</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401</v>
      </c>
      <c r="I46" s="197" t="s">
        <v>396</v>
      </c>
      <c r="J46" s="197"/>
      <c r="K46" s="197"/>
      <c r="S46" s="197" t="s">
        <v>396</v>
      </c>
      <c r="T46" s="197"/>
      <c r="U46" s="197"/>
      <c r="AB46" s="197" t="s">
        <v>396</v>
      </c>
      <c r="AC46" s="197"/>
      <c r="AD46" s="197"/>
      <c r="AG46" s="154" t="s">
        <v>95</v>
      </c>
      <c r="AH46" s="154" t="s">
        <v>114</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397</v>
      </c>
      <c r="E47" s="154" t="s">
        <v>58</v>
      </c>
      <c r="F47" s="154" t="s">
        <v>116</v>
      </c>
      <c r="G47" s="154" t="s">
        <v>114</v>
      </c>
      <c r="I47" s="154" t="s">
        <v>58</v>
      </c>
      <c r="J47" s="154" t="s">
        <v>116</v>
      </c>
      <c r="K47" s="154" t="s">
        <v>114</v>
      </c>
      <c r="N47" s="161" t="s">
        <v>397</v>
      </c>
      <c r="O47" s="154" t="s">
        <v>58</v>
      </c>
      <c r="P47" s="154" t="s">
        <v>116</v>
      </c>
      <c r="Q47" s="154" t="s">
        <v>114</v>
      </c>
      <c r="S47" s="154" t="s">
        <v>58</v>
      </c>
      <c r="T47" s="154" t="s">
        <v>116</v>
      </c>
      <c r="U47" s="154" t="s">
        <v>114</v>
      </c>
      <c r="W47" s="161" t="s">
        <v>397</v>
      </c>
      <c r="X47" s="154" t="s">
        <v>58</v>
      </c>
      <c r="Y47" s="154" t="s">
        <v>116</v>
      </c>
      <c r="Z47" s="154" t="s">
        <v>114</v>
      </c>
      <c r="AB47" s="154" t="s">
        <v>58</v>
      </c>
      <c r="AC47" s="154" t="s">
        <v>116</v>
      </c>
      <c r="AD47" s="154" t="s">
        <v>114</v>
      </c>
      <c r="AG47" s="154" t="s">
        <v>394</v>
      </c>
      <c r="AH47" s="154" t="s">
        <v>58</v>
      </c>
      <c r="AI47" s="154">
        <v>2034</v>
      </c>
      <c r="AJ47" s="154" t="str">
        <f>A7</f>
        <v>Road</v>
      </c>
      <c r="AK47" s="154" t="str">
        <f>B7</f>
        <v>Dry bulk</v>
      </c>
      <c r="AL47" s="154" t="str">
        <f>C7</f>
        <v>Diesel</v>
      </c>
      <c r="AM47" s="164">
        <f>R7</f>
        <v>1</v>
      </c>
    </row>
    <row r="48" spans="1:39" x14ac:dyDescent="0.25">
      <c r="A48" s="154" t="s">
        <v>15</v>
      </c>
      <c r="B48" s="154" t="s">
        <v>13</v>
      </c>
      <c r="C48" s="154" t="s">
        <v>102</v>
      </c>
      <c r="D48" s="154">
        <f>FIGURES!B17</f>
        <v>6.4142656974671992E-3</v>
      </c>
      <c r="E48" s="154">
        <v>6.723447093602411E-3</v>
      </c>
      <c r="F48" s="154">
        <v>6.8297281985238902E-3</v>
      </c>
      <c r="G48" s="154">
        <v>6.4142656974671992E-3</v>
      </c>
      <c r="I48" s="163">
        <f>E48/E48</f>
        <v>1</v>
      </c>
      <c r="J48" s="163">
        <f>F48/E48</f>
        <v>1.0158075319760618</v>
      </c>
      <c r="K48" s="163">
        <f>G48/E48</f>
        <v>0.9540144524332751</v>
      </c>
      <c r="N48" s="154">
        <f>FIGURES!BE17</f>
        <v>5.0407860100282875E-3</v>
      </c>
      <c r="O48" s="154">
        <v>6.0827461416992253E-3</v>
      </c>
      <c r="P48" s="154">
        <v>6.5110365025701023E-3</v>
      </c>
      <c r="Q48" s="154">
        <v>5.0407860100282875E-3</v>
      </c>
      <c r="S48" s="163">
        <f>O48/O48</f>
        <v>1</v>
      </c>
      <c r="T48" s="163">
        <f>P48/O48</f>
        <v>1.0704106913051665</v>
      </c>
      <c r="U48" s="163">
        <f>Q48/O48</f>
        <v>0.82870234801877418</v>
      </c>
      <c r="W48" s="154">
        <f>FIGURES!DH17</f>
        <v>4.6215283757355171E-3</v>
      </c>
      <c r="X48" s="154">
        <v>5.6683610640826379E-3</v>
      </c>
      <c r="Y48" s="154">
        <v>6.3562796878536042E-3</v>
      </c>
      <c r="Z48" s="154">
        <v>4.6215283757355171E-3</v>
      </c>
      <c r="AB48" s="163">
        <f>X48/X48</f>
        <v>1</v>
      </c>
      <c r="AC48" s="163">
        <f>Y48/X48</f>
        <v>1.121361115848801</v>
      </c>
      <c r="AD48" s="163">
        <f>Z48/X48</f>
        <v>0.81532004109965084</v>
      </c>
      <c r="AG48" s="154" t="s">
        <v>299</v>
      </c>
      <c r="AH48" s="154" t="s">
        <v>58</v>
      </c>
      <c r="AI48" s="154">
        <v>2034</v>
      </c>
      <c r="AJ48" s="154" t="str">
        <f t="shared" ref="AJ48:AL48" si="70">A8</f>
        <v>Road</v>
      </c>
      <c r="AK48" s="154" t="str">
        <f t="shared" si="70"/>
        <v>Dry bulk</v>
      </c>
      <c r="AL48" s="154" t="str">
        <f t="shared" si="70"/>
        <v>Battery</v>
      </c>
      <c r="AM48" s="164">
        <f t="shared" ref="AM48:AM61" si="71">R8</f>
        <v>1</v>
      </c>
    </row>
    <row r="49" spans="1:39" x14ac:dyDescent="0.25">
      <c r="A49" s="154" t="s">
        <v>15</v>
      </c>
      <c r="B49" s="154" t="s">
        <v>13</v>
      </c>
      <c r="C49" s="154" t="s">
        <v>101</v>
      </c>
      <c r="D49" s="154">
        <f>FIGURES!C17</f>
        <v>9.6329818300335598E-3</v>
      </c>
      <c r="E49" s="154">
        <v>1.032270109405839E-2</v>
      </c>
      <c r="F49" s="154">
        <v>1.0559792091066927E-2</v>
      </c>
      <c r="G49" s="154">
        <v>9.6329818300335598E-3</v>
      </c>
      <c r="I49" s="163">
        <f t="shared" ref="I49:I62" si="72">E49/E49</f>
        <v>1</v>
      </c>
      <c r="J49" s="163">
        <f t="shared" ref="J49:J62" si="73">F49/E49</f>
        <v>1.0229679223343009</v>
      </c>
      <c r="K49" s="163">
        <f t="shared" ref="K49:K62" si="74">G49/E49</f>
        <v>0.93318422593657946</v>
      </c>
      <c r="N49" s="154">
        <f>FIGURES!BF17</f>
        <v>6.5592529229094422E-3</v>
      </c>
      <c r="O49" s="154">
        <v>8.8836488411069524E-3</v>
      </c>
      <c r="P49" s="154">
        <v>9.8390753841697334E-3</v>
      </c>
      <c r="Q49" s="154">
        <v>6.5592529229094422E-3</v>
      </c>
      <c r="S49" s="163">
        <f t="shared" ref="S49:S62" si="75">O49/O49</f>
        <v>1</v>
      </c>
      <c r="T49" s="163">
        <f t="shared" ref="T49:T62" si="76">P49/O49</f>
        <v>1.1075488867414225</v>
      </c>
      <c r="U49" s="163">
        <f t="shared" ref="U49:U62" si="77">Q49/O49</f>
        <v>0.73835121583803198</v>
      </c>
      <c r="W49" s="154">
        <f>FIGURES!DI17</f>
        <v>5.5418375817325935E-3</v>
      </c>
      <c r="X49" s="154">
        <v>7.8771031584756231E-3</v>
      </c>
      <c r="Y49" s="154">
        <v>9.4117062517638985E-3</v>
      </c>
      <c r="Z49" s="154">
        <v>5.5418375817325935E-3</v>
      </c>
      <c r="AB49" s="163">
        <f t="shared" ref="AB49:AB62" si="78">X49/X49</f>
        <v>1</v>
      </c>
      <c r="AC49" s="163">
        <f t="shared" ref="AC49:AC62" si="79">Y49/X49</f>
        <v>1.1948182044102178</v>
      </c>
      <c r="AD49" s="163">
        <f t="shared" ref="AD49:AD62" si="80">Z49/X49</f>
        <v>0.70353751502792938</v>
      </c>
      <c r="AG49" s="154" t="s">
        <v>95</v>
      </c>
      <c r="AH49" s="154" t="s">
        <v>58</v>
      </c>
      <c r="AI49" s="154">
        <v>2034</v>
      </c>
      <c r="AJ49" s="154" t="str">
        <f t="shared" ref="AJ49:AL49" si="81">A9</f>
        <v>Road</v>
      </c>
      <c r="AK49" s="154" t="str">
        <f t="shared" si="81"/>
        <v>Dry bulk</v>
      </c>
      <c r="AL49" s="154" t="str">
        <f t="shared" si="81"/>
        <v>Hydrogen</v>
      </c>
      <c r="AM49" s="164">
        <f t="shared" si="71"/>
        <v>1</v>
      </c>
    </row>
    <row r="50" spans="1:39" x14ac:dyDescent="0.25">
      <c r="A50" s="154" t="s">
        <v>15</v>
      </c>
      <c r="B50" s="154" t="s">
        <v>13</v>
      </c>
      <c r="C50" s="154" t="s">
        <v>95</v>
      </c>
      <c r="D50" s="154">
        <f>FIGURES!D17</f>
        <v>2.4923789525740158E-2</v>
      </c>
      <c r="E50" s="154">
        <v>2.2908180703883885E-2</v>
      </c>
      <c r="F50" s="154">
        <v>2.2025395067982276E-2</v>
      </c>
      <c r="G50" s="154">
        <v>2.4923789525740158E-2</v>
      </c>
      <c r="I50" s="163">
        <f t="shared" si="72"/>
        <v>1</v>
      </c>
      <c r="J50" s="163">
        <f t="shared" si="73"/>
        <v>0.96146417529559902</v>
      </c>
      <c r="K50" s="163">
        <f t="shared" si="74"/>
        <v>1.0879864205678518</v>
      </c>
      <c r="N50" s="154">
        <f>FIGURES!BG17</f>
        <v>2.1735347784127789E-2</v>
      </c>
      <c r="O50" s="154">
        <v>1.995234937158101E-2</v>
      </c>
      <c r="P50" s="154">
        <v>1.8706058797618295E-2</v>
      </c>
      <c r="Q50" s="154">
        <v>2.1735347784127789E-2</v>
      </c>
      <c r="S50" s="163">
        <f t="shared" si="75"/>
        <v>1</v>
      </c>
      <c r="T50" s="163">
        <f t="shared" si="76"/>
        <v>0.93753665040880552</v>
      </c>
      <c r="U50" s="163">
        <f t="shared" si="77"/>
        <v>1.0893628303785809</v>
      </c>
      <c r="W50" s="154">
        <f>FIGURES!DJ17</f>
        <v>1.4425422774934169E-2</v>
      </c>
      <c r="X50" s="154">
        <v>1.3237758655356561E-2</v>
      </c>
      <c r="Y50" s="154">
        <v>1.1970916927807121E-2</v>
      </c>
      <c r="Z50" s="154">
        <v>1.4425422774934169E-2</v>
      </c>
      <c r="AB50" s="163">
        <f t="shared" si="78"/>
        <v>1</v>
      </c>
      <c r="AC50" s="163">
        <f t="shared" si="79"/>
        <v>0.90430088955906274</v>
      </c>
      <c r="AD50" s="163">
        <f t="shared" si="80"/>
        <v>1.0897179160383792</v>
      </c>
      <c r="AG50" s="154" t="s">
        <v>394</v>
      </c>
      <c r="AH50" s="154" t="s">
        <v>58</v>
      </c>
      <c r="AI50" s="154">
        <v>2034</v>
      </c>
      <c r="AJ50" s="154" t="str">
        <f t="shared" ref="AJ50:AL50" si="82">A10</f>
        <v>Road</v>
      </c>
      <c r="AK50" s="154" t="str">
        <f t="shared" si="82"/>
        <v>Liquid bulk</v>
      </c>
      <c r="AL50" s="154" t="str">
        <f t="shared" si="82"/>
        <v>Diesel</v>
      </c>
      <c r="AM50" s="164">
        <f t="shared" si="71"/>
        <v>1</v>
      </c>
    </row>
    <row r="51" spans="1:39" x14ac:dyDescent="0.25">
      <c r="A51" s="154" t="s">
        <v>15</v>
      </c>
      <c r="B51" s="154" t="s">
        <v>13</v>
      </c>
      <c r="C51" s="154" t="s">
        <v>97</v>
      </c>
      <c r="D51" s="154">
        <f>FIGURES!E17</f>
        <v>2.2998315569490169E-2</v>
      </c>
      <c r="E51" s="154">
        <v>2.0758202356560212E-2</v>
      </c>
      <c r="F51" s="154">
        <v>1.9777089481023791E-2</v>
      </c>
      <c r="G51" s="154">
        <v>2.2998315569490169E-2</v>
      </c>
      <c r="I51" s="163">
        <f t="shared" si="72"/>
        <v>1</v>
      </c>
      <c r="J51" s="163">
        <f t="shared" si="73"/>
        <v>0.95273613491746512</v>
      </c>
      <c r="K51" s="163">
        <f t="shared" si="74"/>
        <v>1.1079146052462492</v>
      </c>
      <c r="N51" s="154">
        <f>FIGURES!BH17</f>
        <v>2.1249968711118561E-2</v>
      </c>
      <c r="O51" s="154">
        <v>1.9266716721993031E-2</v>
      </c>
      <c r="P51" s="154">
        <v>1.7880451741358844E-2</v>
      </c>
      <c r="Q51" s="154">
        <v>2.1249968711118561E-2</v>
      </c>
      <c r="S51" s="163">
        <f t="shared" si="75"/>
        <v>1</v>
      </c>
      <c r="T51" s="163">
        <f t="shared" si="76"/>
        <v>0.92804871734830874</v>
      </c>
      <c r="U51" s="163">
        <f t="shared" si="77"/>
        <v>1.102936687020557</v>
      </c>
      <c r="W51" s="154">
        <f>FIGURES!DK17</f>
        <v>1.467861872983527E-2</v>
      </c>
      <c r="X51" s="154">
        <v>1.3348446874230126E-2</v>
      </c>
      <c r="Y51" s="154">
        <v>1.1929596894917977E-2</v>
      </c>
      <c r="Z51" s="154">
        <v>1.467861872983527E-2</v>
      </c>
      <c r="AB51" s="163">
        <f t="shared" si="78"/>
        <v>1</v>
      </c>
      <c r="AC51" s="163">
        <f t="shared" si="79"/>
        <v>0.89370673662032452</v>
      </c>
      <c r="AD51" s="163">
        <f t="shared" si="80"/>
        <v>1.0996499344184461</v>
      </c>
      <c r="AG51" s="154" t="s">
        <v>299</v>
      </c>
      <c r="AH51" s="154" t="s">
        <v>58</v>
      </c>
      <c r="AI51" s="154">
        <v>2034</v>
      </c>
      <c r="AJ51" s="154" t="str">
        <f t="shared" ref="AJ51:AL51" si="83">A11</f>
        <v>Road</v>
      </c>
      <c r="AK51" s="154" t="str">
        <f t="shared" si="83"/>
        <v>Liquid bulk</v>
      </c>
      <c r="AL51" s="154" t="str">
        <f t="shared" si="83"/>
        <v>Battery</v>
      </c>
      <c r="AM51" s="164">
        <f t="shared" si="71"/>
        <v>1</v>
      </c>
    </row>
    <row r="52" spans="1:39" x14ac:dyDescent="0.25">
      <c r="A52" s="154" t="s">
        <v>15</v>
      </c>
      <c r="B52" s="154" t="s">
        <v>13</v>
      </c>
      <c r="C52" s="154" t="s">
        <v>99</v>
      </c>
      <c r="D52" s="154">
        <f>FIGURES!F17</f>
        <v>4.2129683891405201E-2</v>
      </c>
      <c r="E52" s="154">
        <v>3.9483224205403566E-2</v>
      </c>
      <c r="F52" s="154">
        <v>3.8324141861914254E-2</v>
      </c>
      <c r="G52" s="154">
        <v>4.2129683891405201E-2</v>
      </c>
      <c r="I52" s="163">
        <f t="shared" si="72"/>
        <v>1</v>
      </c>
      <c r="J52" s="163">
        <f t="shared" si="73"/>
        <v>0.97064367546430808</v>
      </c>
      <c r="K52" s="163">
        <f t="shared" si="74"/>
        <v>1.0670274461942104</v>
      </c>
      <c r="N52" s="154">
        <f>FIGURES!BI17</f>
        <v>2.9430266740142881E-2</v>
      </c>
      <c r="O52" s="154">
        <v>2.7073941845428998E-2</v>
      </c>
      <c r="P52" s="154">
        <v>2.5426904200969786E-2</v>
      </c>
      <c r="Q52" s="154">
        <v>2.9430266740142881E-2</v>
      </c>
      <c r="S52" s="163">
        <f t="shared" si="75"/>
        <v>1</v>
      </c>
      <c r="T52" s="163">
        <f t="shared" si="76"/>
        <v>0.93916520712563734</v>
      </c>
      <c r="U52" s="163">
        <f t="shared" si="77"/>
        <v>1.0870329451162544</v>
      </c>
      <c r="W52" s="154">
        <f>FIGURES!DL17</f>
        <v>1.86591129127694E-2</v>
      </c>
      <c r="X52" s="154">
        <v>1.699467323046517E-2</v>
      </c>
      <c r="Y52" s="154">
        <v>1.5219270902673993E-2</v>
      </c>
      <c r="Z52" s="154">
        <v>1.86591129127694E-2</v>
      </c>
      <c r="AB52" s="163">
        <f t="shared" si="78"/>
        <v>1</v>
      </c>
      <c r="AC52" s="163">
        <f t="shared" si="79"/>
        <v>0.89553183496293787</v>
      </c>
      <c r="AD52" s="163">
        <f t="shared" si="80"/>
        <v>1.0979389047222459</v>
      </c>
      <c r="AG52" s="154" t="s">
        <v>95</v>
      </c>
      <c r="AH52" s="154" t="s">
        <v>58</v>
      </c>
      <c r="AI52" s="154">
        <v>2034</v>
      </c>
      <c r="AJ52" s="154" t="str">
        <f t="shared" ref="AJ52:AL52" si="84">A12</f>
        <v>Road</v>
      </c>
      <c r="AK52" s="154" t="str">
        <f t="shared" si="84"/>
        <v>Liquid bulk</v>
      </c>
      <c r="AL52" s="154" t="str">
        <f t="shared" si="84"/>
        <v>Hydrogen</v>
      </c>
      <c r="AM52" s="164">
        <f t="shared" si="71"/>
        <v>1</v>
      </c>
    </row>
    <row r="53" spans="1:39" x14ac:dyDescent="0.25">
      <c r="A53" s="154" t="s">
        <v>15</v>
      </c>
      <c r="B53" s="154" t="s">
        <v>21</v>
      </c>
      <c r="C53" s="154" t="s">
        <v>102</v>
      </c>
      <c r="D53" s="154">
        <f>FIGURES!G17</f>
        <v>8.2399739101303247E-3</v>
      </c>
      <c r="E53" s="154">
        <v>8.6066774264767394E-3</v>
      </c>
      <c r="F53" s="154">
        <v>8.7327317602208191E-3</v>
      </c>
      <c r="G53" s="154">
        <v>8.2399739101303247E-3</v>
      </c>
      <c r="I53" s="163">
        <f t="shared" si="72"/>
        <v>1</v>
      </c>
      <c r="J53" s="163">
        <f t="shared" si="73"/>
        <v>1.0146461087708827</v>
      </c>
      <c r="K53" s="163">
        <f t="shared" si="74"/>
        <v>0.95739313812106819</v>
      </c>
      <c r="N53" s="154">
        <f>FIGURES!BJ17</f>
        <v>6.6109631180516146E-3</v>
      </c>
      <c r="O53" s="154">
        <v>7.8467762974752837E-3</v>
      </c>
      <c r="P53" s="154">
        <v>8.3547485859500458E-3</v>
      </c>
      <c r="Q53" s="154">
        <v>6.6109631180516146E-3</v>
      </c>
      <c r="S53" s="163">
        <f t="shared" si="75"/>
        <v>1</v>
      </c>
      <c r="T53" s="163">
        <f t="shared" si="76"/>
        <v>1.0647364305056337</v>
      </c>
      <c r="U53" s="163">
        <f t="shared" si="77"/>
        <v>0.84250689294898151</v>
      </c>
      <c r="W53" s="154">
        <f>FIGURES!DM17</f>
        <v>6.1137040634253043E-3</v>
      </c>
      <c r="X53" s="154">
        <v>7.3552963216974732E-3</v>
      </c>
      <c r="Y53" s="154">
        <v>8.1711998057048957E-3</v>
      </c>
      <c r="Z53" s="154">
        <v>6.1137040634253043E-3</v>
      </c>
      <c r="AB53" s="163">
        <f t="shared" si="78"/>
        <v>1</v>
      </c>
      <c r="AC53" s="163">
        <f t="shared" si="79"/>
        <v>1.1109273438244194</v>
      </c>
      <c r="AD53" s="163">
        <f t="shared" si="80"/>
        <v>0.83119752026718741</v>
      </c>
      <c r="AG53" s="154" t="s">
        <v>394</v>
      </c>
      <c r="AH53" s="154" t="s">
        <v>58</v>
      </c>
      <c r="AI53" s="154">
        <v>2034</v>
      </c>
      <c r="AJ53" s="154" t="str">
        <f t="shared" ref="AJ53:AL53" si="85">A13</f>
        <v>Road</v>
      </c>
      <c r="AK53" s="154" t="str">
        <f t="shared" si="85"/>
        <v>Container</v>
      </c>
      <c r="AL53" s="154" t="str">
        <f t="shared" si="85"/>
        <v>Diesel</v>
      </c>
      <c r="AM53" s="164">
        <f t="shared" si="71"/>
        <v>1</v>
      </c>
    </row>
    <row r="54" spans="1:39" x14ac:dyDescent="0.25">
      <c r="A54" s="154" t="s">
        <v>15</v>
      </c>
      <c r="B54" s="154" t="s">
        <v>21</v>
      </c>
      <c r="C54" s="154" t="s">
        <v>101</v>
      </c>
      <c r="D54" s="154">
        <f>FIGURES!H17</f>
        <v>1.2057520951081122E-2</v>
      </c>
      <c r="E54" s="154">
        <v>1.2875560078180342E-2</v>
      </c>
      <c r="F54" s="154">
        <v>1.3156761028120696E-2</v>
      </c>
      <c r="G54" s="154">
        <v>1.2057520951081122E-2</v>
      </c>
      <c r="I54" s="163">
        <f t="shared" si="72"/>
        <v>1</v>
      </c>
      <c r="J54" s="163">
        <f t="shared" si="73"/>
        <v>1.0218399004185375</v>
      </c>
      <c r="K54" s="163">
        <f t="shared" si="74"/>
        <v>0.93646574423698159</v>
      </c>
      <c r="N54" s="154">
        <f>FIGURES!BK17</f>
        <v>8.4119355030967055E-3</v>
      </c>
      <c r="O54" s="154">
        <v>1.1168777173517009E-2</v>
      </c>
      <c r="P54" s="154">
        <v>1.230195749203333E-2</v>
      </c>
      <c r="Q54" s="154">
        <v>8.4119355030967055E-3</v>
      </c>
      <c r="S54" s="163">
        <f t="shared" si="75"/>
        <v>1</v>
      </c>
      <c r="T54" s="163">
        <f t="shared" si="76"/>
        <v>1.1014596585562899</v>
      </c>
      <c r="U54" s="163">
        <f t="shared" si="77"/>
        <v>0.75316530828842887</v>
      </c>
      <c r="W54" s="154">
        <f>FIGURES!DN17</f>
        <v>7.205233586817187E-3</v>
      </c>
      <c r="X54" s="154">
        <v>9.9749671778379886E-3</v>
      </c>
      <c r="Y54" s="154">
        <v>1.1795077823365946E-2</v>
      </c>
      <c r="Z54" s="154">
        <v>7.205233586817187E-3</v>
      </c>
      <c r="AB54" s="163">
        <f t="shared" si="78"/>
        <v>1</v>
      </c>
      <c r="AC54" s="163">
        <f t="shared" si="79"/>
        <v>1.1824678330342591</v>
      </c>
      <c r="AD54" s="163">
        <f t="shared" si="80"/>
        <v>0.72233155842612773</v>
      </c>
      <c r="AG54" s="154" t="s">
        <v>299</v>
      </c>
      <c r="AH54" s="154" t="s">
        <v>58</v>
      </c>
      <c r="AI54" s="154">
        <v>2034</v>
      </c>
      <c r="AJ54" s="154" t="str">
        <f t="shared" ref="AJ54:AL54" si="86">A14</f>
        <v>Road</v>
      </c>
      <c r="AK54" s="154" t="str">
        <f t="shared" si="86"/>
        <v>Container</v>
      </c>
      <c r="AL54" s="154" t="str">
        <f t="shared" si="86"/>
        <v>Battery</v>
      </c>
      <c r="AM54" s="164">
        <f t="shared" si="71"/>
        <v>1</v>
      </c>
    </row>
    <row r="55" spans="1:39" x14ac:dyDescent="0.25">
      <c r="A55" s="154" t="s">
        <v>15</v>
      </c>
      <c r="B55" s="154" t="s">
        <v>21</v>
      </c>
      <c r="C55" s="154" t="s">
        <v>95</v>
      </c>
      <c r="D55" s="154">
        <f>FIGURES!I17</f>
        <v>2.9910973319097162E-2</v>
      </c>
      <c r="E55" s="154">
        <v>2.7546698317471741E-2</v>
      </c>
      <c r="F55" s="154">
        <v>2.6511205721823139E-2</v>
      </c>
      <c r="G55" s="154">
        <v>2.9910973319097162E-2</v>
      </c>
      <c r="I55" s="163">
        <f t="shared" si="72"/>
        <v>1</v>
      </c>
      <c r="J55" s="163">
        <f t="shared" si="73"/>
        <v>0.96240955690171293</v>
      </c>
      <c r="K55" s="163">
        <f t="shared" si="74"/>
        <v>1.0858278903111178</v>
      </c>
      <c r="N55" s="154">
        <f>FIGURES!BL17</f>
        <v>2.6176105056044334E-2</v>
      </c>
      <c r="O55" s="154">
        <v>2.4084175556206774E-2</v>
      </c>
      <c r="P55" s="154">
        <v>2.2621946538673263E-2</v>
      </c>
      <c r="Q55" s="154">
        <v>2.6176105056044334E-2</v>
      </c>
      <c r="S55" s="163">
        <f t="shared" si="75"/>
        <v>1</v>
      </c>
      <c r="T55" s="163">
        <f t="shared" si="76"/>
        <v>0.93928673148387354</v>
      </c>
      <c r="U55" s="163">
        <f t="shared" si="77"/>
        <v>1.0868590869949228</v>
      </c>
      <c r="W55" s="154">
        <f>FIGURES!DO17</f>
        <v>1.7625277468725924E-2</v>
      </c>
      <c r="X55" s="154">
        <v>1.6229039938022057E-2</v>
      </c>
      <c r="Y55" s="154">
        <v>1.4739719905271268E-2</v>
      </c>
      <c r="Z55" s="154">
        <v>1.7625277468725924E-2</v>
      </c>
      <c r="AB55" s="163">
        <f t="shared" si="78"/>
        <v>1</v>
      </c>
      <c r="AC55" s="163">
        <f t="shared" si="79"/>
        <v>0.9082311684216422</v>
      </c>
      <c r="AD55" s="163">
        <f t="shared" si="80"/>
        <v>1.0860332796047107</v>
      </c>
      <c r="AG55" s="154" t="s">
        <v>95</v>
      </c>
      <c r="AH55" s="154" t="s">
        <v>58</v>
      </c>
      <c r="AI55" s="154">
        <v>2034</v>
      </c>
      <c r="AJ55" s="154" t="str">
        <f t="shared" ref="AJ55:AL55" si="87">A15</f>
        <v>Road</v>
      </c>
      <c r="AK55" s="154" t="str">
        <f t="shared" si="87"/>
        <v>Container</v>
      </c>
      <c r="AL55" s="154" t="str">
        <f t="shared" si="87"/>
        <v>Hydrogen</v>
      </c>
      <c r="AM55" s="164">
        <f t="shared" si="71"/>
        <v>1</v>
      </c>
    </row>
    <row r="56" spans="1:39" x14ac:dyDescent="0.25">
      <c r="A56" s="154" t="s">
        <v>15</v>
      </c>
      <c r="B56" s="154" t="s">
        <v>21</v>
      </c>
      <c r="C56" s="154" t="s">
        <v>97</v>
      </c>
      <c r="D56" s="154">
        <f>FIGURES!J17</f>
        <v>2.7704612122780282E-2</v>
      </c>
      <c r="E56" s="154">
        <v>2.5070994787644955E-2</v>
      </c>
      <c r="F56" s="154">
        <v>2.3917537068712261E-2</v>
      </c>
      <c r="G56" s="154">
        <v>2.7704612122780282E-2</v>
      </c>
      <c r="I56" s="163">
        <f t="shared" si="72"/>
        <v>1</v>
      </c>
      <c r="J56" s="163">
        <f t="shared" si="73"/>
        <v>0.9539923433951204</v>
      </c>
      <c r="K56" s="163">
        <f t="shared" si="74"/>
        <v>1.1050463835776145</v>
      </c>
      <c r="N56" s="154">
        <f>FIGURES!BM17</f>
        <v>2.5651620602087057E-2</v>
      </c>
      <c r="O56" s="154">
        <v>2.3319709455922558E-2</v>
      </c>
      <c r="P56" s="154">
        <v>2.168973667505382E-2</v>
      </c>
      <c r="Q56" s="154">
        <v>2.5651620602087057E-2</v>
      </c>
      <c r="S56" s="163">
        <f t="shared" si="75"/>
        <v>1</v>
      </c>
      <c r="T56" s="163">
        <f t="shared" si="76"/>
        <v>0.93010321230847193</v>
      </c>
      <c r="U56" s="163">
        <f t="shared" si="77"/>
        <v>1.0999974356701199</v>
      </c>
      <c r="W56" s="154">
        <f>FIGURES!DP17</f>
        <v>1.7938104362861515E-2</v>
      </c>
      <c r="X56" s="154">
        <v>1.637253687147959E-2</v>
      </c>
      <c r="Y56" s="154">
        <v>1.470259821400554E-2</v>
      </c>
      <c r="Z56" s="154">
        <v>1.7938104362861515E-2</v>
      </c>
      <c r="AB56" s="163">
        <f t="shared" si="78"/>
        <v>1</v>
      </c>
      <c r="AC56" s="163">
        <f t="shared" si="79"/>
        <v>0.89800367098986189</v>
      </c>
      <c r="AD56" s="163">
        <f t="shared" si="80"/>
        <v>1.0956215584470046</v>
      </c>
      <c r="AG56" s="154" t="s">
        <v>394</v>
      </c>
      <c r="AH56" s="154" t="s">
        <v>58</v>
      </c>
      <c r="AI56" s="154">
        <v>2034</v>
      </c>
      <c r="AJ56" s="154" t="str">
        <f t="shared" ref="AJ56:AL56" si="88">A16</f>
        <v>Road</v>
      </c>
      <c r="AK56" s="154" t="str">
        <f t="shared" si="88"/>
        <v>Break bulk</v>
      </c>
      <c r="AL56" s="154" t="str">
        <f t="shared" si="88"/>
        <v>Diesel</v>
      </c>
      <c r="AM56" s="164">
        <f t="shared" si="71"/>
        <v>1</v>
      </c>
    </row>
    <row r="57" spans="1:39" x14ac:dyDescent="0.25">
      <c r="A57" s="154" t="s">
        <v>15</v>
      </c>
      <c r="B57" s="154" t="s">
        <v>21</v>
      </c>
      <c r="C57" s="154" t="s">
        <v>99</v>
      </c>
      <c r="D57" s="154">
        <f>FIGURES!K17</f>
        <v>5.0400453579734043E-2</v>
      </c>
      <c r="E57" s="154">
        <v>4.727519526221427E-2</v>
      </c>
      <c r="F57" s="154">
        <v>4.5906411239604358E-2</v>
      </c>
      <c r="G57" s="154">
        <v>5.0400453579734043E-2</v>
      </c>
      <c r="I57" s="163">
        <f t="shared" si="72"/>
        <v>1</v>
      </c>
      <c r="J57" s="163">
        <f t="shared" si="73"/>
        <v>0.97104646495867697</v>
      </c>
      <c r="K57" s="163">
        <f t="shared" si="74"/>
        <v>1.0661077823197846</v>
      </c>
      <c r="N57" s="154">
        <f>FIGURES!BN17</f>
        <v>3.5403452382410175E-2</v>
      </c>
      <c r="O57" s="154">
        <v>3.2620820168159648E-2</v>
      </c>
      <c r="P57" s="154">
        <v>3.0675799760389429E-2</v>
      </c>
      <c r="Q57" s="154">
        <v>3.5403452382410175E-2</v>
      </c>
      <c r="S57" s="163">
        <f t="shared" si="75"/>
        <v>1</v>
      </c>
      <c r="T57" s="163">
        <f t="shared" si="76"/>
        <v>0.94037487721817903</v>
      </c>
      <c r="U57" s="163">
        <f t="shared" si="77"/>
        <v>1.0853023375839761</v>
      </c>
      <c r="W57" s="154">
        <f>FIGURES!DQ17</f>
        <v>2.2683576743895276E-2</v>
      </c>
      <c r="X57" s="154">
        <v>2.0718005914063236E-2</v>
      </c>
      <c r="Y57" s="154">
        <v>1.8621397028909064E-2</v>
      </c>
      <c r="Z57" s="154">
        <v>2.2683576743895276E-2</v>
      </c>
      <c r="AB57" s="163">
        <f t="shared" si="78"/>
        <v>1</v>
      </c>
      <c r="AC57" s="163">
        <f t="shared" si="79"/>
        <v>0.89880257328573265</v>
      </c>
      <c r="AD57" s="163">
        <f t="shared" si="80"/>
        <v>1.0948725875446259</v>
      </c>
      <c r="AG57" s="154" t="s">
        <v>299</v>
      </c>
      <c r="AH57" s="154" t="s">
        <v>58</v>
      </c>
      <c r="AI57" s="154">
        <v>2034</v>
      </c>
      <c r="AJ57" s="154" t="str">
        <f t="shared" ref="AJ57:AL57" si="89">A17</f>
        <v>Road</v>
      </c>
      <c r="AK57" s="154" t="str">
        <f t="shared" si="89"/>
        <v>Break bulk</v>
      </c>
      <c r="AL57" s="154" t="str">
        <f t="shared" si="89"/>
        <v>Battery</v>
      </c>
      <c r="AM57" s="164">
        <f t="shared" si="71"/>
        <v>1</v>
      </c>
    </row>
    <row r="58" spans="1:39" x14ac:dyDescent="0.25">
      <c r="A58" s="154" t="s">
        <v>15</v>
      </c>
      <c r="B58" s="154" t="s">
        <v>22</v>
      </c>
      <c r="C58" s="154" t="s">
        <v>102</v>
      </c>
      <c r="D58" s="154">
        <f>FIGURES!L17</f>
        <v>8.3854162919468761E-3</v>
      </c>
      <c r="E58" s="154">
        <v>8.7897304253544608E-3</v>
      </c>
      <c r="F58" s="154">
        <v>8.928713408713318E-3</v>
      </c>
      <c r="G58" s="154">
        <v>8.3854162919468761E-3</v>
      </c>
      <c r="I58" s="163">
        <f t="shared" si="72"/>
        <v>1</v>
      </c>
      <c r="J58" s="163">
        <f t="shared" si="73"/>
        <v>1.0158119733635917</v>
      </c>
      <c r="K58" s="163">
        <f t="shared" si="74"/>
        <v>0.95400153203318749</v>
      </c>
      <c r="N58" s="154">
        <f>FIGURES!BO17</f>
        <v>6.5893274699113762E-3</v>
      </c>
      <c r="O58" s="154">
        <v>7.9518907190195276E-3</v>
      </c>
      <c r="P58" s="154">
        <v>8.5119627293891338E-3</v>
      </c>
      <c r="Q58" s="154">
        <v>6.5893274699113762E-3</v>
      </c>
      <c r="S58" s="163">
        <f t="shared" si="75"/>
        <v>1</v>
      </c>
      <c r="T58" s="163">
        <f t="shared" si="76"/>
        <v>1.0704325587661827</v>
      </c>
      <c r="U58" s="163">
        <f t="shared" si="77"/>
        <v>0.82864914807630097</v>
      </c>
      <c r="W58" s="154">
        <f>FIGURES!DR17</f>
        <v>6.0410674866054441E-3</v>
      </c>
      <c r="X58" s="154">
        <v>7.4100025405978345E-3</v>
      </c>
      <c r="Y58" s="154">
        <v>8.3095884332214046E-3</v>
      </c>
      <c r="Z58" s="154">
        <v>6.0410674866054441E-3</v>
      </c>
      <c r="AB58" s="163">
        <f t="shared" si="78"/>
        <v>1</v>
      </c>
      <c r="AC58" s="163">
        <f t="shared" si="79"/>
        <v>1.1214015633186263</v>
      </c>
      <c r="AD58" s="163">
        <f t="shared" si="80"/>
        <v>0.81525849060209021</v>
      </c>
      <c r="AG58" s="154" t="s">
        <v>95</v>
      </c>
      <c r="AH58" s="154" t="s">
        <v>58</v>
      </c>
      <c r="AI58" s="154">
        <v>2034</v>
      </c>
      <c r="AJ58" s="154" t="str">
        <f t="shared" ref="AJ58:AL58" si="90">A18</f>
        <v>Road</v>
      </c>
      <c r="AK58" s="154" t="str">
        <f t="shared" si="90"/>
        <v>Break bulk</v>
      </c>
      <c r="AL58" s="154" t="str">
        <f t="shared" si="90"/>
        <v>Hydrogen</v>
      </c>
      <c r="AM58" s="164">
        <f t="shared" si="71"/>
        <v>1</v>
      </c>
    </row>
    <row r="59" spans="1:39" x14ac:dyDescent="0.25">
      <c r="A59" s="154" t="s">
        <v>15</v>
      </c>
      <c r="B59" s="154" t="s">
        <v>22</v>
      </c>
      <c r="C59" s="154" t="s">
        <v>101</v>
      </c>
      <c r="D59" s="154">
        <f>FIGURES!M17</f>
        <v>1.2594506619149039E-2</v>
      </c>
      <c r="E59" s="154">
        <v>1.3496447195181512E-2</v>
      </c>
      <c r="F59" s="154">
        <v>1.3806489268192671E-2</v>
      </c>
      <c r="G59" s="154">
        <v>1.2594506619149039E-2</v>
      </c>
      <c r="I59" s="163">
        <f t="shared" si="72"/>
        <v>1</v>
      </c>
      <c r="J59" s="163">
        <f t="shared" si="73"/>
        <v>1.0229721250731711</v>
      </c>
      <c r="K59" s="163">
        <f t="shared" si="74"/>
        <v>0.93317199978713794</v>
      </c>
      <c r="N59" s="154">
        <f>FIGURES!BP17</f>
        <v>8.5750149713713468E-3</v>
      </c>
      <c r="O59" s="154">
        <v>1.1614609633629631E-2</v>
      </c>
      <c r="P59" s="154">
        <v>1.2864013574557883E-2</v>
      </c>
      <c r="Q59" s="154">
        <v>8.5750149713713468E-3</v>
      </c>
      <c r="S59" s="163">
        <f t="shared" si="75"/>
        <v>1</v>
      </c>
      <c r="T59" s="163">
        <f t="shared" si="76"/>
        <v>1.1075717549137987</v>
      </c>
      <c r="U59" s="163">
        <f t="shared" si="77"/>
        <v>0.73829558132911666</v>
      </c>
      <c r="W59" s="154">
        <f>FIGURES!DS17</f>
        <v>7.2445487559862371E-3</v>
      </c>
      <c r="X59" s="154">
        <v>1.0298357587111739E-2</v>
      </c>
      <c r="Y59" s="154">
        <v>1.2305146247565638E-2</v>
      </c>
      <c r="Z59" s="154">
        <v>7.2445487559862371E-3</v>
      </c>
      <c r="AB59" s="163">
        <f t="shared" si="78"/>
        <v>1</v>
      </c>
      <c r="AC59" s="163">
        <f t="shared" si="79"/>
        <v>1.1948649232150734</v>
      </c>
      <c r="AD59" s="163">
        <f t="shared" si="80"/>
        <v>0.70346642119445302</v>
      </c>
      <c r="AG59" s="154" t="s">
        <v>394</v>
      </c>
      <c r="AH59" s="154" t="s">
        <v>58</v>
      </c>
      <c r="AI59" s="154">
        <v>2034</v>
      </c>
      <c r="AJ59" s="154" t="str">
        <f t="shared" ref="AJ59:AL59" si="91">A19</f>
        <v>Road</v>
      </c>
      <c r="AK59" s="154" t="str">
        <f t="shared" si="91"/>
        <v>Neo bulk</v>
      </c>
      <c r="AL59" s="154" t="str">
        <f t="shared" si="91"/>
        <v>Diesel</v>
      </c>
      <c r="AM59" s="164">
        <f t="shared" si="71"/>
        <v>1</v>
      </c>
    </row>
    <row r="60" spans="1:39" x14ac:dyDescent="0.25">
      <c r="A60" s="154" t="s">
        <v>15</v>
      </c>
      <c r="B60" s="154" t="s">
        <v>22</v>
      </c>
      <c r="C60" s="154" t="s">
        <v>95</v>
      </c>
      <c r="D60" s="154">
        <f>FIGURES!N17</f>
        <v>3.2051015374837219E-2</v>
      </c>
      <c r="E60" s="154">
        <v>2.9458766332593509E-2</v>
      </c>
      <c r="F60" s="154">
        <v>2.8323426878648798E-2</v>
      </c>
      <c r="G60" s="154">
        <v>3.2051015374837219E-2</v>
      </c>
      <c r="I60" s="163">
        <f t="shared" si="72"/>
        <v>1</v>
      </c>
      <c r="J60" s="163">
        <f t="shared" si="73"/>
        <v>0.96146004754148318</v>
      </c>
      <c r="K60" s="163">
        <f t="shared" si="74"/>
        <v>1.0879958452087526</v>
      </c>
      <c r="N60" s="154">
        <f>FIGURES!BQ17</f>
        <v>2.7960548382774002E-2</v>
      </c>
      <c r="O60" s="154">
        <v>2.5666625479707848E-2</v>
      </c>
      <c r="P60" s="154">
        <v>2.4063205941378039E-2</v>
      </c>
      <c r="Q60" s="154">
        <v>2.7960548382774002E-2</v>
      </c>
      <c r="S60" s="163">
        <f t="shared" si="75"/>
        <v>1</v>
      </c>
      <c r="T60" s="163">
        <f t="shared" si="76"/>
        <v>0.93752900864987176</v>
      </c>
      <c r="U60" s="163">
        <f t="shared" si="77"/>
        <v>1.0893737630168694</v>
      </c>
      <c r="W60" s="154">
        <f>FIGURES!DT17</f>
        <v>1.8612168464710442E-2</v>
      </c>
      <c r="X60" s="154">
        <v>1.7079556011347096E-2</v>
      </c>
      <c r="Y60" s="154">
        <v>1.544476939442619E-2</v>
      </c>
      <c r="Z60" s="154">
        <v>1.8612168464710442E-2</v>
      </c>
      <c r="AB60" s="163">
        <f t="shared" si="78"/>
        <v>1</v>
      </c>
      <c r="AC60" s="163">
        <f t="shared" si="79"/>
        <v>0.90428400973451495</v>
      </c>
      <c r="AD60" s="163">
        <f t="shared" si="80"/>
        <v>1.0897337408738921</v>
      </c>
      <c r="AG60" s="154" t="s">
        <v>299</v>
      </c>
      <c r="AH60" s="154" t="s">
        <v>58</v>
      </c>
      <c r="AI60" s="154">
        <v>2034</v>
      </c>
      <c r="AJ60" s="154" t="str">
        <f t="shared" ref="AJ60:AL60" si="92">A20</f>
        <v>Road</v>
      </c>
      <c r="AK60" s="154" t="str">
        <f t="shared" si="92"/>
        <v>Neo bulk</v>
      </c>
      <c r="AL60" s="154" t="str">
        <f t="shared" si="92"/>
        <v>Battery</v>
      </c>
      <c r="AM60" s="164">
        <f t="shared" si="71"/>
        <v>1</v>
      </c>
    </row>
    <row r="61" spans="1:39" x14ac:dyDescent="0.25">
      <c r="A61" s="154" t="s">
        <v>15</v>
      </c>
      <c r="B61" s="154" t="s">
        <v>22</v>
      </c>
      <c r="C61" s="154" t="s">
        <v>97</v>
      </c>
      <c r="D61" s="154">
        <f>FIGURES!O17</f>
        <v>2.9676751363664457E-2</v>
      </c>
      <c r="E61" s="154">
        <v>2.6785842871702544E-2</v>
      </c>
      <c r="F61" s="154">
        <v>2.5519698139779973E-2</v>
      </c>
      <c r="G61" s="154">
        <v>2.9676751363664457E-2</v>
      </c>
      <c r="I61" s="163">
        <f t="shared" si="72"/>
        <v>1</v>
      </c>
      <c r="J61" s="163">
        <f t="shared" si="73"/>
        <v>0.95273082359263117</v>
      </c>
      <c r="K61" s="163">
        <f t="shared" si="74"/>
        <v>1.1079267322595985</v>
      </c>
      <c r="N61" s="154">
        <f>FIGURES!BR17</f>
        <v>2.7425374041799809E-2</v>
      </c>
      <c r="O61" s="154">
        <v>2.4865493446802132E-2</v>
      </c>
      <c r="P61" s="154">
        <v>2.307617325808773E-2</v>
      </c>
      <c r="Q61" s="154">
        <v>2.7425374041799809E-2</v>
      </c>
      <c r="S61" s="163">
        <f t="shared" si="75"/>
        <v>1</v>
      </c>
      <c r="T61" s="163">
        <f t="shared" si="76"/>
        <v>0.92804002894442783</v>
      </c>
      <c r="U61" s="163">
        <f t="shared" si="77"/>
        <v>1.1029491170353949</v>
      </c>
      <c r="W61" s="154">
        <f>FIGURES!DU17</f>
        <v>1.897174450614468E-2</v>
      </c>
      <c r="X61" s="154">
        <v>1.7252264483677938E-2</v>
      </c>
      <c r="Y61" s="154">
        <v>1.5418152459713414E-2</v>
      </c>
      <c r="Z61" s="154">
        <v>1.897174450614468E-2</v>
      </c>
      <c r="AB61" s="163">
        <f t="shared" si="78"/>
        <v>1</v>
      </c>
      <c r="AC61" s="163">
        <f t="shared" si="79"/>
        <v>0.89368862124159154</v>
      </c>
      <c r="AD61" s="163">
        <f t="shared" si="80"/>
        <v>1.0996669175860081</v>
      </c>
      <c r="AG61" s="154" t="s">
        <v>95</v>
      </c>
      <c r="AH61" s="154" t="s">
        <v>58</v>
      </c>
      <c r="AI61" s="154">
        <v>2034</v>
      </c>
      <c r="AJ61" s="154" t="str">
        <f t="shared" ref="AJ61:AL61" si="93">A21</f>
        <v>Road</v>
      </c>
      <c r="AK61" s="154" t="str">
        <f t="shared" si="93"/>
        <v>Neo bulk</v>
      </c>
      <c r="AL61" s="154" t="str">
        <f t="shared" si="93"/>
        <v>Hydrogen</v>
      </c>
      <c r="AM61" s="164">
        <f t="shared" si="71"/>
        <v>1</v>
      </c>
    </row>
    <row r="62" spans="1:39" x14ac:dyDescent="0.25">
      <c r="A62" s="154" t="s">
        <v>15</v>
      </c>
      <c r="B62" s="154" t="s">
        <v>22</v>
      </c>
      <c r="C62" s="154" t="s">
        <v>99</v>
      </c>
      <c r="D62" s="154">
        <f>FIGURES!P17</f>
        <v>5.47327667247514E-2</v>
      </c>
      <c r="E62" s="154">
        <v>5.1294447763546691E-2</v>
      </c>
      <c r="F62" s="154">
        <v>4.9788551104588685E-2</v>
      </c>
      <c r="G62" s="154">
        <v>5.47327667247514E-2</v>
      </c>
      <c r="I62" s="163">
        <f t="shared" si="72"/>
        <v>1</v>
      </c>
      <c r="J62" s="163">
        <f t="shared" si="73"/>
        <v>0.97064211187339855</v>
      </c>
      <c r="K62" s="163">
        <f t="shared" si="74"/>
        <v>1.0670310162428187</v>
      </c>
      <c r="N62" s="154">
        <f>FIGURES!BS17</f>
        <v>3.823349903577189E-2</v>
      </c>
      <c r="O62" s="154">
        <v>3.5172127420285873E-2</v>
      </c>
      <c r="P62" s="154">
        <v>3.3032272128812309E-2</v>
      </c>
      <c r="Q62" s="154">
        <v>3.823349903577189E-2</v>
      </c>
      <c r="S62" s="163">
        <f t="shared" si="75"/>
        <v>1</v>
      </c>
      <c r="T62" s="163">
        <f t="shared" si="76"/>
        <v>0.93916048165345323</v>
      </c>
      <c r="U62" s="163">
        <f t="shared" si="77"/>
        <v>1.0870397055857457</v>
      </c>
      <c r="W62" s="154">
        <f>FIGURES!DV17</f>
        <v>2.4239459136126077E-2</v>
      </c>
      <c r="X62" s="154">
        <v>2.20769948636797E-2</v>
      </c>
      <c r="Y62" s="154">
        <v>1.9770366306403567E-2</v>
      </c>
      <c r="Z62" s="154">
        <v>2.4239459136126077E-2</v>
      </c>
      <c r="AB62" s="163">
        <f t="shared" si="78"/>
        <v>1</v>
      </c>
      <c r="AC62" s="163">
        <f t="shared" si="79"/>
        <v>0.89551890682952884</v>
      </c>
      <c r="AD62" s="163">
        <f t="shared" si="80"/>
        <v>1.0979510248473168</v>
      </c>
      <c r="AG62" s="154" t="s">
        <v>394</v>
      </c>
      <c r="AH62" s="154" t="s">
        <v>116</v>
      </c>
      <c r="AI62" s="154">
        <v>2034</v>
      </c>
      <c r="AJ62" s="154" t="str">
        <f>A7</f>
        <v>Road</v>
      </c>
      <c r="AK62" s="154" t="str">
        <f>B7</f>
        <v>Dry bulk</v>
      </c>
      <c r="AL62" s="154" t="str">
        <f>C7</f>
        <v>Diesel</v>
      </c>
      <c r="AM62" s="164">
        <f>S7</f>
        <v>1.0114762210930268</v>
      </c>
    </row>
    <row r="63" spans="1:39" x14ac:dyDescent="0.25">
      <c r="A63" s="154" t="s">
        <v>15</v>
      </c>
      <c r="B63" s="154" t="s">
        <v>23</v>
      </c>
      <c r="C63" s="154" t="s">
        <v>102</v>
      </c>
      <c r="D63" s="154">
        <f>FIGURES!Q17</f>
        <v>6.4091309057636167E-3</v>
      </c>
      <c r="E63" s="154">
        <v>6.7183123018988286E-3</v>
      </c>
      <c r="F63" s="154">
        <v>6.8245934068203087E-3</v>
      </c>
      <c r="G63" s="154">
        <v>6.4091309057636167E-3</v>
      </c>
      <c r="I63" s="163">
        <f>E63/E63</f>
        <v>1</v>
      </c>
      <c r="J63" s="163">
        <f>F63/E63</f>
        <v>1.0158196136388957</v>
      </c>
      <c r="K63" s="163">
        <f>G63/E63</f>
        <v>0.95397930577775814</v>
      </c>
      <c r="N63" s="154">
        <f>FIGURES!BT17</f>
        <v>5.035651218324705E-3</v>
      </c>
      <c r="O63" s="154">
        <v>6.0776113499956437E-3</v>
      </c>
      <c r="P63" s="154">
        <v>6.505901710866519E-3</v>
      </c>
      <c r="Q63" s="154">
        <v>5.035651218324705E-3</v>
      </c>
      <c r="S63" s="163">
        <f>O63/O63</f>
        <v>1</v>
      </c>
      <c r="T63" s="163">
        <f>P63/O63</f>
        <v>1.0704701791882731</v>
      </c>
      <c r="U63" s="163">
        <f>Q63/O63</f>
        <v>0.82855762376584252</v>
      </c>
      <c r="W63" s="154">
        <f>FIGURES!DW17</f>
        <v>4.6163935840319338E-3</v>
      </c>
      <c r="X63" s="154">
        <v>5.6632262723790554E-3</v>
      </c>
      <c r="Y63" s="154">
        <v>6.3511448961500218E-3</v>
      </c>
      <c r="Z63" s="154">
        <v>4.6163935840319338E-3</v>
      </c>
      <c r="AB63" s="163">
        <f>X63/X63</f>
        <v>1</v>
      </c>
      <c r="AC63" s="163">
        <f>Y63/X63</f>
        <v>1.1214711527819601</v>
      </c>
      <c r="AD63" s="163">
        <f>Z63/X63</f>
        <v>0.81515259359266967</v>
      </c>
      <c r="AG63" s="154" t="s">
        <v>299</v>
      </c>
      <c r="AH63" s="154" t="s">
        <v>116</v>
      </c>
      <c r="AI63" s="154">
        <v>2034</v>
      </c>
      <c r="AJ63" s="154" t="str">
        <f t="shared" ref="AJ63:AL63" si="94">A8</f>
        <v>Road</v>
      </c>
      <c r="AK63" s="154" t="str">
        <f t="shared" si="94"/>
        <v>Dry bulk</v>
      </c>
      <c r="AL63" s="154" t="str">
        <f t="shared" si="94"/>
        <v>Battery</v>
      </c>
      <c r="AM63" s="164">
        <f t="shared" ref="AM63:AM76" si="95">S8</f>
        <v>1</v>
      </c>
    </row>
    <row r="64" spans="1:39" x14ac:dyDescent="0.25">
      <c r="A64" s="154" t="s">
        <v>15</v>
      </c>
      <c r="B64" s="154" t="s">
        <v>23</v>
      </c>
      <c r="C64" s="154" t="s">
        <v>101</v>
      </c>
      <c r="D64" s="154">
        <f>FIGURES!R17</f>
        <v>9.6278470383299765E-3</v>
      </c>
      <c r="E64" s="154">
        <v>1.0317566302354808E-2</v>
      </c>
      <c r="F64" s="154">
        <v>1.0554657299363342E-2</v>
      </c>
      <c r="G64" s="154">
        <v>9.6278470383299765E-3</v>
      </c>
      <c r="I64" s="163">
        <f t="shared" ref="I64:I67" si="96">E64/E64</f>
        <v>1</v>
      </c>
      <c r="J64" s="163">
        <f t="shared" ref="J64:J67" si="97">F64/E64</f>
        <v>1.0229793528881344</v>
      </c>
      <c r="K64" s="163">
        <f t="shared" ref="K64:K67" si="98">G64/E64</f>
        <v>0.93315097341633613</v>
      </c>
      <c r="N64" s="154">
        <f>FIGURES!BU17</f>
        <v>6.5541181312058598E-3</v>
      </c>
      <c r="O64" s="154">
        <v>8.8785140494033708E-3</v>
      </c>
      <c r="P64" s="154">
        <v>9.8339405924661501E-3</v>
      </c>
      <c r="Q64" s="154">
        <v>6.5541181312058598E-3</v>
      </c>
      <c r="S64" s="163">
        <f t="shared" ref="S64:S67" si="99">O64/O64</f>
        <v>1</v>
      </c>
      <c r="T64" s="163">
        <f t="shared" ref="T64:T67" si="100">P64/O64</f>
        <v>1.1076110864663196</v>
      </c>
      <c r="U64" s="163">
        <f t="shared" ref="U64:U67" si="101">Q64/O64</f>
        <v>0.73819989411925202</v>
      </c>
      <c r="W64" s="154">
        <f>FIGURES!DX17</f>
        <v>5.5367027900290119E-3</v>
      </c>
      <c r="X64" s="154">
        <v>7.8719683667720398E-3</v>
      </c>
      <c r="Y64" s="154">
        <v>9.406571460060317E-3</v>
      </c>
      <c r="Z64" s="154">
        <v>5.5367027900290119E-3</v>
      </c>
      <c r="AB64" s="163">
        <f t="shared" ref="AB64:AB67" si="102">X64/X64</f>
        <v>1</v>
      </c>
      <c r="AC64" s="163">
        <f t="shared" ref="AC64:AC67" si="103">Y64/X64</f>
        <v>1.1949452820168729</v>
      </c>
      <c r="AD64" s="163">
        <f t="shared" ref="AD64:AD67" si="104">Z64/X64</f>
        <v>0.70334413606128077</v>
      </c>
      <c r="AG64" s="154" t="s">
        <v>95</v>
      </c>
      <c r="AH64" s="154" t="s">
        <v>116</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15</v>
      </c>
      <c r="B65" s="154" t="s">
        <v>23</v>
      </c>
      <c r="C65" s="154" t="s">
        <v>95</v>
      </c>
      <c r="D65" s="154">
        <f>FIGURES!S17</f>
        <v>2.4918266961334933E-2</v>
      </c>
      <c r="E65" s="154">
        <v>2.2902658139478661E-2</v>
      </c>
      <c r="F65" s="154">
        <v>2.2019872503577051E-2</v>
      </c>
      <c r="G65" s="154">
        <v>2.4918266961334933E-2</v>
      </c>
      <c r="I65" s="163">
        <f t="shared" si="96"/>
        <v>1</v>
      </c>
      <c r="J65" s="163">
        <f t="shared" si="97"/>
        <v>0.96145488307403493</v>
      </c>
      <c r="K65" s="163">
        <f t="shared" si="98"/>
        <v>1.0880076369118854</v>
      </c>
      <c r="N65" s="154">
        <f>FIGURES!BV17</f>
        <v>2.1729834203805101E-2</v>
      </c>
      <c r="O65" s="154">
        <v>1.9946835791258326E-2</v>
      </c>
      <c r="P65" s="154">
        <v>1.8700545217295608E-2</v>
      </c>
      <c r="Q65" s="154">
        <v>2.1729834203805101E-2</v>
      </c>
      <c r="S65" s="163">
        <f t="shared" si="99"/>
        <v>1</v>
      </c>
      <c r="T65" s="163">
        <f t="shared" si="100"/>
        <v>0.93751938467810003</v>
      </c>
      <c r="U65" s="163">
        <f t="shared" si="101"/>
        <v>1.089387531496508</v>
      </c>
      <c r="W65" s="154">
        <f>FIGURES!DY17</f>
        <v>1.4419983023509615E-2</v>
      </c>
      <c r="X65" s="154">
        <v>1.3232318903932011E-2</v>
      </c>
      <c r="Y65" s="154">
        <v>1.1965477176382569E-2</v>
      </c>
      <c r="Z65" s="154">
        <v>1.4419983023509615E-2</v>
      </c>
      <c r="AB65" s="163">
        <f t="shared" si="102"/>
        <v>1</v>
      </c>
      <c r="AC65" s="163">
        <f t="shared" si="103"/>
        <v>0.90426154805164216</v>
      </c>
      <c r="AD65" s="163">
        <f t="shared" si="104"/>
        <v>1.0897547987015856</v>
      </c>
      <c r="AG65" s="154" t="s">
        <v>394</v>
      </c>
      <c r="AH65" s="154" t="s">
        <v>116</v>
      </c>
      <c r="AI65" s="154">
        <v>2034</v>
      </c>
      <c r="AJ65" s="154" t="str">
        <f t="shared" ref="AJ65:AL65" si="106">A10</f>
        <v>Road</v>
      </c>
      <c r="AK65" s="154" t="str">
        <f t="shared" si="106"/>
        <v>Liquid bulk</v>
      </c>
      <c r="AL65" s="154" t="str">
        <f t="shared" si="106"/>
        <v>Diesel</v>
      </c>
      <c r="AM65" s="164">
        <f t="shared" si="95"/>
        <v>1.0203292982344305</v>
      </c>
    </row>
    <row r="66" spans="1:39" x14ac:dyDescent="0.25">
      <c r="A66" s="154" t="s">
        <v>15</v>
      </c>
      <c r="B66" s="154" t="s">
        <v>23</v>
      </c>
      <c r="C66" s="154" t="s">
        <v>97</v>
      </c>
      <c r="D66" s="154">
        <f>FIGURES!T17</f>
        <v>2.2992877245920678E-2</v>
      </c>
      <c r="E66" s="154">
        <v>2.0752764032990718E-2</v>
      </c>
      <c r="F66" s="154">
        <v>1.9771651157454294E-2</v>
      </c>
      <c r="G66" s="154">
        <v>2.2992877245920678E-2</v>
      </c>
      <c r="I66" s="163">
        <f t="shared" si="96"/>
        <v>1</v>
      </c>
      <c r="J66" s="163">
        <f t="shared" si="97"/>
        <v>0.95272374928097547</v>
      </c>
      <c r="K66" s="163">
        <f t="shared" si="98"/>
        <v>1.107942884589679</v>
      </c>
      <c r="N66" s="154">
        <f>FIGURES!BW17</f>
        <v>2.1244534691713526E-2</v>
      </c>
      <c r="O66" s="154">
        <v>1.9261282702587999E-2</v>
      </c>
      <c r="P66" s="154">
        <v>1.7875017721953809E-2</v>
      </c>
      <c r="Q66" s="154">
        <v>2.1244534691713526E-2</v>
      </c>
      <c r="S66" s="163">
        <f t="shared" si="99"/>
        <v>1</v>
      </c>
      <c r="T66" s="163">
        <f t="shared" si="100"/>
        <v>0.928028418354094</v>
      </c>
      <c r="U66" s="163">
        <f t="shared" si="101"/>
        <v>1.1029657276594071</v>
      </c>
      <c r="W66" s="154">
        <f>FIGURES!DZ17</f>
        <v>1.4673220470927728E-2</v>
      </c>
      <c r="X66" s="154">
        <v>1.3343048615322588E-2</v>
      </c>
      <c r="Y66" s="154">
        <v>1.1924198636010437E-2</v>
      </c>
      <c r="Z66" s="154">
        <v>1.4673220470927728E-2</v>
      </c>
      <c r="AB66" s="163">
        <f t="shared" si="102"/>
        <v>1</v>
      </c>
      <c r="AC66" s="163">
        <f t="shared" si="103"/>
        <v>0.89366373306301206</v>
      </c>
      <c r="AD66" s="163">
        <f t="shared" si="104"/>
        <v>1.0996902502534263</v>
      </c>
      <c r="AG66" s="154" t="s">
        <v>299</v>
      </c>
      <c r="AH66" s="154" t="s">
        <v>116</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15</v>
      </c>
      <c r="B67" s="154" t="s">
        <v>23</v>
      </c>
      <c r="C67" s="154" t="s">
        <v>99</v>
      </c>
      <c r="D67" s="154">
        <f>FIGURES!U17</f>
        <v>4.2124403613936684E-2</v>
      </c>
      <c r="E67" s="154">
        <v>3.947794392793505E-2</v>
      </c>
      <c r="F67" s="154">
        <v>3.8318861584445738E-2</v>
      </c>
      <c r="G67" s="154">
        <v>4.2124403613936684E-2</v>
      </c>
      <c r="I67" s="163">
        <f t="shared" si="96"/>
        <v>1</v>
      </c>
      <c r="J67" s="163">
        <f t="shared" si="97"/>
        <v>0.97063974897970484</v>
      </c>
      <c r="K67" s="163">
        <f t="shared" si="98"/>
        <v>1.067036411289114</v>
      </c>
      <c r="N67" s="154">
        <f>FIGURES!BX17</f>
        <v>2.9424986462674364E-2</v>
      </c>
      <c r="O67" s="154">
        <v>2.7068661567960485E-2</v>
      </c>
      <c r="P67" s="154">
        <v>2.5421623923501273E-2</v>
      </c>
      <c r="Q67" s="154">
        <v>2.9424986462674364E-2</v>
      </c>
      <c r="S67" s="163">
        <f t="shared" si="99"/>
        <v>1</v>
      </c>
      <c r="T67" s="163">
        <f t="shared" si="100"/>
        <v>0.93915334009684803</v>
      </c>
      <c r="U67" s="163">
        <f t="shared" si="101"/>
        <v>1.0870499226124619</v>
      </c>
      <c r="W67" s="154">
        <f>FIGURES!EA17</f>
        <v>1.8653832635300887E-2</v>
      </c>
      <c r="X67" s="154">
        <v>1.6989392952996653E-2</v>
      </c>
      <c r="Y67" s="154">
        <v>1.5213990625205476E-2</v>
      </c>
      <c r="Z67" s="154">
        <v>1.8653832635300887E-2</v>
      </c>
      <c r="AB67" s="163">
        <f t="shared" si="102"/>
        <v>1</v>
      </c>
      <c r="AC67" s="163">
        <f t="shared" si="103"/>
        <v>0.89549936641626593</v>
      </c>
      <c r="AD67" s="163">
        <f t="shared" si="104"/>
        <v>1.0979693439847511</v>
      </c>
      <c r="AG67" s="154" t="s">
        <v>95</v>
      </c>
      <c r="AH67" s="154" t="s">
        <v>116</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394</v>
      </c>
      <c r="AH68" s="154" t="s">
        <v>116</v>
      </c>
      <c r="AI68" s="154">
        <v>2034</v>
      </c>
      <c r="AJ68" s="154" t="str">
        <f t="shared" ref="AJ68:AL68" si="109">A13</f>
        <v>Road</v>
      </c>
      <c r="AK68" s="154" t="str">
        <f t="shared" si="109"/>
        <v>Container</v>
      </c>
      <c r="AL68" s="154" t="str">
        <f t="shared" si="109"/>
        <v>Diesel</v>
      </c>
      <c r="AM68" s="164">
        <f t="shared" si="95"/>
        <v>1.0201260789001456</v>
      </c>
    </row>
    <row r="69" spans="1:39" x14ac:dyDescent="0.25">
      <c r="AG69" s="154" t="s">
        <v>299</v>
      </c>
      <c r="AH69" s="154" t="s">
        <v>116</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95</v>
      </c>
      <c r="AH70" s="154" t="s">
        <v>116</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394</v>
      </c>
      <c r="AH71" s="154" t="s">
        <v>116</v>
      </c>
      <c r="AI71" s="154">
        <v>2034</v>
      </c>
      <c r="AJ71" s="154" t="str">
        <f t="shared" ref="AJ71:AL71" si="112">A16</f>
        <v>Road</v>
      </c>
      <c r="AK71" s="154" t="str">
        <f t="shared" si="112"/>
        <v>Break bulk</v>
      </c>
      <c r="AL71" s="154" t="str">
        <f t="shared" si="112"/>
        <v>Diesel</v>
      </c>
      <c r="AM71" s="164">
        <f t="shared" si="95"/>
        <v>1.0155757639205536</v>
      </c>
    </row>
    <row r="72" spans="1:39" x14ac:dyDescent="0.25">
      <c r="AG72" s="154" t="s">
        <v>299</v>
      </c>
      <c r="AH72" s="154" t="s">
        <v>116</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95</v>
      </c>
      <c r="AH73" s="154" t="s">
        <v>116</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394</v>
      </c>
      <c r="AH74" s="154" t="s">
        <v>116</v>
      </c>
      <c r="AI74" s="154">
        <v>2034</v>
      </c>
      <c r="AJ74" s="154" t="str">
        <f t="shared" ref="AJ74:AL74" si="115">A19</f>
        <v>Road</v>
      </c>
      <c r="AK74" s="154" t="str">
        <f t="shared" si="115"/>
        <v>Neo bulk</v>
      </c>
      <c r="AL74" s="154" t="str">
        <f t="shared" si="115"/>
        <v>Diesel</v>
      </c>
      <c r="AM74" s="164">
        <f t="shared" si="95"/>
        <v>1.0176624197536175</v>
      </c>
    </row>
    <row r="75" spans="1:39" x14ac:dyDescent="0.25">
      <c r="AG75" s="154" t="s">
        <v>299</v>
      </c>
      <c r="AH75" s="154" t="s">
        <v>116</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95</v>
      </c>
      <c r="AH76" s="154" t="s">
        <v>116</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394</v>
      </c>
      <c r="AH77" s="154" t="s">
        <v>114</v>
      </c>
      <c r="AI77" s="154">
        <v>2034</v>
      </c>
      <c r="AJ77" s="154" t="str">
        <f>A7</f>
        <v>Road</v>
      </c>
      <c r="AK77" s="154" t="str">
        <f>B7</f>
        <v>Dry bulk</v>
      </c>
      <c r="AL77" s="154" t="str">
        <f>C7</f>
        <v>Diesel</v>
      </c>
      <c r="AM77" s="164">
        <f>T7</f>
        <v>0.97208023823636724</v>
      </c>
    </row>
    <row r="78" spans="1:39" x14ac:dyDescent="0.25">
      <c r="AG78" s="154" t="s">
        <v>299</v>
      </c>
      <c r="AH78" s="154" t="s">
        <v>114</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95</v>
      </c>
      <c r="AH79" s="154" t="s">
        <v>114</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394</v>
      </c>
      <c r="AH80" s="154" t="s">
        <v>114</v>
      </c>
      <c r="AI80" s="154">
        <v>2034</v>
      </c>
      <c r="AJ80" s="154" t="str">
        <f t="shared" ref="AJ80:AL80" si="121">A10</f>
        <v>Road</v>
      </c>
      <c r="AK80" s="154" t="str">
        <f t="shared" si="121"/>
        <v>Liquid bulk</v>
      </c>
      <c r="AL80" s="154" t="str">
        <f t="shared" si="121"/>
        <v>Diesel</v>
      </c>
      <c r="AM80" s="164">
        <f t="shared" si="119"/>
        <v>0.95054215504160899</v>
      </c>
    </row>
    <row r="81" spans="33:39" x14ac:dyDescent="0.25">
      <c r="AG81" s="154" t="s">
        <v>299</v>
      </c>
      <c r="AH81" s="154" t="s">
        <v>114</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95</v>
      </c>
      <c r="AH82" s="154" t="s">
        <v>114</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394</v>
      </c>
      <c r="AH83" s="154" t="s">
        <v>114</v>
      </c>
      <c r="AI83" s="154">
        <v>2034</v>
      </c>
      <c r="AJ83" s="154" t="str">
        <f t="shared" ref="AJ83:AL83" si="124">A13</f>
        <v>Road</v>
      </c>
      <c r="AK83" s="154" t="str">
        <f t="shared" si="124"/>
        <v>Container</v>
      </c>
      <c r="AL83" s="154" t="str">
        <f t="shared" si="124"/>
        <v>Diesel</v>
      </c>
      <c r="AM83" s="164">
        <f t="shared" si="119"/>
        <v>0.95103655431755652</v>
      </c>
    </row>
    <row r="84" spans="33:39" x14ac:dyDescent="0.25">
      <c r="AG84" s="154" t="s">
        <v>299</v>
      </c>
      <c r="AH84" s="154" t="s">
        <v>114</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95</v>
      </c>
      <c r="AH85" s="154" t="s">
        <v>114</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394</v>
      </c>
      <c r="AH86" s="154" t="s">
        <v>114</v>
      </c>
      <c r="AI86" s="154">
        <v>2034</v>
      </c>
      <c r="AJ86" s="154" t="str">
        <f t="shared" ref="AJ86:AL86" si="127">A16</f>
        <v>Road</v>
      </c>
      <c r="AK86" s="154" t="str">
        <f t="shared" si="127"/>
        <v>Break bulk</v>
      </c>
      <c r="AL86" s="154" t="str">
        <f t="shared" si="127"/>
        <v>Diesel</v>
      </c>
      <c r="AM86" s="164">
        <f t="shared" si="119"/>
        <v>0.96210672359626503</v>
      </c>
    </row>
    <row r="87" spans="33:39" x14ac:dyDescent="0.25">
      <c r="AG87" s="154" t="s">
        <v>299</v>
      </c>
      <c r="AH87" s="154" t="s">
        <v>114</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95</v>
      </c>
      <c r="AH88" s="154" t="s">
        <v>114</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394</v>
      </c>
      <c r="AH89" s="154" t="s">
        <v>114</v>
      </c>
      <c r="AI89" s="154">
        <v>2034</v>
      </c>
      <c r="AJ89" s="154" t="str">
        <f t="shared" ref="AJ89:AL89" si="130">A19</f>
        <v>Road</v>
      </c>
      <c r="AK89" s="154" t="str">
        <f t="shared" si="130"/>
        <v>Neo bulk</v>
      </c>
      <c r="AL89" s="154" t="str">
        <f t="shared" si="130"/>
        <v>Diesel</v>
      </c>
      <c r="AM89" s="164">
        <f t="shared" si="119"/>
        <v>0.95703023253970709</v>
      </c>
    </row>
    <row r="90" spans="33:39" x14ac:dyDescent="0.25">
      <c r="AG90" s="154" t="s">
        <v>299</v>
      </c>
      <c r="AH90" s="154" t="s">
        <v>114</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95</v>
      </c>
      <c r="AH91" s="154" t="s">
        <v>114</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394</v>
      </c>
      <c r="AH92" s="154" t="s">
        <v>58</v>
      </c>
      <c r="AI92" s="154">
        <v>2050</v>
      </c>
      <c r="AJ92" s="154" t="str">
        <f>A7</f>
        <v>Road</v>
      </c>
      <c r="AK92" s="154" t="str">
        <f>B7</f>
        <v>Dry bulk</v>
      </c>
      <c r="AL92" s="154" t="str">
        <f>C7</f>
        <v>Diesel</v>
      </c>
      <c r="AM92" s="164">
        <f>AB7</f>
        <v>1</v>
      </c>
    </row>
    <row r="93" spans="33:39" x14ac:dyDescent="0.25">
      <c r="AG93" s="154" t="s">
        <v>299</v>
      </c>
      <c r="AH93" s="154" t="s">
        <v>58</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95</v>
      </c>
      <c r="AH94" s="154" t="s">
        <v>58</v>
      </c>
      <c r="AI94" s="154">
        <v>2050</v>
      </c>
      <c r="AJ94" s="154" t="str">
        <f t="shared" ref="AJ94:AL94" si="135">A9</f>
        <v>Road</v>
      </c>
      <c r="AK94" s="154" t="str">
        <f t="shared" si="135"/>
        <v>Dry bulk</v>
      </c>
      <c r="AL94" s="154" t="str">
        <f t="shared" si="135"/>
        <v>Hydrogen</v>
      </c>
      <c r="AM94" s="164">
        <f t="shared" si="134"/>
        <v>1</v>
      </c>
    </row>
    <row r="95" spans="33:39" x14ac:dyDescent="0.25">
      <c r="AG95" s="154" t="s">
        <v>394</v>
      </c>
      <c r="AH95" s="154" t="s">
        <v>58</v>
      </c>
      <c r="AI95" s="154">
        <v>2050</v>
      </c>
      <c r="AJ95" s="154" t="str">
        <f t="shared" ref="AJ95:AL95" si="136">A10</f>
        <v>Road</v>
      </c>
      <c r="AK95" s="154" t="str">
        <f t="shared" si="136"/>
        <v>Liquid bulk</v>
      </c>
      <c r="AL95" s="154" t="str">
        <f t="shared" si="136"/>
        <v>Diesel</v>
      </c>
      <c r="AM95" s="164">
        <f t="shared" si="134"/>
        <v>1</v>
      </c>
    </row>
    <row r="96" spans="33:39" x14ac:dyDescent="0.25">
      <c r="AG96" s="154" t="s">
        <v>299</v>
      </c>
      <c r="AH96" s="154" t="s">
        <v>58</v>
      </c>
      <c r="AI96" s="154">
        <v>2050</v>
      </c>
      <c r="AJ96" s="154" t="str">
        <f t="shared" ref="AJ96:AL96" si="137">A11</f>
        <v>Road</v>
      </c>
      <c r="AK96" s="154" t="str">
        <f t="shared" si="137"/>
        <v>Liquid bulk</v>
      </c>
      <c r="AL96" s="154" t="str">
        <f t="shared" si="137"/>
        <v>Battery</v>
      </c>
      <c r="AM96" s="164">
        <f t="shared" si="134"/>
        <v>1</v>
      </c>
    </row>
    <row r="97" spans="33:39" x14ac:dyDescent="0.25">
      <c r="AG97" s="154" t="s">
        <v>95</v>
      </c>
      <c r="AH97" s="154" t="s">
        <v>58</v>
      </c>
      <c r="AI97" s="154">
        <v>2050</v>
      </c>
      <c r="AJ97" s="154" t="str">
        <f t="shared" ref="AJ97:AL97" si="138">A12</f>
        <v>Road</v>
      </c>
      <c r="AK97" s="154" t="str">
        <f t="shared" si="138"/>
        <v>Liquid bulk</v>
      </c>
      <c r="AL97" s="154" t="str">
        <f t="shared" si="138"/>
        <v>Hydrogen</v>
      </c>
      <c r="AM97" s="164">
        <f t="shared" si="134"/>
        <v>1</v>
      </c>
    </row>
    <row r="98" spans="33:39" x14ac:dyDescent="0.25">
      <c r="AG98" s="154" t="s">
        <v>394</v>
      </c>
      <c r="AH98" s="154" t="s">
        <v>58</v>
      </c>
      <c r="AI98" s="154">
        <v>2050</v>
      </c>
      <c r="AJ98" s="154" t="str">
        <f t="shared" ref="AJ98:AL98" si="139">A13</f>
        <v>Road</v>
      </c>
      <c r="AK98" s="154" t="str">
        <f t="shared" si="139"/>
        <v>Container</v>
      </c>
      <c r="AL98" s="154" t="str">
        <f t="shared" si="139"/>
        <v>Diesel</v>
      </c>
      <c r="AM98" s="164">
        <f t="shared" si="134"/>
        <v>1</v>
      </c>
    </row>
    <row r="99" spans="33:39" x14ac:dyDescent="0.25">
      <c r="AG99" s="154" t="s">
        <v>299</v>
      </c>
      <c r="AH99" s="154" t="s">
        <v>58</v>
      </c>
      <c r="AI99" s="154">
        <v>2050</v>
      </c>
      <c r="AJ99" s="154" t="str">
        <f t="shared" ref="AJ99:AL99" si="140">A14</f>
        <v>Road</v>
      </c>
      <c r="AK99" s="154" t="str">
        <f t="shared" si="140"/>
        <v>Container</v>
      </c>
      <c r="AL99" s="154" t="str">
        <f t="shared" si="140"/>
        <v>Battery</v>
      </c>
      <c r="AM99" s="164">
        <f t="shared" si="134"/>
        <v>1</v>
      </c>
    </row>
    <row r="100" spans="33:39" x14ac:dyDescent="0.25">
      <c r="AG100" s="154" t="s">
        <v>95</v>
      </c>
      <c r="AH100" s="154" t="s">
        <v>58</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394</v>
      </c>
      <c r="AH101" s="154" t="s">
        <v>58</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299</v>
      </c>
      <c r="AH102" s="154" t="s">
        <v>58</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95</v>
      </c>
      <c r="AH103" s="154" t="s">
        <v>58</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394</v>
      </c>
      <c r="AH104" s="154" t="s">
        <v>58</v>
      </c>
      <c r="AI104" s="154">
        <v>2050</v>
      </c>
      <c r="AJ104" s="154" t="str">
        <f t="shared" ref="AJ104:AL104" si="145">A19</f>
        <v>Road</v>
      </c>
      <c r="AK104" s="154" t="str">
        <f t="shared" si="145"/>
        <v>Neo bulk</v>
      </c>
      <c r="AL104" s="154" t="str">
        <f t="shared" si="145"/>
        <v>Diesel</v>
      </c>
      <c r="AM104" s="164">
        <f t="shared" si="134"/>
        <v>1</v>
      </c>
    </row>
    <row r="105" spans="33:39" x14ac:dyDescent="0.25">
      <c r="AG105" s="154" t="s">
        <v>299</v>
      </c>
      <c r="AH105" s="154" t="s">
        <v>58</v>
      </c>
      <c r="AI105" s="154">
        <v>2050</v>
      </c>
      <c r="AJ105" s="154" t="str">
        <f t="shared" ref="AJ105:AL105" si="146">A20</f>
        <v>Road</v>
      </c>
      <c r="AK105" s="154" t="str">
        <f t="shared" si="146"/>
        <v>Neo bulk</v>
      </c>
      <c r="AL105" s="154" t="str">
        <f t="shared" si="146"/>
        <v>Battery</v>
      </c>
      <c r="AM105" s="164">
        <f t="shared" si="134"/>
        <v>1</v>
      </c>
    </row>
    <row r="106" spans="33:39" x14ac:dyDescent="0.25">
      <c r="AG106" s="154" t="s">
        <v>95</v>
      </c>
      <c r="AH106" s="154" t="s">
        <v>58</v>
      </c>
      <c r="AI106" s="154">
        <v>2050</v>
      </c>
      <c r="AJ106" s="154" t="str">
        <f>A21</f>
        <v>Road</v>
      </c>
      <c r="AK106" s="154" t="str">
        <f>B21</f>
        <v>Neo bulk</v>
      </c>
      <c r="AL106" s="154" t="str">
        <f>C21</f>
        <v>Hydrogen</v>
      </c>
      <c r="AM106" s="164">
        <f>AB21</f>
        <v>1</v>
      </c>
    </row>
    <row r="107" spans="33:39" x14ac:dyDescent="0.25">
      <c r="AG107" s="154" t="s">
        <v>394</v>
      </c>
      <c r="AH107" s="154" t="s">
        <v>116</v>
      </c>
      <c r="AI107" s="154">
        <v>2050</v>
      </c>
      <c r="AJ107" s="154" t="str">
        <f>A7</f>
        <v>Road</v>
      </c>
      <c r="AK107" s="154" t="str">
        <f>B7</f>
        <v>Dry bulk</v>
      </c>
      <c r="AL107" s="154" t="str">
        <f>C7</f>
        <v>Diesel</v>
      </c>
      <c r="AM107" s="164">
        <f>AC7</f>
        <v>1.0176655009547446</v>
      </c>
    </row>
    <row r="108" spans="33:39" x14ac:dyDescent="0.25">
      <c r="AG108" s="154" t="s">
        <v>299</v>
      </c>
      <c r="AH108" s="154" t="s">
        <v>116</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95</v>
      </c>
      <c r="AH109" s="154" t="s">
        <v>116</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394</v>
      </c>
      <c r="AH110" s="154" t="s">
        <v>116</v>
      </c>
      <c r="AI110" s="154">
        <v>2050</v>
      </c>
      <c r="AJ110" s="154" t="str">
        <f t="shared" ref="AJ110:AL110" si="150">A10</f>
        <v>Road</v>
      </c>
      <c r="AK110" s="154" t="str">
        <f t="shared" si="150"/>
        <v>Liquid bulk</v>
      </c>
      <c r="AL110" s="154" t="str">
        <f t="shared" si="150"/>
        <v>Diesel</v>
      </c>
      <c r="AM110" s="164">
        <f t="shared" si="148"/>
        <v>1.0317094812355776</v>
      </c>
    </row>
    <row r="111" spans="33:39" x14ac:dyDescent="0.25">
      <c r="AG111" s="154" t="s">
        <v>299</v>
      </c>
      <c r="AH111" s="154" t="s">
        <v>116</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95</v>
      </c>
      <c r="AH112" s="154" t="s">
        <v>116</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394</v>
      </c>
      <c r="AH113" s="154" t="s">
        <v>116</v>
      </c>
      <c r="AI113" s="154">
        <v>2050</v>
      </c>
      <c r="AJ113" s="154" t="str">
        <f t="shared" ref="AJ113:AL113" si="153">A13</f>
        <v>Road</v>
      </c>
      <c r="AK113" s="154" t="str">
        <f t="shared" si="153"/>
        <v>Container</v>
      </c>
      <c r="AL113" s="154" t="str">
        <f t="shared" si="153"/>
        <v>Diesel</v>
      </c>
      <c r="AM113" s="164">
        <f t="shared" si="148"/>
        <v>1.0313695285659814</v>
      </c>
    </row>
    <row r="114" spans="33:39" x14ac:dyDescent="0.25">
      <c r="AG114" s="154" t="s">
        <v>299</v>
      </c>
      <c r="AH114" s="154" t="s">
        <v>116</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95</v>
      </c>
      <c r="AH115" s="154" t="s">
        <v>116</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394</v>
      </c>
      <c r="AH116" s="154" t="s">
        <v>116</v>
      </c>
      <c r="AI116" s="154">
        <v>2050</v>
      </c>
      <c r="AJ116" s="154" t="str">
        <f t="shared" ref="AJ116:AL116" si="156">A16</f>
        <v>Road</v>
      </c>
      <c r="AK116" s="154" t="str">
        <f t="shared" si="156"/>
        <v>Break bulk</v>
      </c>
      <c r="AL116" s="154" t="str">
        <f t="shared" si="156"/>
        <v>Diesel</v>
      </c>
      <c r="AM116" s="164">
        <f t="shared" si="148"/>
        <v>1.0241192842561451</v>
      </c>
    </row>
    <row r="117" spans="33:39" x14ac:dyDescent="0.25">
      <c r="AG117" s="154" t="s">
        <v>299</v>
      </c>
      <c r="AH117" s="154" t="s">
        <v>116</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95</v>
      </c>
      <c r="AH118" s="154" t="s">
        <v>116</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394</v>
      </c>
      <c r="AH119" s="154" t="s">
        <v>116</v>
      </c>
      <c r="AI119" s="154">
        <v>2050</v>
      </c>
      <c r="AJ119" s="154" t="str">
        <f t="shared" ref="AJ119:AL119" si="159">A19</f>
        <v>Road</v>
      </c>
      <c r="AK119" s="154" t="str">
        <f t="shared" si="159"/>
        <v>Neo bulk</v>
      </c>
      <c r="AL119" s="154" t="str">
        <f t="shared" si="159"/>
        <v>Diesel</v>
      </c>
      <c r="AM119" s="164">
        <f t="shared" si="148"/>
        <v>1.0274318827006046</v>
      </c>
    </row>
    <row r="120" spans="33:39" x14ac:dyDescent="0.25">
      <c r="AG120" s="154" t="s">
        <v>299</v>
      </c>
      <c r="AH120" s="154" t="s">
        <v>116</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95</v>
      </c>
      <c r="AH121" s="154" t="s">
        <v>116</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394</v>
      </c>
      <c r="AH122" s="154" t="s">
        <v>114</v>
      </c>
      <c r="AI122" s="154">
        <v>2050</v>
      </c>
      <c r="AJ122" s="154" t="str">
        <f>A7</f>
        <v>Road</v>
      </c>
      <c r="AK122" s="154" t="str">
        <f>B7</f>
        <v>Dry bulk</v>
      </c>
      <c r="AL122" s="154" t="str">
        <f>C7</f>
        <v>Diesel</v>
      </c>
      <c r="AM122" s="164">
        <f>AD7</f>
        <v>0.97311771593843233</v>
      </c>
    </row>
    <row r="123" spans="33:39" x14ac:dyDescent="0.25">
      <c r="AG123" s="154" t="s">
        <v>299</v>
      </c>
      <c r="AH123" s="154" t="s">
        <v>114</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95</v>
      </c>
      <c r="AH124" s="154" t="s">
        <v>114</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394</v>
      </c>
      <c r="AH125" s="154" t="s">
        <v>114</v>
      </c>
      <c r="AI125" s="154">
        <v>2050</v>
      </c>
      <c r="AJ125" s="154" t="str">
        <f t="shared" ref="AJ125:AL125" si="165">A10</f>
        <v>Road</v>
      </c>
      <c r="AK125" s="154" t="str">
        <f t="shared" si="165"/>
        <v>Liquid bulk</v>
      </c>
      <c r="AL125" s="154" t="str">
        <f t="shared" si="165"/>
        <v>Diesel</v>
      </c>
      <c r="AM125" s="164">
        <f t="shared" si="163"/>
        <v>0.95174644159803445</v>
      </c>
    </row>
    <row r="126" spans="33:39" x14ac:dyDescent="0.25">
      <c r="AG126" s="154" t="s">
        <v>299</v>
      </c>
      <c r="AH126" s="154" t="s">
        <v>114</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95</v>
      </c>
      <c r="AH127" s="154" t="s">
        <v>114</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394</v>
      </c>
      <c r="AH128" s="154" t="s">
        <v>114</v>
      </c>
      <c r="AI128" s="154">
        <v>2050</v>
      </c>
      <c r="AJ128" s="154" t="str">
        <f t="shared" ref="AJ128:AL128" si="168">A13</f>
        <v>Road</v>
      </c>
      <c r="AK128" s="154" t="str">
        <f t="shared" si="168"/>
        <v>Container</v>
      </c>
      <c r="AL128" s="154" t="str">
        <f t="shared" si="168"/>
        <v>Diesel</v>
      </c>
      <c r="AM128" s="164">
        <f t="shared" si="163"/>
        <v>0.95226376087785436</v>
      </c>
    </row>
    <row r="129" spans="33:39" x14ac:dyDescent="0.25">
      <c r="AG129" s="154" t="s">
        <v>299</v>
      </c>
      <c r="AH129" s="154" t="s">
        <v>114</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95</v>
      </c>
      <c r="AH130" s="154" t="s">
        <v>114</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394</v>
      </c>
      <c r="AH131" s="154" t="s">
        <v>114</v>
      </c>
      <c r="AI131" s="154">
        <v>2050</v>
      </c>
      <c r="AJ131" s="154" t="str">
        <f t="shared" ref="AJ131:AL131" si="171">A16</f>
        <v>Road</v>
      </c>
      <c r="AK131" s="154" t="str">
        <f t="shared" si="171"/>
        <v>Break bulk</v>
      </c>
      <c r="AL131" s="154" t="str">
        <f t="shared" si="171"/>
        <v>Diesel</v>
      </c>
      <c r="AM131" s="164">
        <f t="shared" si="163"/>
        <v>0.9632967413493444</v>
      </c>
    </row>
    <row r="132" spans="33:39" x14ac:dyDescent="0.25">
      <c r="AG132" s="154" t="s">
        <v>299</v>
      </c>
      <c r="AH132" s="154" t="s">
        <v>114</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95</v>
      </c>
      <c r="AH133" s="154" t="s">
        <v>114</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394</v>
      </c>
      <c r="AH134" s="154" t="s">
        <v>114</v>
      </c>
      <c r="AI134" s="154">
        <v>2050</v>
      </c>
      <c r="AJ134" s="154" t="str">
        <f t="shared" ref="AJ134:AL134" si="174">A19</f>
        <v>Road</v>
      </c>
      <c r="AK134" s="154" t="str">
        <f t="shared" si="174"/>
        <v>Neo bulk</v>
      </c>
      <c r="AL134" s="154" t="str">
        <f t="shared" si="174"/>
        <v>Diesel</v>
      </c>
      <c r="AM134" s="164">
        <f t="shared" si="163"/>
        <v>0.95825583067299314</v>
      </c>
    </row>
    <row r="135" spans="33:39" x14ac:dyDescent="0.25">
      <c r="AG135" s="154" t="s">
        <v>299</v>
      </c>
      <c r="AH135" s="154" t="s">
        <v>114</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95</v>
      </c>
      <c r="AH136" s="154" t="s">
        <v>114</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394</v>
      </c>
      <c r="AH137" s="154" t="s">
        <v>58</v>
      </c>
      <c r="AI137" s="154">
        <v>2023</v>
      </c>
      <c r="AJ137" s="154" t="str">
        <f>A25</f>
        <v>Rail</v>
      </c>
      <c r="AK137" s="154" t="str">
        <f>B25</f>
        <v>Dry bulk</v>
      </c>
      <c r="AL137" s="154" t="str">
        <f>C25</f>
        <v>Diesel</v>
      </c>
      <c r="AM137" s="164">
        <f>I25</f>
        <v>1</v>
      </c>
    </row>
    <row r="138" spans="33:39" x14ac:dyDescent="0.25">
      <c r="AG138" s="154" t="s">
        <v>394</v>
      </c>
      <c r="AH138" s="154" t="s">
        <v>58</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299</v>
      </c>
      <c r="AH139" s="154" t="s">
        <v>58</v>
      </c>
      <c r="AI139" s="154">
        <v>2023</v>
      </c>
      <c r="AJ139" s="154" t="str">
        <f t="shared" ref="AJ139:AL139" si="179">A27</f>
        <v>Rail</v>
      </c>
      <c r="AK139" s="154" t="str">
        <f t="shared" si="179"/>
        <v>Dry bulk</v>
      </c>
      <c r="AL139" s="154" t="str">
        <f t="shared" si="179"/>
        <v>Battery</v>
      </c>
      <c r="AM139" s="164">
        <f t="shared" si="178"/>
        <v>1</v>
      </c>
    </row>
    <row r="140" spans="33:39" x14ac:dyDescent="0.25">
      <c r="AG140" s="154" t="s">
        <v>95</v>
      </c>
      <c r="AH140" s="154" t="s">
        <v>58</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394</v>
      </c>
      <c r="AH141" s="154" t="s">
        <v>58</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394</v>
      </c>
      <c r="AH142" s="154" t="s">
        <v>58</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299</v>
      </c>
      <c r="AH143" s="154" t="s">
        <v>58</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95</v>
      </c>
      <c r="AH144" s="154" t="s">
        <v>58</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394</v>
      </c>
      <c r="AH145" s="154" t="s">
        <v>58</v>
      </c>
      <c r="AI145" s="154">
        <v>2023</v>
      </c>
      <c r="AJ145" s="154" t="str">
        <f t="shared" ref="AJ145:AL145" si="185">A33</f>
        <v>Rail</v>
      </c>
      <c r="AK145" s="154" t="str">
        <f t="shared" si="185"/>
        <v>Container</v>
      </c>
      <c r="AL145" s="154" t="str">
        <f t="shared" si="185"/>
        <v>Diesel</v>
      </c>
      <c r="AM145" s="164">
        <f t="shared" si="178"/>
        <v>1</v>
      </c>
    </row>
    <row r="146" spans="33:39" x14ac:dyDescent="0.25">
      <c r="AG146" s="154" t="s">
        <v>394</v>
      </c>
      <c r="AH146" s="154" t="s">
        <v>58</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299</v>
      </c>
      <c r="AH147" s="154" t="s">
        <v>58</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95</v>
      </c>
      <c r="AH148" s="154" t="s">
        <v>58</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394</v>
      </c>
      <c r="AH149" s="154" t="s">
        <v>58</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394</v>
      </c>
      <c r="AH150" s="154" t="s">
        <v>58</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299</v>
      </c>
      <c r="AH151" s="154" t="s">
        <v>58</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95</v>
      </c>
      <c r="AH152" s="154" t="s">
        <v>58</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394</v>
      </c>
      <c r="AH153" s="154" t="s">
        <v>58</v>
      </c>
      <c r="AI153" s="154">
        <v>2023</v>
      </c>
      <c r="AJ153" s="154" t="str">
        <f t="shared" ref="AJ153:AL153" si="193">A41</f>
        <v>Rail</v>
      </c>
      <c r="AK153" s="154" t="str">
        <f t="shared" si="193"/>
        <v>Neo bulk</v>
      </c>
      <c r="AL153" s="154" t="str">
        <f t="shared" si="193"/>
        <v>Diesel</v>
      </c>
      <c r="AM153" s="164">
        <f t="shared" si="178"/>
        <v>1</v>
      </c>
    </row>
    <row r="154" spans="33:39" x14ac:dyDescent="0.25">
      <c r="AG154" s="154" t="s">
        <v>394</v>
      </c>
      <c r="AH154" s="154" t="s">
        <v>58</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299</v>
      </c>
      <c r="AH155" s="154" t="s">
        <v>58</v>
      </c>
      <c r="AI155" s="154">
        <v>2023</v>
      </c>
      <c r="AJ155" s="154" t="str">
        <f t="shared" ref="AJ155:AL155" si="195">A43</f>
        <v>Rail</v>
      </c>
      <c r="AK155" s="154" t="str">
        <f t="shared" si="195"/>
        <v>Neo bulk</v>
      </c>
      <c r="AL155" s="154" t="str">
        <f t="shared" si="195"/>
        <v>Battery</v>
      </c>
      <c r="AM155" s="164">
        <f t="shared" si="178"/>
        <v>1</v>
      </c>
    </row>
    <row r="156" spans="33:39" x14ac:dyDescent="0.25">
      <c r="AG156" s="154" t="s">
        <v>95</v>
      </c>
      <c r="AH156" s="154" t="s">
        <v>58</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394</v>
      </c>
      <c r="AH157" s="154" t="s">
        <v>116</v>
      </c>
      <c r="AI157" s="154">
        <v>2023</v>
      </c>
      <c r="AJ157" s="154" t="str">
        <f>A25</f>
        <v>Rail</v>
      </c>
      <c r="AK157" s="154" t="str">
        <f>B25</f>
        <v>Dry bulk</v>
      </c>
      <c r="AL157" s="154" t="str">
        <f>C25</f>
        <v>Diesel</v>
      </c>
      <c r="AM157" s="164">
        <f>J25</f>
        <v>1.0083863930085133</v>
      </c>
    </row>
    <row r="158" spans="33:39" x14ac:dyDescent="0.25">
      <c r="AG158" s="154" t="s">
        <v>394</v>
      </c>
      <c r="AH158" s="154" t="s">
        <v>116</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299</v>
      </c>
      <c r="AH159" s="154" t="s">
        <v>116</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95</v>
      </c>
      <c r="AH160" s="154" t="s">
        <v>116</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394</v>
      </c>
      <c r="AH161" s="154" t="s">
        <v>116</v>
      </c>
      <c r="AI161" s="154">
        <v>2023</v>
      </c>
      <c r="AJ161" s="154" t="str">
        <f t="shared" ref="AJ161:AL161" si="201">A29</f>
        <v>Rail</v>
      </c>
      <c r="AK161" s="154" t="str">
        <f t="shared" si="201"/>
        <v>Liquid bulk</v>
      </c>
      <c r="AL161" s="154" t="str">
        <f t="shared" si="201"/>
        <v>Diesel</v>
      </c>
      <c r="AM161" s="164">
        <f t="shared" si="198"/>
        <v>1.0083237526008513</v>
      </c>
    </row>
    <row r="162" spans="33:39" x14ac:dyDescent="0.25">
      <c r="AG162" s="154" t="s">
        <v>394</v>
      </c>
      <c r="AH162" s="154" t="s">
        <v>116</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299</v>
      </c>
      <c r="AH163" s="154" t="s">
        <v>116</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95</v>
      </c>
      <c r="AH164" s="154" t="s">
        <v>116</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394</v>
      </c>
      <c r="AH165" s="154" t="s">
        <v>116</v>
      </c>
      <c r="AI165" s="154">
        <v>2023</v>
      </c>
      <c r="AJ165" s="154" t="str">
        <f t="shared" ref="AJ165:AL165" si="205">A33</f>
        <v>Rail</v>
      </c>
      <c r="AK165" s="154" t="str">
        <f t="shared" si="205"/>
        <v>Container</v>
      </c>
      <c r="AL165" s="154" t="str">
        <f t="shared" si="205"/>
        <v>Diesel</v>
      </c>
      <c r="AM165" s="164">
        <f t="shared" si="198"/>
        <v>1.0088121358343387</v>
      </c>
    </row>
    <row r="166" spans="33:39" x14ac:dyDescent="0.25">
      <c r="AG166" s="154" t="s">
        <v>394</v>
      </c>
      <c r="AH166" s="154" t="s">
        <v>116</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299</v>
      </c>
      <c r="AH167" s="154" t="s">
        <v>116</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95</v>
      </c>
      <c r="AH168" s="154" t="s">
        <v>116</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394</v>
      </c>
      <c r="AH169" s="154" t="s">
        <v>116</v>
      </c>
      <c r="AI169" s="154">
        <v>2023</v>
      </c>
      <c r="AJ169" s="154" t="str">
        <f t="shared" ref="AJ169:AL169" si="209">A37</f>
        <v>Rail</v>
      </c>
      <c r="AK169" s="154" t="str">
        <f t="shared" si="209"/>
        <v>Break bulk</v>
      </c>
      <c r="AL169" s="154" t="str">
        <f t="shared" si="209"/>
        <v>Diesel</v>
      </c>
      <c r="AM169" s="164">
        <f t="shared" si="198"/>
        <v>1.0058195638071343</v>
      </c>
    </row>
    <row r="170" spans="33:39" x14ac:dyDescent="0.25">
      <c r="AG170" s="154" t="s">
        <v>394</v>
      </c>
      <c r="AH170" s="154" t="s">
        <v>116</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299</v>
      </c>
      <c r="AH171" s="154" t="s">
        <v>116</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95</v>
      </c>
      <c r="AH172" s="154" t="s">
        <v>116</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394</v>
      </c>
      <c r="AH173" s="154" t="s">
        <v>116</v>
      </c>
      <c r="AI173" s="154">
        <v>2023</v>
      </c>
      <c r="AJ173" s="154" t="str">
        <f t="shared" ref="AJ173:AL173" si="213">A41</f>
        <v>Rail</v>
      </c>
      <c r="AK173" s="154" t="str">
        <f t="shared" si="213"/>
        <v>Neo bulk</v>
      </c>
      <c r="AL173" s="154" t="str">
        <f t="shared" si="213"/>
        <v>Diesel</v>
      </c>
      <c r="AM173" s="164">
        <f t="shared" si="198"/>
        <v>1.008480141519571</v>
      </c>
    </row>
    <row r="174" spans="33:39" x14ac:dyDescent="0.25">
      <c r="AG174" s="154" t="s">
        <v>394</v>
      </c>
      <c r="AH174" s="154" t="s">
        <v>116</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299</v>
      </c>
      <c r="AH175" s="154" t="s">
        <v>116</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95</v>
      </c>
      <c r="AH176" s="154" t="s">
        <v>116</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394</v>
      </c>
      <c r="AH177" s="154" t="s">
        <v>114</v>
      </c>
      <c r="AI177" s="154">
        <v>2023</v>
      </c>
      <c r="AJ177" s="154" t="str">
        <f>A25</f>
        <v>Rail</v>
      </c>
      <c r="AK177" s="154" t="str">
        <f>B25</f>
        <v>Dry bulk</v>
      </c>
      <c r="AL177" s="154" t="str">
        <f>C25</f>
        <v>Diesel</v>
      </c>
      <c r="AM177" s="164">
        <f>K25</f>
        <v>0.97560322033887004</v>
      </c>
    </row>
    <row r="178" spans="33:39" x14ac:dyDescent="0.25">
      <c r="AG178" s="154" t="s">
        <v>394</v>
      </c>
      <c r="AH178" s="154" t="s">
        <v>114</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299</v>
      </c>
      <c r="AH179" s="154" t="s">
        <v>114</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95</v>
      </c>
      <c r="AH180" s="154" t="s">
        <v>114</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394</v>
      </c>
      <c r="AH181" s="154" t="s">
        <v>114</v>
      </c>
      <c r="AI181" s="154">
        <v>2023</v>
      </c>
      <c r="AJ181" s="154" t="str">
        <f t="shared" ref="AJ181:AL181" si="221">A29</f>
        <v>Rail</v>
      </c>
      <c r="AK181" s="154" t="str">
        <f t="shared" si="221"/>
        <v>Liquid bulk</v>
      </c>
      <c r="AL181" s="154" t="str">
        <f t="shared" si="221"/>
        <v>Diesel</v>
      </c>
      <c r="AM181" s="164">
        <f t="shared" si="218"/>
        <v>0.97578544697934166</v>
      </c>
    </row>
    <row r="182" spans="33:39" x14ac:dyDescent="0.25">
      <c r="AG182" s="154" t="s">
        <v>394</v>
      </c>
      <c r="AH182" s="154" t="s">
        <v>114</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299</v>
      </c>
      <c r="AH183" s="154" t="s">
        <v>114</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95</v>
      </c>
      <c r="AH184" s="154" t="s">
        <v>114</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394</v>
      </c>
      <c r="AH185" s="154" t="s">
        <v>114</v>
      </c>
      <c r="AI185" s="154">
        <v>2023</v>
      </c>
      <c r="AJ185" s="154" t="str">
        <f t="shared" ref="AJ185:AL185" si="225">A33</f>
        <v>Rail</v>
      </c>
      <c r="AK185" s="154" t="str">
        <f t="shared" si="225"/>
        <v>Container</v>
      </c>
      <c r="AL185" s="154" t="str">
        <f t="shared" si="225"/>
        <v>Diesel</v>
      </c>
      <c r="AM185" s="164">
        <f t="shared" si="218"/>
        <v>0.9743646957546509</v>
      </c>
    </row>
    <row r="186" spans="33:39" x14ac:dyDescent="0.25">
      <c r="AG186" s="154" t="s">
        <v>394</v>
      </c>
      <c r="AH186" s="154" t="s">
        <v>114</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299</v>
      </c>
      <c r="AH187" s="154" t="s">
        <v>114</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95</v>
      </c>
      <c r="AH188" s="154" t="s">
        <v>114</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394</v>
      </c>
      <c r="AH189" s="154" t="s">
        <v>114</v>
      </c>
      <c r="AI189" s="154">
        <v>2023</v>
      </c>
      <c r="AJ189" s="154" t="str">
        <f t="shared" ref="AJ189:AL189" si="229">A37</f>
        <v>Rail</v>
      </c>
      <c r="AK189" s="154" t="str">
        <f t="shared" si="229"/>
        <v>Break bulk</v>
      </c>
      <c r="AL189" s="154" t="str">
        <f t="shared" si="229"/>
        <v>Diesel</v>
      </c>
      <c r="AM189" s="164">
        <f t="shared" si="218"/>
        <v>0.98307035983379165</v>
      </c>
    </row>
    <row r="190" spans="33:39" x14ac:dyDescent="0.25">
      <c r="AG190" s="154" t="s">
        <v>394</v>
      </c>
      <c r="AH190" s="154" t="s">
        <v>114</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299</v>
      </c>
      <c r="AH191" s="154" t="s">
        <v>114</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95</v>
      </c>
      <c r="AH192" s="154" t="s">
        <v>114</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394</v>
      </c>
      <c r="AH193" s="154" t="s">
        <v>114</v>
      </c>
      <c r="AI193" s="154">
        <v>2023</v>
      </c>
      <c r="AJ193" s="154" t="str">
        <f t="shared" ref="AJ193:AL193" si="233">A41</f>
        <v>Rail</v>
      </c>
      <c r="AK193" s="154" t="str">
        <f t="shared" si="233"/>
        <v>Neo bulk</v>
      </c>
      <c r="AL193" s="154" t="str">
        <f t="shared" si="233"/>
        <v>Diesel</v>
      </c>
      <c r="AM193" s="164">
        <f t="shared" si="218"/>
        <v>0.97533049739761191</v>
      </c>
    </row>
    <row r="194" spans="33:39" x14ac:dyDescent="0.25">
      <c r="AG194" s="154" t="s">
        <v>394</v>
      </c>
      <c r="AH194" s="154" t="s">
        <v>114</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299</v>
      </c>
      <c r="AH195" s="154" t="s">
        <v>114</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95</v>
      </c>
      <c r="AH196" s="154" t="s">
        <v>114</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394</v>
      </c>
      <c r="AH197" s="154" t="s">
        <v>58</v>
      </c>
      <c r="AI197" s="154">
        <v>2034</v>
      </c>
      <c r="AJ197" s="154" t="str">
        <f>A25</f>
        <v>Rail</v>
      </c>
      <c r="AK197" s="154" t="str">
        <f>B25</f>
        <v>Dry bulk</v>
      </c>
      <c r="AL197" s="154" t="str">
        <f>C25</f>
        <v>Diesel</v>
      </c>
      <c r="AM197" s="164">
        <f>R25</f>
        <v>1</v>
      </c>
    </row>
    <row r="198" spans="33:39" x14ac:dyDescent="0.25">
      <c r="AG198" s="154" t="s">
        <v>394</v>
      </c>
      <c r="AH198" s="154" t="s">
        <v>58</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299</v>
      </c>
      <c r="AH199" s="154" t="s">
        <v>58</v>
      </c>
      <c r="AI199" s="154">
        <v>2034</v>
      </c>
      <c r="AJ199" s="154" t="str">
        <f t="shared" ref="AJ199:AL199" si="239">A27</f>
        <v>Rail</v>
      </c>
      <c r="AK199" s="154" t="str">
        <f t="shared" si="239"/>
        <v>Dry bulk</v>
      </c>
      <c r="AL199" s="154" t="str">
        <f t="shared" si="239"/>
        <v>Battery</v>
      </c>
      <c r="AM199" s="164">
        <f t="shared" si="238"/>
        <v>1</v>
      </c>
    </row>
    <row r="200" spans="33:39" x14ac:dyDescent="0.25">
      <c r="AG200" s="154" t="s">
        <v>95</v>
      </c>
      <c r="AH200" s="154" t="s">
        <v>58</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394</v>
      </c>
      <c r="AH201" s="154" t="s">
        <v>58</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394</v>
      </c>
      <c r="AH202" s="154" t="s">
        <v>58</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299</v>
      </c>
      <c r="AH203" s="154" t="s">
        <v>58</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95</v>
      </c>
      <c r="AH204" s="154" t="s">
        <v>58</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394</v>
      </c>
      <c r="AH205" s="154" t="s">
        <v>58</v>
      </c>
      <c r="AI205" s="154">
        <v>2034</v>
      </c>
      <c r="AJ205" s="154" t="str">
        <f t="shared" ref="AJ205:AL205" si="245">A33</f>
        <v>Rail</v>
      </c>
      <c r="AK205" s="154" t="str">
        <f t="shared" si="245"/>
        <v>Container</v>
      </c>
      <c r="AL205" s="154" t="str">
        <f t="shared" si="245"/>
        <v>Diesel</v>
      </c>
      <c r="AM205" s="164">
        <f t="shared" si="238"/>
        <v>1</v>
      </c>
    </row>
    <row r="206" spans="33:39" x14ac:dyDescent="0.25">
      <c r="AG206" s="154" t="s">
        <v>394</v>
      </c>
      <c r="AH206" s="154" t="s">
        <v>58</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299</v>
      </c>
      <c r="AH207" s="154" t="s">
        <v>58</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95</v>
      </c>
      <c r="AH208" s="154" t="s">
        <v>58</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394</v>
      </c>
      <c r="AH209" s="154" t="s">
        <v>58</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394</v>
      </c>
      <c r="AH210" s="154" t="s">
        <v>58</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299</v>
      </c>
      <c r="AH211" s="154" t="s">
        <v>58</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95</v>
      </c>
      <c r="AH212" s="154" t="s">
        <v>58</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394</v>
      </c>
      <c r="AH213" s="154" t="s">
        <v>58</v>
      </c>
      <c r="AI213" s="154">
        <v>2034</v>
      </c>
      <c r="AJ213" s="154" t="str">
        <f t="shared" ref="AJ213:AL213" si="253">A41</f>
        <v>Rail</v>
      </c>
      <c r="AK213" s="154" t="str">
        <f t="shared" si="253"/>
        <v>Neo bulk</v>
      </c>
      <c r="AL213" s="154" t="str">
        <f t="shared" si="253"/>
        <v>Diesel</v>
      </c>
      <c r="AM213" s="164">
        <f t="shared" si="238"/>
        <v>1</v>
      </c>
    </row>
    <row r="214" spans="33:39" x14ac:dyDescent="0.25">
      <c r="AG214" s="154" t="s">
        <v>394</v>
      </c>
      <c r="AH214" s="154" t="s">
        <v>58</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299</v>
      </c>
      <c r="AH215" s="154" t="s">
        <v>58</v>
      </c>
      <c r="AI215" s="154">
        <v>2034</v>
      </c>
      <c r="AJ215" s="154" t="str">
        <f>A43</f>
        <v>Rail</v>
      </c>
      <c r="AK215" s="154" t="str">
        <f>B43</f>
        <v>Neo bulk</v>
      </c>
      <c r="AL215" s="154" t="str">
        <f>C43</f>
        <v>Battery</v>
      </c>
      <c r="AM215" s="164">
        <f>R43</f>
        <v>1</v>
      </c>
    </row>
    <row r="216" spans="33:39" x14ac:dyDescent="0.25">
      <c r="AG216" s="154" t="s">
        <v>95</v>
      </c>
      <c r="AH216" s="154" t="s">
        <v>58</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394</v>
      </c>
      <c r="AH217" s="154" t="s">
        <v>116</v>
      </c>
      <c r="AI217" s="154">
        <v>2034</v>
      </c>
      <c r="AJ217" s="154" t="str">
        <f>A25</f>
        <v>Rail</v>
      </c>
      <c r="AK217" s="154" t="str">
        <f>B25</f>
        <v>Dry bulk</v>
      </c>
      <c r="AL217" s="154" t="str">
        <f>C25</f>
        <v>Diesel</v>
      </c>
      <c r="AM217" s="164">
        <f>S25</f>
        <v>1.0357118987174436</v>
      </c>
    </row>
    <row r="218" spans="33:39" x14ac:dyDescent="0.25">
      <c r="AG218" s="154" t="s">
        <v>394</v>
      </c>
      <c r="AH218" s="154" t="s">
        <v>116</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299</v>
      </c>
      <c r="AH219" s="154" t="s">
        <v>116</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95</v>
      </c>
      <c r="AH220" s="154" t="s">
        <v>116</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394</v>
      </c>
      <c r="AH221" s="154" t="s">
        <v>116</v>
      </c>
      <c r="AI221" s="154">
        <v>2034</v>
      </c>
      <c r="AJ221" s="154" t="str">
        <f t="shared" ref="AJ221:AL221" si="263">A29</f>
        <v>Rail</v>
      </c>
      <c r="AK221" s="154" t="str">
        <f t="shared" si="263"/>
        <v>Liquid bulk</v>
      </c>
      <c r="AL221" s="154" t="str">
        <f t="shared" si="263"/>
        <v>Diesel</v>
      </c>
      <c r="AM221" s="164">
        <f t="shared" si="260"/>
        <v>1.0354322703259429</v>
      </c>
    </row>
    <row r="222" spans="33:39" x14ac:dyDescent="0.25">
      <c r="AG222" s="154" t="s">
        <v>394</v>
      </c>
      <c r="AH222" s="154" t="s">
        <v>116</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299</v>
      </c>
      <c r="AH223" s="154" t="s">
        <v>116</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95</v>
      </c>
      <c r="AH224" s="154" t="s">
        <v>116</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394</v>
      </c>
      <c r="AH225" s="154" t="s">
        <v>116</v>
      </c>
      <c r="AI225" s="154">
        <v>2034</v>
      </c>
      <c r="AJ225" s="154" t="str">
        <f t="shared" ref="AJ225:AL225" si="267">A33</f>
        <v>Rail</v>
      </c>
      <c r="AK225" s="154" t="str">
        <f t="shared" si="267"/>
        <v>Container</v>
      </c>
      <c r="AL225" s="154" t="str">
        <f t="shared" si="267"/>
        <v>Diesel</v>
      </c>
      <c r="AM225" s="164">
        <f t="shared" si="260"/>
        <v>1.037617827821059</v>
      </c>
    </row>
    <row r="226" spans="33:39" x14ac:dyDescent="0.25">
      <c r="AG226" s="154" t="s">
        <v>394</v>
      </c>
      <c r="AH226" s="154" t="s">
        <v>116</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299</v>
      </c>
      <c r="AH227" s="154" t="s">
        <v>116</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95</v>
      </c>
      <c r="AH228" s="154" t="s">
        <v>116</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394</v>
      </c>
      <c r="AH229" s="154" t="s">
        <v>116</v>
      </c>
      <c r="AI229" s="154">
        <v>2034</v>
      </c>
      <c r="AJ229" s="154" t="str">
        <f t="shared" ref="AJ229:AL229" si="271">A37</f>
        <v>Rail</v>
      </c>
      <c r="AK229" s="154" t="str">
        <f t="shared" si="271"/>
        <v>Break bulk</v>
      </c>
      <c r="AL229" s="154" t="str">
        <f t="shared" si="271"/>
        <v>Diesel</v>
      </c>
      <c r="AM229" s="164">
        <f t="shared" si="260"/>
        <v>1.0244176513147685</v>
      </c>
    </row>
    <row r="230" spans="33:39" x14ac:dyDescent="0.25">
      <c r="AG230" s="154" t="s">
        <v>394</v>
      </c>
      <c r="AH230" s="154" t="s">
        <v>116</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299</v>
      </c>
      <c r="AH231" s="154" t="s">
        <v>116</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95</v>
      </c>
      <c r="AH232" s="154" t="s">
        <v>116</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394</v>
      </c>
      <c r="AH233" s="154" t="s">
        <v>116</v>
      </c>
      <c r="AI233" s="154">
        <v>2034</v>
      </c>
      <c r="AJ233" s="154" t="str">
        <f t="shared" ref="AJ233:AL233" si="275">A41</f>
        <v>Rail</v>
      </c>
      <c r="AK233" s="154" t="str">
        <f t="shared" si="275"/>
        <v>Neo bulk</v>
      </c>
      <c r="AL233" s="154" t="str">
        <f t="shared" si="275"/>
        <v>Diesel</v>
      </c>
      <c r="AM233" s="164">
        <f t="shared" si="260"/>
        <v>1.0361307746657815</v>
      </c>
    </row>
    <row r="234" spans="33:39" x14ac:dyDescent="0.25">
      <c r="AG234" s="154" t="s">
        <v>394</v>
      </c>
      <c r="AH234" s="154" t="s">
        <v>116</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299</v>
      </c>
      <c r="AH235" s="154" t="s">
        <v>116</v>
      </c>
      <c r="AI235" s="154">
        <v>2034</v>
      </c>
      <c r="AJ235" s="154" t="str">
        <f>A43</f>
        <v>Rail</v>
      </c>
      <c r="AK235" s="154" t="str">
        <f>B43</f>
        <v>Neo bulk</v>
      </c>
      <c r="AL235" s="154" t="str">
        <f>C43</f>
        <v>Battery</v>
      </c>
      <c r="AM235" s="164">
        <f>S43</f>
        <v>0.9868194655673318</v>
      </c>
    </row>
    <row r="236" spans="33:39" x14ac:dyDescent="0.25">
      <c r="AG236" s="154" t="s">
        <v>95</v>
      </c>
      <c r="AH236" s="154" t="s">
        <v>116</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394</v>
      </c>
      <c r="AH237" s="154" t="s">
        <v>114</v>
      </c>
      <c r="AI237" s="154">
        <v>2034</v>
      </c>
      <c r="AJ237" s="154" t="str">
        <f>A25</f>
        <v>Rail</v>
      </c>
      <c r="AK237" s="154" t="str">
        <f>B25</f>
        <v>Dry bulk</v>
      </c>
      <c r="AL237" s="154" t="str">
        <f>C25</f>
        <v>Diesel</v>
      </c>
      <c r="AM237" s="164">
        <f>T25</f>
        <v>0.91311881356800995</v>
      </c>
    </row>
    <row r="238" spans="33:39" x14ac:dyDescent="0.25">
      <c r="AG238" s="154" t="s">
        <v>394</v>
      </c>
      <c r="AH238" s="154" t="s">
        <v>114</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299</v>
      </c>
      <c r="AH239" s="154" t="s">
        <v>114</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95</v>
      </c>
      <c r="AH240" s="154" t="s">
        <v>114</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394</v>
      </c>
      <c r="AH241" s="154" t="s">
        <v>114</v>
      </c>
      <c r="AI241" s="154">
        <v>2034</v>
      </c>
      <c r="AJ241" s="154" t="str">
        <f t="shared" ref="AJ241:AL241" si="285">A29</f>
        <v>Rail</v>
      </c>
      <c r="AK241" s="154" t="str">
        <f t="shared" si="285"/>
        <v>Liquid bulk</v>
      </c>
      <c r="AL241" s="154" t="str">
        <f t="shared" si="285"/>
        <v>Diesel</v>
      </c>
      <c r="AM241" s="164">
        <f t="shared" si="282"/>
        <v>0.91379910353539295</v>
      </c>
    </row>
    <row r="242" spans="33:39" x14ac:dyDescent="0.25">
      <c r="AG242" s="154" t="s">
        <v>394</v>
      </c>
      <c r="AH242" s="154" t="s">
        <v>114</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299</v>
      </c>
      <c r="AH243" s="154" t="s">
        <v>114</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95</v>
      </c>
      <c r="AH244" s="154" t="s">
        <v>114</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394</v>
      </c>
      <c r="AH245" s="154" t="s">
        <v>114</v>
      </c>
      <c r="AI245" s="154">
        <v>2034</v>
      </c>
      <c r="AJ245" s="154" t="str">
        <f t="shared" ref="AJ245:AL245" si="289">A33</f>
        <v>Rail</v>
      </c>
      <c r="AK245" s="154" t="str">
        <f t="shared" si="289"/>
        <v>Container</v>
      </c>
      <c r="AL245" s="154" t="str">
        <f t="shared" si="289"/>
        <v>Diesel</v>
      </c>
      <c r="AM245" s="164">
        <f t="shared" si="282"/>
        <v>0.90848200097264742</v>
      </c>
    </row>
    <row r="246" spans="33:39" x14ac:dyDescent="0.25">
      <c r="AG246" s="154" t="s">
        <v>394</v>
      </c>
      <c r="AH246" s="154" t="s">
        <v>114</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299</v>
      </c>
      <c r="AH247" s="154" t="s">
        <v>114</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95</v>
      </c>
      <c r="AH248" s="154" t="s">
        <v>114</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394</v>
      </c>
      <c r="AH249" s="154" t="s">
        <v>114</v>
      </c>
      <c r="AI249" s="154">
        <v>2034</v>
      </c>
      <c r="AJ249" s="154" t="str">
        <f t="shared" ref="AJ249:AL249" si="293">A37</f>
        <v>Rail</v>
      </c>
      <c r="AK249" s="154" t="str">
        <f t="shared" si="293"/>
        <v>Break bulk</v>
      </c>
      <c r="AL249" s="154" t="str">
        <f t="shared" si="293"/>
        <v>Diesel</v>
      </c>
      <c r="AM249" s="164">
        <f t="shared" si="282"/>
        <v>0.94059586321929411</v>
      </c>
    </row>
    <row r="250" spans="33:39" x14ac:dyDescent="0.25">
      <c r="AG250" s="154" t="s">
        <v>394</v>
      </c>
      <c r="AH250" s="154" t="s">
        <v>114</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299</v>
      </c>
      <c r="AH251" s="154" t="s">
        <v>114</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95</v>
      </c>
      <c r="AH252" s="154" t="s">
        <v>114</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394</v>
      </c>
      <c r="AH253" s="154" t="s">
        <v>114</v>
      </c>
      <c r="AI253" s="154">
        <v>2034</v>
      </c>
      <c r="AJ253" s="154" t="str">
        <f t="shared" ref="AJ253:AL256" si="297">A41</f>
        <v>Rail</v>
      </c>
      <c r="AK253" s="154" t="str">
        <f t="shared" si="297"/>
        <v>Neo bulk</v>
      </c>
      <c r="AL253" s="154" t="str">
        <f t="shared" si="297"/>
        <v>Diesel</v>
      </c>
      <c r="AM253" s="164">
        <f t="shared" si="282"/>
        <v>0.91209975715638192</v>
      </c>
    </row>
    <row r="254" spans="33:39" x14ac:dyDescent="0.25">
      <c r="AG254" s="154" t="s">
        <v>394</v>
      </c>
      <c r="AH254" s="154" t="s">
        <v>114</v>
      </c>
      <c r="AI254" s="154">
        <v>2034</v>
      </c>
      <c r="AJ254" s="154" t="str">
        <f t="shared" si="297"/>
        <v>Rail</v>
      </c>
      <c r="AK254" s="154" t="str">
        <f>B42</f>
        <v>Neo bulk</v>
      </c>
      <c r="AL254" s="154" t="str">
        <f>C42</f>
        <v>Catenary</v>
      </c>
      <c r="AM254" s="164">
        <f>T42</f>
        <v>1.0220375701286546</v>
      </c>
    </row>
    <row r="255" spans="33:39" x14ac:dyDescent="0.25">
      <c r="AG255" s="154" t="s">
        <v>299</v>
      </c>
      <c r="AH255" s="154" t="s">
        <v>114</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95</v>
      </c>
      <c r="AH256" s="154" t="s">
        <v>114</v>
      </c>
      <c r="AI256" s="154">
        <v>2034</v>
      </c>
      <c r="AJ256" s="154" t="str">
        <f t="shared" si="297"/>
        <v>Rail</v>
      </c>
      <c r="AK256" s="154" t="str">
        <f t="shared" si="298"/>
        <v>Neo bulk</v>
      </c>
      <c r="AL256" s="154" t="str">
        <f t="shared" si="299"/>
        <v>Hydrogen</v>
      </c>
      <c r="AM256" s="164">
        <f t="shared" si="300"/>
        <v>1.0335058089816824</v>
      </c>
    </row>
    <row r="257" spans="33:39" x14ac:dyDescent="0.25">
      <c r="AG257" s="154" t="s">
        <v>394</v>
      </c>
      <c r="AH257" s="154" t="s">
        <v>58</v>
      </c>
      <c r="AI257" s="154">
        <v>2050</v>
      </c>
      <c r="AJ257" s="154" t="str">
        <f t="shared" ref="AJ257:AJ263" si="301">A25</f>
        <v>Rail</v>
      </c>
      <c r="AK257" s="154" t="str">
        <f>B25</f>
        <v>Dry bulk</v>
      </c>
      <c r="AL257" s="154" t="str">
        <f>C25</f>
        <v>Diesel</v>
      </c>
      <c r="AM257" s="164">
        <f>AB25</f>
        <v>1</v>
      </c>
    </row>
    <row r="258" spans="33:39" x14ac:dyDescent="0.25">
      <c r="AG258" s="154" t="s">
        <v>394</v>
      </c>
      <c r="AH258" s="154" t="s">
        <v>58</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299</v>
      </c>
      <c r="AH259" s="154" t="s">
        <v>58</v>
      </c>
      <c r="AI259" s="154">
        <v>2050</v>
      </c>
      <c r="AJ259" s="154" t="str">
        <f t="shared" si="301"/>
        <v>Rail</v>
      </c>
      <c r="AK259" s="154" t="str">
        <f t="shared" ref="AK259:AL259" si="304">B27</f>
        <v>Dry bulk</v>
      </c>
      <c r="AL259" s="154" t="str">
        <f t="shared" si="304"/>
        <v>Battery</v>
      </c>
      <c r="AM259" s="164">
        <f t="shared" si="303"/>
        <v>1</v>
      </c>
    </row>
    <row r="260" spans="33:39" x14ac:dyDescent="0.25">
      <c r="AG260" s="154" t="s">
        <v>95</v>
      </c>
      <c r="AH260" s="154" t="s">
        <v>58</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394</v>
      </c>
      <c r="AH261" s="154" t="s">
        <v>58</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394</v>
      </c>
      <c r="AH262" s="154" t="s">
        <v>58</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299</v>
      </c>
      <c r="AH263" s="154" t="s">
        <v>58</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95</v>
      </c>
      <c r="AH264" s="154" t="s">
        <v>58</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394</v>
      </c>
      <c r="AH265" s="154" t="s">
        <v>58</v>
      </c>
      <c r="AI265" s="154">
        <v>2050</v>
      </c>
      <c r="AJ265" s="154" t="str">
        <f t="shared" ref="AJ265:AL265" si="310">A33</f>
        <v>Rail</v>
      </c>
      <c r="AK265" s="154" t="str">
        <f t="shared" si="310"/>
        <v>Container</v>
      </c>
      <c r="AL265" s="154" t="str">
        <f t="shared" si="310"/>
        <v>Diesel</v>
      </c>
      <c r="AM265" s="164">
        <f t="shared" si="303"/>
        <v>1</v>
      </c>
    </row>
    <row r="266" spans="33:39" x14ac:dyDescent="0.25">
      <c r="AG266" s="154" t="s">
        <v>394</v>
      </c>
      <c r="AH266" s="154" t="s">
        <v>58</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299</v>
      </c>
      <c r="AH267" s="154" t="s">
        <v>58</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95</v>
      </c>
      <c r="AH268" s="154" t="s">
        <v>58</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394</v>
      </c>
      <c r="AH269" s="154" t="s">
        <v>58</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394</v>
      </c>
      <c r="AH270" s="154" t="s">
        <v>58</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299</v>
      </c>
      <c r="AH271" s="154" t="s">
        <v>58</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95</v>
      </c>
      <c r="AH272" s="154" t="s">
        <v>58</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394</v>
      </c>
      <c r="AH273" s="154" t="s">
        <v>58</v>
      </c>
      <c r="AI273" s="154">
        <v>2050</v>
      </c>
      <c r="AJ273" s="154" t="str">
        <f t="shared" ref="AJ273:AL273" si="318">A41</f>
        <v>Rail</v>
      </c>
      <c r="AK273" s="154" t="str">
        <f t="shared" si="318"/>
        <v>Neo bulk</v>
      </c>
      <c r="AL273" s="154" t="str">
        <f t="shared" si="318"/>
        <v>Diesel</v>
      </c>
      <c r="AM273" s="164">
        <f t="shared" si="303"/>
        <v>1</v>
      </c>
    </row>
    <row r="274" spans="33:39" x14ac:dyDescent="0.25">
      <c r="AG274" s="154" t="s">
        <v>394</v>
      </c>
      <c r="AH274" s="154" t="s">
        <v>58</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299</v>
      </c>
      <c r="AH275" s="154" t="s">
        <v>58</v>
      </c>
      <c r="AI275" s="154">
        <v>2050</v>
      </c>
      <c r="AJ275" s="154" t="str">
        <f t="shared" ref="AJ275:AL275" si="320">A43</f>
        <v>Rail</v>
      </c>
      <c r="AK275" s="154" t="str">
        <f t="shared" si="320"/>
        <v>Neo bulk</v>
      </c>
      <c r="AL275" s="154" t="str">
        <f t="shared" si="320"/>
        <v>Battery</v>
      </c>
      <c r="AM275" s="164">
        <f t="shared" si="303"/>
        <v>1</v>
      </c>
    </row>
    <row r="276" spans="33:39" x14ac:dyDescent="0.25">
      <c r="AG276" s="154" t="s">
        <v>95</v>
      </c>
      <c r="AH276" s="154" t="s">
        <v>58</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394</v>
      </c>
      <c r="AH277" s="154" t="s">
        <v>116</v>
      </c>
      <c r="AI277" s="154">
        <v>2050</v>
      </c>
      <c r="AJ277" s="154" t="str">
        <f>A25</f>
        <v>Rail</v>
      </c>
      <c r="AK277" s="154" t="str">
        <f>B25</f>
        <v>Dry bulk</v>
      </c>
      <c r="AL277" s="154" t="str">
        <f>C25</f>
        <v>Diesel</v>
      </c>
      <c r="AM277" s="164">
        <f>AC25</f>
        <v>1.0628816928955782</v>
      </c>
    </row>
    <row r="278" spans="33:39" x14ac:dyDescent="0.25">
      <c r="AG278" s="154" t="s">
        <v>394</v>
      </c>
      <c r="AH278" s="154" t="s">
        <v>116</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299</v>
      </c>
      <c r="AH279" s="154" t="s">
        <v>116</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95</v>
      </c>
      <c r="AH280" s="154" t="s">
        <v>116</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394</v>
      </c>
      <c r="AH281" s="154" t="s">
        <v>116</v>
      </c>
      <c r="AI281" s="154">
        <v>2050</v>
      </c>
      <c r="AJ281" s="154" t="str">
        <f t="shared" ref="AJ281:AL281" si="326">A29</f>
        <v>Rail</v>
      </c>
      <c r="AK281" s="154" t="str">
        <f t="shared" si="326"/>
        <v>Liquid bulk</v>
      </c>
      <c r="AL281" s="154" t="str">
        <f t="shared" si="326"/>
        <v>Diesel</v>
      </c>
      <c r="AM281" s="164">
        <f t="shared" si="323"/>
        <v>1.062376691168186</v>
      </c>
    </row>
    <row r="282" spans="33:39" x14ac:dyDescent="0.25">
      <c r="AG282" s="154" t="s">
        <v>394</v>
      </c>
      <c r="AH282" s="154" t="s">
        <v>116</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299</v>
      </c>
      <c r="AH283" s="154" t="s">
        <v>116</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95</v>
      </c>
      <c r="AH284" s="154" t="s">
        <v>116</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394</v>
      </c>
      <c r="AH285" s="154" t="s">
        <v>116</v>
      </c>
      <c r="AI285" s="154">
        <v>2050</v>
      </c>
      <c r="AJ285" s="154" t="str">
        <f t="shared" ref="AJ285:AL285" si="330">A33</f>
        <v>Rail</v>
      </c>
      <c r="AK285" s="154" t="str">
        <f t="shared" si="330"/>
        <v>Container</v>
      </c>
      <c r="AL285" s="154" t="str">
        <f t="shared" si="330"/>
        <v>Diesel</v>
      </c>
      <c r="AM285" s="164">
        <f t="shared" si="323"/>
        <v>1.0663292072286992</v>
      </c>
    </row>
    <row r="286" spans="33:39" x14ac:dyDescent="0.25">
      <c r="AG286" s="154" t="s">
        <v>394</v>
      </c>
      <c r="AH286" s="154" t="s">
        <v>116</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299</v>
      </c>
      <c r="AH287" s="154" t="s">
        <v>116</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95</v>
      </c>
      <c r="AH288" s="154" t="s">
        <v>116</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394</v>
      </c>
      <c r="AH289" s="154" t="s">
        <v>116</v>
      </c>
      <c r="AI289" s="154">
        <v>2050</v>
      </c>
      <c r="AJ289" s="154" t="str">
        <f t="shared" ref="AJ289:AL289" si="334">A37</f>
        <v>Rail</v>
      </c>
      <c r="AK289" s="154" t="str">
        <f t="shared" si="334"/>
        <v>Break bulk</v>
      </c>
      <c r="AL289" s="154" t="str">
        <f t="shared" si="334"/>
        <v>Diesel</v>
      </c>
      <c r="AM289" s="164">
        <f t="shared" si="323"/>
        <v>1.0426459406464745</v>
      </c>
    </row>
    <row r="290" spans="33:39" x14ac:dyDescent="0.25">
      <c r="AG290" s="154" t="s">
        <v>394</v>
      </c>
      <c r="AH290" s="154" t="s">
        <v>116</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299</v>
      </c>
      <c r="AH291" s="154" t="s">
        <v>116</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95</v>
      </c>
      <c r="AH292" s="154" t="s">
        <v>116</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394</v>
      </c>
      <c r="AH293" s="154" t="s">
        <v>116</v>
      </c>
      <c r="AI293" s="154">
        <v>2050</v>
      </c>
      <c r="AJ293" s="154" t="str">
        <f t="shared" ref="AJ293:AL293" si="338">A41</f>
        <v>Rail</v>
      </c>
      <c r="AK293" s="154" t="str">
        <f t="shared" si="338"/>
        <v>Neo bulk</v>
      </c>
      <c r="AL293" s="154" t="str">
        <f t="shared" si="338"/>
        <v>Diesel</v>
      </c>
      <c r="AM293" s="164">
        <f t="shared" si="323"/>
        <v>1.0636385549049889</v>
      </c>
    </row>
    <row r="294" spans="33:39" x14ac:dyDescent="0.25">
      <c r="AG294" s="154" t="s">
        <v>394</v>
      </c>
      <c r="AH294" s="154" t="s">
        <v>116</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299</v>
      </c>
      <c r="AH295" s="154" t="s">
        <v>116</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95</v>
      </c>
      <c r="AH296" s="154" t="s">
        <v>116</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394</v>
      </c>
      <c r="AH297" s="154" t="s">
        <v>114</v>
      </c>
      <c r="AI297" s="154">
        <v>2050</v>
      </c>
      <c r="AJ297" s="154" t="str">
        <f>A25</f>
        <v>Rail</v>
      </c>
      <c r="AK297" s="154" t="str">
        <f t="shared" ref="AK297:AL297" si="342">B25</f>
        <v>Dry bulk</v>
      </c>
      <c r="AL297" s="154" t="str">
        <f t="shared" si="342"/>
        <v>Diesel</v>
      </c>
      <c r="AM297" s="164">
        <f>AD25</f>
        <v>0.90431046733281617</v>
      </c>
    </row>
    <row r="298" spans="33:39" x14ac:dyDescent="0.25">
      <c r="AG298" s="154" t="s">
        <v>394</v>
      </c>
      <c r="AH298" s="154" t="s">
        <v>114</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299</v>
      </c>
      <c r="AH299" s="154" t="s">
        <v>114</v>
      </c>
      <c r="AI299" s="154">
        <v>2050</v>
      </c>
      <c r="AJ299" s="154" t="str">
        <f t="shared" si="343"/>
        <v>Rail</v>
      </c>
      <c r="AK299" s="154" t="str">
        <f t="shared" si="344"/>
        <v>Dry bulk</v>
      </c>
      <c r="AL299" s="154" t="str">
        <f t="shared" si="345"/>
        <v>Battery</v>
      </c>
      <c r="AM299" s="164">
        <f t="shared" si="346"/>
        <v>1.0176435751348338</v>
      </c>
    </row>
    <row r="300" spans="33:39" x14ac:dyDescent="0.25">
      <c r="AG300" s="154" t="s">
        <v>95</v>
      </c>
      <c r="AH300" s="154" t="s">
        <v>114</v>
      </c>
      <c r="AI300" s="154">
        <v>2050</v>
      </c>
      <c r="AJ300" s="154" t="str">
        <f t="shared" si="343"/>
        <v>Rail</v>
      </c>
      <c r="AK300" s="154" t="str">
        <f t="shared" si="344"/>
        <v>Dry bulk</v>
      </c>
      <c r="AL300" s="154" t="str">
        <f t="shared" si="345"/>
        <v>Hydrogen</v>
      </c>
      <c r="AM300" s="164">
        <f t="shared" si="346"/>
        <v>1.0311526330871377</v>
      </c>
    </row>
    <row r="301" spans="33:39" x14ac:dyDescent="0.25">
      <c r="AG301" s="154" t="s">
        <v>394</v>
      </c>
      <c r="AH301" s="154" t="s">
        <v>114</v>
      </c>
      <c r="AI301" s="154">
        <v>2050</v>
      </c>
      <c r="AJ301" s="154" t="str">
        <f t="shared" si="343"/>
        <v>Rail</v>
      </c>
      <c r="AK301" s="154" t="str">
        <f t="shared" si="344"/>
        <v>Liquid bulk</v>
      </c>
      <c r="AL301" s="154" t="str">
        <f t="shared" si="345"/>
        <v>Diesel</v>
      </c>
      <c r="AM301" s="164">
        <f t="shared" si="346"/>
        <v>0.90507894822232582</v>
      </c>
    </row>
    <row r="302" spans="33:39" x14ac:dyDescent="0.25">
      <c r="AG302" s="154" t="s">
        <v>394</v>
      </c>
      <c r="AH302" s="154" t="s">
        <v>114</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299</v>
      </c>
      <c r="AH303" s="154" t="s">
        <v>114</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95</v>
      </c>
      <c r="AH304" s="154" t="s">
        <v>114</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394</v>
      </c>
      <c r="AH305" s="154" t="s">
        <v>114</v>
      </c>
      <c r="AI305" s="154">
        <v>2050</v>
      </c>
      <c r="AJ305" s="154" t="str">
        <f t="shared" si="343"/>
        <v>Rail</v>
      </c>
      <c r="AK305" s="154" t="str">
        <f t="shared" si="344"/>
        <v>Container</v>
      </c>
      <c r="AL305" s="154" t="str">
        <f t="shared" si="345"/>
        <v>Diesel</v>
      </c>
      <c r="AM305" s="164">
        <f t="shared" si="346"/>
        <v>0.89906424986937139</v>
      </c>
    </row>
    <row r="306" spans="33:39" x14ac:dyDescent="0.25">
      <c r="AG306" s="154" t="s">
        <v>394</v>
      </c>
      <c r="AH306" s="154" t="s">
        <v>114</v>
      </c>
      <c r="AI306" s="154">
        <v>2050</v>
      </c>
      <c r="AJ306" s="154" t="str">
        <f t="shared" si="343"/>
        <v>Rail</v>
      </c>
      <c r="AK306" s="154" t="str">
        <f t="shared" si="344"/>
        <v>Container</v>
      </c>
      <c r="AL306" s="154" t="str">
        <f t="shared" si="345"/>
        <v>Catenary</v>
      </c>
      <c r="AM306" s="164">
        <f t="shared" si="346"/>
        <v>1.0192764208642127</v>
      </c>
    </row>
    <row r="307" spans="33:39" x14ac:dyDescent="0.25">
      <c r="AG307" s="154" t="s">
        <v>299</v>
      </c>
      <c r="AH307" s="154" t="s">
        <v>114</v>
      </c>
      <c r="AI307" s="154">
        <v>2050</v>
      </c>
      <c r="AJ307" s="154" t="str">
        <f t="shared" si="343"/>
        <v>Rail</v>
      </c>
      <c r="AK307" s="154" t="str">
        <f t="shared" si="344"/>
        <v>Container</v>
      </c>
      <c r="AL307" s="154" t="str">
        <f t="shared" si="345"/>
        <v>Battery</v>
      </c>
      <c r="AM307" s="164">
        <f t="shared" si="346"/>
        <v>1.0186657744469665</v>
      </c>
    </row>
    <row r="308" spans="33:39" x14ac:dyDescent="0.25">
      <c r="AG308" s="154" t="s">
        <v>95</v>
      </c>
      <c r="AH308" s="154" t="s">
        <v>114</v>
      </c>
      <c r="AI308" s="154">
        <v>2050</v>
      </c>
      <c r="AJ308" s="154" t="str">
        <f t="shared" si="343"/>
        <v>Rail</v>
      </c>
      <c r="AK308" s="154" t="str">
        <f t="shared" si="344"/>
        <v>Container</v>
      </c>
      <c r="AL308" s="154" t="str">
        <f t="shared" si="345"/>
        <v>Hydrogen</v>
      </c>
      <c r="AM308" s="164">
        <f t="shared" si="346"/>
        <v>1.0330251537777524</v>
      </c>
    </row>
    <row r="309" spans="33:39" x14ac:dyDescent="0.25">
      <c r="AG309" s="154" t="s">
        <v>394</v>
      </c>
      <c r="AH309" s="154" t="s">
        <v>114</v>
      </c>
      <c r="AI309" s="154">
        <v>2050</v>
      </c>
      <c r="AJ309" s="154" t="str">
        <f t="shared" si="343"/>
        <v>Rail</v>
      </c>
      <c r="AK309" s="154" t="str">
        <f t="shared" si="344"/>
        <v>Break bulk</v>
      </c>
      <c r="AL309" s="154" t="str">
        <f t="shared" si="345"/>
        <v>Diesel</v>
      </c>
      <c r="AM309" s="164">
        <f t="shared" si="346"/>
        <v>0.9351040033640603</v>
      </c>
    </row>
    <row r="310" spans="33:39" x14ac:dyDescent="0.25">
      <c r="AG310" s="154" t="s">
        <v>394</v>
      </c>
      <c r="AH310" s="154" t="s">
        <v>114</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299</v>
      </c>
      <c r="AH311" s="154" t="s">
        <v>114</v>
      </c>
      <c r="AI311" s="154">
        <v>2050</v>
      </c>
      <c r="AJ311" s="154" t="str">
        <f t="shared" si="343"/>
        <v>Rail</v>
      </c>
      <c r="AK311" s="154" t="str">
        <f t="shared" si="344"/>
        <v>Break bulk</v>
      </c>
      <c r="AL311" s="154" t="str">
        <f t="shared" si="345"/>
        <v>Battery</v>
      </c>
      <c r="AM311" s="164">
        <f t="shared" si="346"/>
        <v>1.0117659408935826</v>
      </c>
    </row>
    <row r="312" spans="33:39" x14ac:dyDescent="0.25">
      <c r="AG312" s="154" t="s">
        <v>95</v>
      </c>
      <c r="AH312" s="154" t="s">
        <v>114</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394</v>
      </c>
      <c r="AH313" s="154" t="s">
        <v>114</v>
      </c>
      <c r="AI313" s="154">
        <v>2050</v>
      </c>
      <c r="AJ313" s="154" t="str">
        <f t="shared" si="343"/>
        <v>Rail</v>
      </c>
      <c r="AK313" s="154" t="str">
        <f t="shared" si="344"/>
        <v>Neo bulk</v>
      </c>
      <c r="AL313" s="154" t="str">
        <f t="shared" si="345"/>
        <v>Diesel</v>
      </c>
      <c r="AM313" s="164">
        <f t="shared" si="346"/>
        <v>0.90315872079675574</v>
      </c>
    </row>
    <row r="314" spans="33:39" x14ac:dyDescent="0.25">
      <c r="AG314" s="154" t="s">
        <v>394</v>
      </c>
      <c r="AH314" s="154" t="s">
        <v>114</v>
      </c>
      <c r="AI314" s="154">
        <v>2050</v>
      </c>
      <c r="AJ314" s="154" t="str">
        <f t="shared" si="343"/>
        <v>Rail</v>
      </c>
      <c r="AK314" s="154" t="str">
        <f t="shared" si="344"/>
        <v>Neo bulk</v>
      </c>
      <c r="AL314" s="154" t="str">
        <f t="shared" si="345"/>
        <v>Catenary</v>
      </c>
      <c r="AM314" s="164">
        <f t="shared" si="346"/>
        <v>1.0183762965827818</v>
      </c>
    </row>
    <row r="315" spans="33:39" x14ac:dyDescent="0.25">
      <c r="AG315" s="154" t="s">
        <v>299</v>
      </c>
      <c r="AH315" s="154" t="s">
        <v>114</v>
      </c>
      <c r="AI315" s="154">
        <v>2050</v>
      </c>
      <c r="AJ315" s="154" t="str">
        <f t="shared" si="343"/>
        <v>Rail</v>
      </c>
      <c r="AK315" s="154" t="str">
        <f t="shared" si="344"/>
        <v>Neo bulk</v>
      </c>
      <c r="AL315" s="154" t="str">
        <f t="shared" si="345"/>
        <v>Battery</v>
      </c>
      <c r="AM315" s="164">
        <f t="shared" si="346"/>
        <v>1.0178682499052982</v>
      </c>
    </row>
    <row r="316" spans="33:39" x14ac:dyDescent="0.25">
      <c r="AG316" s="154" t="s">
        <v>95</v>
      </c>
      <c r="AH316" s="154" t="s">
        <v>114</v>
      </c>
      <c r="AI316" s="154">
        <v>2050</v>
      </c>
      <c r="AJ316" s="154" t="str">
        <f t="shared" si="343"/>
        <v>Rail</v>
      </c>
      <c r="AK316" s="154" t="str">
        <f t="shared" si="344"/>
        <v>Neo bulk</v>
      </c>
      <c r="AL316" s="154" t="str">
        <f t="shared" si="345"/>
        <v>Hydrogen</v>
      </c>
      <c r="AM316" s="164">
        <f t="shared" si="346"/>
        <v>1.0315635432954693</v>
      </c>
    </row>
    <row r="317" spans="33:39" x14ac:dyDescent="0.25">
      <c r="AG317" s="154" t="s">
        <v>394</v>
      </c>
      <c r="AH317" s="154" t="s">
        <v>58</v>
      </c>
      <c r="AI317" s="154">
        <v>2023</v>
      </c>
      <c r="AJ317" s="154" t="str">
        <f>A48</f>
        <v>Sea</v>
      </c>
      <c r="AK317" s="154" t="str">
        <f t="shared" ref="AK317:AL317" si="347">B48</f>
        <v>Dry bulk</v>
      </c>
      <c r="AL317" s="154" t="str">
        <f t="shared" si="347"/>
        <v>HFO</v>
      </c>
      <c r="AM317" s="164">
        <f>I48</f>
        <v>1</v>
      </c>
    </row>
    <row r="318" spans="33:39" x14ac:dyDescent="0.25">
      <c r="AG318" s="154" t="s">
        <v>394</v>
      </c>
      <c r="AH318" s="154" t="s">
        <v>58</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95</v>
      </c>
      <c r="AH319" s="154" t="s">
        <v>58</v>
      </c>
      <c r="AI319" s="154">
        <v>2023</v>
      </c>
      <c r="AJ319" s="154" t="str">
        <f t="shared" si="348"/>
        <v>Sea</v>
      </c>
      <c r="AK319" s="154" t="str">
        <f t="shared" si="349"/>
        <v>Dry bulk</v>
      </c>
      <c r="AL319" s="154" t="str">
        <f t="shared" si="350"/>
        <v>Hydrogen</v>
      </c>
      <c r="AM319" s="164">
        <f t="shared" si="351"/>
        <v>1</v>
      </c>
    </row>
    <row r="320" spans="33:39" x14ac:dyDescent="0.25">
      <c r="AG320" s="154" t="s">
        <v>95</v>
      </c>
      <c r="AH320" s="154" t="s">
        <v>58</v>
      </c>
      <c r="AI320" s="154">
        <v>2023</v>
      </c>
      <c r="AJ320" s="154" t="str">
        <f t="shared" si="348"/>
        <v>Sea</v>
      </c>
      <c r="AK320" s="154" t="str">
        <f t="shared" si="349"/>
        <v>Dry bulk</v>
      </c>
      <c r="AL320" s="154" t="str">
        <f t="shared" si="350"/>
        <v>Ammonia</v>
      </c>
      <c r="AM320" s="164">
        <f t="shared" si="351"/>
        <v>1</v>
      </c>
    </row>
    <row r="321" spans="33:39" x14ac:dyDescent="0.25">
      <c r="AG321" s="154" t="s">
        <v>95</v>
      </c>
      <c r="AH321" s="154" t="s">
        <v>58</v>
      </c>
      <c r="AI321" s="154">
        <v>2023</v>
      </c>
      <c r="AJ321" s="154" t="str">
        <f t="shared" si="348"/>
        <v>Sea</v>
      </c>
      <c r="AK321" s="154" t="str">
        <f t="shared" si="349"/>
        <v>Dry bulk</v>
      </c>
      <c r="AL321" s="154" t="str">
        <f t="shared" si="350"/>
        <v>Methanol</v>
      </c>
      <c r="AM321" s="164">
        <f t="shared" si="351"/>
        <v>1</v>
      </c>
    </row>
    <row r="322" spans="33:39" x14ac:dyDescent="0.25">
      <c r="AG322" s="154" t="s">
        <v>394</v>
      </c>
      <c r="AH322" s="154" t="s">
        <v>58</v>
      </c>
      <c r="AI322" s="154">
        <v>2023</v>
      </c>
      <c r="AJ322" s="154" t="str">
        <f t="shared" si="348"/>
        <v>Sea</v>
      </c>
      <c r="AK322" s="154" t="str">
        <f t="shared" si="349"/>
        <v>Container</v>
      </c>
      <c r="AL322" s="154" t="str">
        <f t="shared" si="350"/>
        <v>HFO</v>
      </c>
      <c r="AM322" s="164">
        <f t="shared" si="351"/>
        <v>1</v>
      </c>
    </row>
    <row r="323" spans="33:39" x14ac:dyDescent="0.25">
      <c r="AG323" s="154" t="s">
        <v>394</v>
      </c>
      <c r="AH323" s="154" t="s">
        <v>58</v>
      </c>
      <c r="AI323" s="154">
        <v>2023</v>
      </c>
      <c r="AJ323" s="154" t="str">
        <f t="shared" si="348"/>
        <v>Sea</v>
      </c>
      <c r="AK323" s="154" t="str">
        <f t="shared" si="349"/>
        <v>Container</v>
      </c>
      <c r="AL323" s="154" t="str">
        <f t="shared" si="350"/>
        <v>MGO</v>
      </c>
      <c r="AM323" s="164">
        <f t="shared" si="351"/>
        <v>1</v>
      </c>
    </row>
    <row r="324" spans="33:39" x14ac:dyDescent="0.25">
      <c r="AG324" s="154" t="s">
        <v>95</v>
      </c>
      <c r="AH324" s="154" t="s">
        <v>58</v>
      </c>
      <c r="AI324" s="154">
        <v>2023</v>
      </c>
      <c r="AJ324" s="154" t="str">
        <f t="shared" si="348"/>
        <v>Sea</v>
      </c>
      <c r="AK324" s="154" t="str">
        <f t="shared" si="349"/>
        <v>Container</v>
      </c>
      <c r="AL324" s="154" t="str">
        <f t="shared" si="350"/>
        <v>Hydrogen</v>
      </c>
      <c r="AM324" s="164">
        <f t="shared" si="351"/>
        <v>1</v>
      </c>
    </row>
    <row r="325" spans="33:39" x14ac:dyDescent="0.25">
      <c r="AG325" s="154" t="s">
        <v>95</v>
      </c>
      <c r="AH325" s="154" t="s">
        <v>58</v>
      </c>
      <c r="AI325" s="154">
        <v>2023</v>
      </c>
      <c r="AJ325" s="154" t="str">
        <f t="shared" si="348"/>
        <v>Sea</v>
      </c>
      <c r="AK325" s="154" t="str">
        <f t="shared" si="349"/>
        <v>Container</v>
      </c>
      <c r="AL325" s="154" t="str">
        <f t="shared" si="350"/>
        <v>Ammonia</v>
      </c>
      <c r="AM325" s="164">
        <f t="shared" si="351"/>
        <v>1</v>
      </c>
    </row>
    <row r="326" spans="33:39" x14ac:dyDescent="0.25">
      <c r="AG326" s="154" t="s">
        <v>95</v>
      </c>
      <c r="AH326" s="154" t="s">
        <v>58</v>
      </c>
      <c r="AI326" s="154">
        <v>2023</v>
      </c>
      <c r="AJ326" s="154" t="str">
        <f t="shared" si="348"/>
        <v>Sea</v>
      </c>
      <c r="AK326" s="154" t="str">
        <f t="shared" si="349"/>
        <v>Container</v>
      </c>
      <c r="AL326" s="154" t="str">
        <f t="shared" si="350"/>
        <v>Methanol</v>
      </c>
      <c r="AM326" s="164">
        <f t="shared" si="351"/>
        <v>1</v>
      </c>
    </row>
    <row r="327" spans="33:39" x14ac:dyDescent="0.25">
      <c r="AG327" s="154" t="s">
        <v>394</v>
      </c>
      <c r="AH327" s="154" t="s">
        <v>58</v>
      </c>
      <c r="AI327" s="154">
        <v>2023</v>
      </c>
      <c r="AJ327" s="154" t="str">
        <f>A58</f>
        <v>Sea</v>
      </c>
      <c r="AK327" s="154" t="str">
        <f t="shared" si="349"/>
        <v>Break bulk</v>
      </c>
      <c r="AL327" s="154" t="str">
        <f t="shared" si="350"/>
        <v>HFO</v>
      </c>
      <c r="AM327" s="164">
        <f>I58</f>
        <v>1</v>
      </c>
    </row>
    <row r="328" spans="33:39" x14ac:dyDescent="0.25">
      <c r="AG328" s="154" t="s">
        <v>394</v>
      </c>
      <c r="AH328" s="154" t="s">
        <v>58</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95</v>
      </c>
      <c r="AH329" s="154" t="s">
        <v>58</v>
      </c>
      <c r="AI329" s="154">
        <v>2023</v>
      </c>
      <c r="AJ329" s="154" t="str">
        <f t="shared" si="352"/>
        <v>Sea</v>
      </c>
      <c r="AK329" s="154" t="str">
        <f t="shared" si="353"/>
        <v>Break bulk</v>
      </c>
      <c r="AL329" s="154" t="str">
        <f t="shared" si="354"/>
        <v>Hydrogen</v>
      </c>
      <c r="AM329" s="164">
        <f t="shared" si="355"/>
        <v>1</v>
      </c>
    </row>
    <row r="330" spans="33:39" x14ac:dyDescent="0.25">
      <c r="AG330" s="154" t="s">
        <v>95</v>
      </c>
      <c r="AH330" s="154" t="s">
        <v>58</v>
      </c>
      <c r="AI330" s="154">
        <v>2023</v>
      </c>
      <c r="AJ330" s="154" t="str">
        <f t="shared" si="352"/>
        <v>Sea</v>
      </c>
      <c r="AK330" s="154" t="str">
        <f t="shared" si="353"/>
        <v>Break bulk</v>
      </c>
      <c r="AL330" s="154" t="str">
        <f t="shared" si="354"/>
        <v>Ammonia</v>
      </c>
      <c r="AM330" s="164">
        <f t="shared" si="355"/>
        <v>1</v>
      </c>
    </row>
    <row r="331" spans="33:39" x14ac:dyDescent="0.25">
      <c r="AG331" s="154" t="s">
        <v>95</v>
      </c>
      <c r="AH331" s="154" t="s">
        <v>58</v>
      </c>
      <c r="AI331" s="154">
        <v>2023</v>
      </c>
      <c r="AJ331" s="154" t="str">
        <f t="shared" si="352"/>
        <v>Sea</v>
      </c>
      <c r="AK331" s="154" t="str">
        <f t="shared" si="353"/>
        <v>Break bulk</v>
      </c>
      <c r="AL331" s="154" t="str">
        <f t="shared" si="354"/>
        <v>Methanol</v>
      </c>
      <c r="AM331" s="164">
        <f t="shared" si="355"/>
        <v>1</v>
      </c>
    </row>
    <row r="332" spans="33:39" x14ac:dyDescent="0.25">
      <c r="AG332" s="154" t="s">
        <v>394</v>
      </c>
      <c r="AH332" s="154" t="s">
        <v>58</v>
      </c>
      <c r="AI332" s="154">
        <v>2023</v>
      </c>
      <c r="AJ332" s="154" t="str">
        <f t="shared" si="352"/>
        <v>Sea</v>
      </c>
      <c r="AK332" s="154" t="str">
        <f t="shared" si="353"/>
        <v>Neo bulk</v>
      </c>
      <c r="AL332" s="154" t="str">
        <f t="shared" si="354"/>
        <v>HFO</v>
      </c>
      <c r="AM332" s="164">
        <f t="shared" si="355"/>
        <v>1</v>
      </c>
    </row>
    <row r="333" spans="33:39" x14ac:dyDescent="0.25">
      <c r="AG333" s="154" t="s">
        <v>394</v>
      </c>
      <c r="AH333" s="154" t="s">
        <v>58</v>
      </c>
      <c r="AI333" s="154">
        <v>2023</v>
      </c>
      <c r="AJ333" s="154" t="str">
        <f t="shared" si="352"/>
        <v>Sea</v>
      </c>
      <c r="AK333" s="154" t="str">
        <f t="shared" si="353"/>
        <v>Neo bulk</v>
      </c>
      <c r="AL333" s="154" t="str">
        <f t="shared" si="354"/>
        <v>MGO</v>
      </c>
      <c r="AM333" s="164">
        <f t="shared" si="355"/>
        <v>1</v>
      </c>
    </row>
    <row r="334" spans="33:39" x14ac:dyDescent="0.25">
      <c r="AG334" s="154" t="s">
        <v>95</v>
      </c>
      <c r="AH334" s="154" t="s">
        <v>58</v>
      </c>
      <c r="AI334" s="154">
        <v>2023</v>
      </c>
      <c r="AJ334" s="154" t="str">
        <f>A65</f>
        <v>Sea</v>
      </c>
      <c r="AK334" s="154" t="str">
        <f t="shared" si="353"/>
        <v>Neo bulk</v>
      </c>
      <c r="AL334" s="154" t="str">
        <f t="shared" si="354"/>
        <v>Hydrogen</v>
      </c>
      <c r="AM334" s="164">
        <f>I65</f>
        <v>1</v>
      </c>
    </row>
    <row r="335" spans="33:39" x14ac:dyDescent="0.25">
      <c r="AG335" s="154" t="s">
        <v>95</v>
      </c>
      <c r="AH335" s="154" t="s">
        <v>58</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95</v>
      </c>
      <c r="AH336" s="154" t="s">
        <v>58</v>
      </c>
      <c r="AI336" s="154">
        <v>2023</v>
      </c>
      <c r="AJ336" s="154" t="str">
        <f>A67</f>
        <v>Sea</v>
      </c>
      <c r="AK336" s="154" t="str">
        <f t="shared" si="353"/>
        <v>Neo bulk</v>
      </c>
      <c r="AL336" s="154" t="str">
        <f t="shared" si="354"/>
        <v>Methanol</v>
      </c>
      <c r="AM336" s="164">
        <f>I67</f>
        <v>1</v>
      </c>
    </row>
    <row r="337" spans="33:39" x14ac:dyDescent="0.25">
      <c r="AG337" s="154" t="s">
        <v>394</v>
      </c>
      <c r="AH337" s="154" t="s">
        <v>116</v>
      </c>
      <c r="AI337" s="154">
        <v>2023</v>
      </c>
      <c r="AJ337" s="154" t="str">
        <f>A48</f>
        <v>Sea</v>
      </c>
      <c r="AK337" s="154" t="str">
        <f t="shared" ref="AK337:AL337" si="358">B48</f>
        <v>Dry bulk</v>
      </c>
      <c r="AL337" s="154" t="str">
        <f t="shared" si="358"/>
        <v>HFO</v>
      </c>
      <c r="AM337" s="164">
        <f>J48</f>
        <v>1.0158075319760618</v>
      </c>
    </row>
    <row r="338" spans="33:39" x14ac:dyDescent="0.25">
      <c r="AG338" s="154" t="s">
        <v>394</v>
      </c>
      <c r="AH338" s="154" t="s">
        <v>116</v>
      </c>
      <c r="AI338" s="154">
        <v>2023</v>
      </c>
      <c r="AJ338" s="154" t="str">
        <f t="shared" ref="AJ338:AJ349" si="359">A49</f>
        <v>Sea</v>
      </c>
      <c r="AK338" s="154" t="str">
        <f t="shared" ref="AK338:AK350" si="360">B49</f>
        <v>Dry bulk</v>
      </c>
      <c r="AL338" s="154" t="str">
        <f t="shared" ref="AL338:AL350" si="361">C49</f>
        <v>MGO</v>
      </c>
      <c r="AM338" s="164">
        <f t="shared" ref="AM338:AM349" si="362">J49</f>
        <v>1.0229679223343009</v>
      </c>
    </row>
    <row r="339" spans="33:39" x14ac:dyDescent="0.25">
      <c r="AG339" s="154" t="s">
        <v>95</v>
      </c>
      <c r="AH339" s="154" t="s">
        <v>116</v>
      </c>
      <c r="AI339" s="154">
        <v>2023</v>
      </c>
      <c r="AJ339" s="154" t="str">
        <f t="shared" si="359"/>
        <v>Sea</v>
      </c>
      <c r="AK339" s="154" t="str">
        <f t="shared" si="360"/>
        <v>Dry bulk</v>
      </c>
      <c r="AL339" s="154" t="str">
        <f t="shared" si="361"/>
        <v>Hydrogen</v>
      </c>
      <c r="AM339" s="164">
        <f t="shared" si="362"/>
        <v>0.96146417529559902</v>
      </c>
    </row>
    <row r="340" spans="33:39" x14ac:dyDescent="0.25">
      <c r="AG340" s="154" t="s">
        <v>95</v>
      </c>
      <c r="AH340" s="154" t="s">
        <v>116</v>
      </c>
      <c r="AI340" s="154">
        <v>2023</v>
      </c>
      <c r="AJ340" s="154" t="str">
        <f t="shared" si="359"/>
        <v>Sea</v>
      </c>
      <c r="AK340" s="154" t="str">
        <f t="shared" si="360"/>
        <v>Dry bulk</v>
      </c>
      <c r="AL340" s="154" t="str">
        <f t="shared" si="361"/>
        <v>Ammonia</v>
      </c>
      <c r="AM340" s="164">
        <f t="shared" si="362"/>
        <v>0.95273613491746512</v>
      </c>
    </row>
    <row r="341" spans="33:39" x14ac:dyDescent="0.25">
      <c r="AG341" s="154" t="s">
        <v>95</v>
      </c>
      <c r="AH341" s="154" t="s">
        <v>116</v>
      </c>
      <c r="AI341" s="154">
        <v>2023</v>
      </c>
      <c r="AJ341" s="154" t="str">
        <f t="shared" si="359"/>
        <v>Sea</v>
      </c>
      <c r="AK341" s="154" t="str">
        <f t="shared" si="360"/>
        <v>Dry bulk</v>
      </c>
      <c r="AL341" s="154" t="str">
        <f t="shared" si="361"/>
        <v>Methanol</v>
      </c>
      <c r="AM341" s="164">
        <f t="shared" si="362"/>
        <v>0.97064367546430808</v>
      </c>
    </row>
    <row r="342" spans="33:39" x14ac:dyDescent="0.25">
      <c r="AG342" s="154" t="s">
        <v>394</v>
      </c>
      <c r="AH342" s="154" t="s">
        <v>116</v>
      </c>
      <c r="AI342" s="154">
        <v>2023</v>
      </c>
      <c r="AJ342" s="154" t="str">
        <f t="shared" si="359"/>
        <v>Sea</v>
      </c>
      <c r="AK342" s="154" t="str">
        <f t="shared" si="360"/>
        <v>Container</v>
      </c>
      <c r="AL342" s="154" t="str">
        <f t="shared" si="361"/>
        <v>HFO</v>
      </c>
      <c r="AM342" s="164">
        <f t="shared" si="362"/>
        <v>1.0146461087708827</v>
      </c>
    </row>
    <row r="343" spans="33:39" x14ac:dyDescent="0.25">
      <c r="AG343" s="154" t="s">
        <v>394</v>
      </c>
      <c r="AH343" s="154" t="s">
        <v>116</v>
      </c>
      <c r="AI343" s="154">
        <v>2023</v>
      </c>
      <c r="AJ343" s="154" t="str">
        <f t="shared" si="359"/>
        <v>Sea</v>
      </c>
      <c r="AK343" s="154" t="str">
        <f t="shared" si="360"/>
        <v>Container</v>
      </c>
      <c r="AL343" s="154" t="str">
        <f t="shared" si="361"/>
        <v>MGO</v>
      </c>
      <c r="AM343" s="164">
        <f t="shared" si="362"/>
        <v>1.0218399004185375</v>
      </c>
    </row>
    <row r="344" spans="33:39" x14ac:dyDescent="0.25">
      <c r="AG344" s="154" t="s">
        <v>95</v>
      </c>
      <c r="AH344" s="154" t="s">
        <v>116</v>
      </c>
      <c r="AI344" s="154">
        <v>2023</v>
      </c>
      <c r="AJ344" s="154" t="str">
        <f t="shared" si="359"/>
        <v>Sea</v>
      </c>
      <c r="AK344" s="154" t="str">
        <f t="shared" si="360"/>
        <v>Container</v>
      </c>
      <c r="AL344" s="154" t="str">
        <f t="shared" si="361"/>
        <v>Hydrogen</v>
      </c>
      <c r="AM344" s="164">
        <f t="shared" si="362"/>
        <v>0.96240955690171293</v>
      </c>
    </row>
    <row r="345" spans="33:39" x14ac:dyDescent="0.25">
      <c r="AG345" s="154" t="s">
        <v>95</v>
      </c>
      <c r="AH345" s="154" t="s">
        <v>116</v>
      </c>
      <c r="AI345" s="154">
        <v>2023</v>
      </c>
      <c r="AJ345" s="154" t="str">
        <f t="shared" si="359"/>
        <v>Sea</v>
      </c>
      <c r="AK345" s="154" t="str">
        <f t="shared" si="360"/>
        <v>Container</v>
      </c>
      <c r="AL345" s="154" t="str">
        <f t="shared" si="361"/>
        <v>Ammonia</v>
      </c>
      <c r="AM345" s="164">
        <f t="shared" si="362"/>
        <v>0.9539923433951204</v>
      </c>
    </row>
    <row r="346" spans="33:39" x14ac:dyDescent="0.25">
      <c r="AG346" s="154" t="s">
        <v>95</v>
      </c>
      <c r="AH346" s="154" t="s">
        <v>116</v>
      </c>
      <c r="AI346" s="154">
        <v>2023</v>
      </c>
      <c r="AJ346" s="154" t="str">
        <f t="shared" si="359"/>
        <v>Sea</v>
      </c>
      <c r="AK346" s="154" t="str">
        <f t="shared" si="360"/>
        <v>Container</v>
      </c>
      <c r="AL346" s="154" t="str">
        <f t="shared" si="361"/>
        <v>Methanol</v>
      </c>
      <c r="AM346" s="164">
        <f t="shared" si="362"/>
        <v>0.97104646495867697</v>
      </c>
    </row>
    <row r="347" spans="33:39" x14ac:dyDescent="0.25">
      <c r="AG347" s="154" t="s">
        <v>394</v>
      </c>
      <c r="AH347" s="154" t="s">
        <v>116</v>
      </c>
      <c r="AI347" s="154">
        <v>2023</v>
      </c>
      <c r="AJ347" s="154" t="str">
        <f t="shared" si="359"/>
        <v>Sea</v>
      </c>
      <c r="AK347" s="154" t="str">
        <f t="shared" si="360"/>
        <v>Break bulk</v>
      </c>
      <c r="AL347" s="154" t="str">
        <f t="shared" si="361"/>
        <v>HFO</v>
      </c>
      <c r="AM347" s="164">
        <f t="shared" si="362"/>
        <v>1.0158119733635917</v>
      </c>
    </row>
    <row r="348" spans="33:39" x14ac:dyDescent="0.25">
      <c r="AG348" s="154" t="s">
        <v>394</v>
      </c>
      <c r="AH348" s="154" t="s">
        <v>116</v>
      </c>
      <c r="AI348" s="154">
        <v>2023</v>
      </c>
      <c r="AJ348" s="154" t="str">
        <f t="shared" si="359"/>
        <v>Sea</v>
      </c>
      <c r="AK348" s="154" t="str">
        <f t="shared" si="360"/>
        <v>Break bulk</v>
      </c>
      <c r="AL348" s="154" t="str">
        <f t="shared" si="361"/>
        <v>MGO</v>
      </c>
      <c r="AM348" s="164">
        <f t="shared" si="362"/>
        <v>1.0229721250731711</v>
      </c>
    </row>
    <row r="349" spans="33:39" x14ac:dyDescent="0.25">
      <c r="AG349" s="154" t="s">
        <v>95</v>
      </c>
      <c r="AH349" s="154" t="s">
        <v>116</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95</v>
      </c>
      <c r="AH350" s="154" t="s">
        <v>116</v>
      </c>
      <c r="AI350" s="154">
        <v>2023</v>
      </c>
      <c r="AJ350" s="154" t="str">
        <f>A61</f>
        <v>Sea</v>
      </c>
      <c r="AK350" s="154" t="str">
        <f t="shared" si="360"/>
        <v>Break bulk</v>
      </c>
      <c r="AL350" s="154" t="str">
        <f t="shared" si="361"/>
        <v>Ammonia</v>
      </c>
      <c r="AM350" s="164">
        <f>J61</f>
        <v>0.95273082359263117</v>
      </c>
    </row>
    <row r="351" spans="33:39" x14ac:dyDescent="0.25">
      <c r="AG351" s="154" t="s">
        <v>95</v>
      </c>
      <c r="AH351" s="154" t="s">
        <v>116</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394</v>
      </c>
      <c r="AH352" s="154" t="s">
        <v>116</v>
      </c>
      <c r="AI352" s="154">
        <v>2023</v>
      </c>
      <c r="AJ352" s="154" t="str">
        <f t="shared" si="363"/>
        <v>Sea</v>
      </c>
      <c r="AK352" s="154" t="str">
        <f t="shared" si="364"/>
        <v>Neo bulk</v>
      </c>
      <c r="AL352" s="154" t="str">
        <f t="shared" si="365"/>
        <v>HFO</v>
      </c>
      <c r="AM352" s="164">
        <f t="shared" si="366"/>
        <v>1.0158196136388957</v>
      </c>
    </row>
    <row r="353" spans="33:39" x14ac:dyDescent="0.25">
      <c r="AG353" s="154" t="s">
        <v>394</v>
      </c>
      <c r="AH353" s="154" t="s">
        <v>116</v>
      </c>
      <c r="AI353" s="154">
        <v>2023</v>
      </c>
      <c r="AJ353" s="154" t="str">
        <f t="shared" si="363"/>
        <v>Sea</v>
      </c>
      <c r="AK353" s="154" t="str">
        <f t="shared" si="364"/>
        <v>Neo bulk</v>
      </c>
      <c r="AL353" s="154" t="str">
        <f t="shared" si="365"/>
        <v>MGO</v>
      </c>
      <c r="AM353" s="164">
        <f t="shared" si="366"/>
        <v>1.0229793528881344</v>
      </c>
    </row>
    <row r="354" spans="33:39" x14ac:dyDescent="0.25">
      <c r="AG354" s="154" t="s">
        <v>95</v>
      </c>
      <c r="AH354" s="154" t="s">
        <v>116</v>
      </c>
      <c r="AI354" s="154">
        <v>2023</v>
      </c>
      <c r="AJ354" s="154" t="str">
        <f t="shared" si="363"/>
        <v>Sea</v>
      </c>
      <c r="AK354" s="154" t="str">
        <f t="shared" si="364"/>
        <v>Neo bulk</v>
      </c>
      <c r="AL354" s="154" t="str">
        <f t="shared" si="365"/>
        <v>Hydrogen</v>
      </c>
      <c r="AM354" s="164">
        <f t="shared" si="366"/>
        <v>0.96145488307403493</v>
      </c>
    </row>
    <row r="355" spans="33:39" x14ac:dyDescent="0.25">
      <c r="AG355" s="154" t="s">
        <v>95</v>
      </c>
      <c r="AH355" s="154" t="s">
        <v>116</v>
      </c>
      <c r="AI355" s="154">
        <v>2023</v>
      </c>
      <c r="AJ355" s="154" t="str">
        <f t="shared" si="363"/>
        <v>Sea</v>
      </c>
      <c r="AK355" s="154" t="str">
        <f t="shared" si="364"/>
        <v>Neo bulk</v>
      </c>
      <c r="AL355" s="154" t="str">
        <f t="shared" si="365"/>
        <v>Ammonia</v>
      </c>
      <c r="AM355" s="164">
        <f t="shared" si="366"/>
        <v>0.95272374928097547</v>
      </c>
    </row>
    <row r="356" spans="33:39" x14ac:dyDescent="0.25">
      <c r="AG356" s="154" t="s">
        <v>95</v>
      </c>
      <c r="AH356" s="154" t="s">
        <v>116</v>
      </c>
      <c r="AI356" s="154">
        <v>2023</v>
      </c>
      <c r="AJ356" s="154" t="str">
        <f t="shared" si="363"/>
        <v>Sea</v>
      </c>
      <c r="AK356" s="154" t="str">
        <f t="shared" si="364"/>
        <v>Neo bulk</v>
      </c>
      <c r="AL356" s="154" t="str">
        <f t="shared" si="365"/>
        <v>Methanol</v>
      </c>
      <c r="AM356" s="164">
        <f t="shared" si="366"/>
        <v>0.97063974897970484</v>
      </c>
    </row>
    <row r="357" spans="33:39" x14ac:dyDescent="0.25">
      <c r="AG357" s="154" t="s">
        <v>394</v>
      </c>
      <c r="AH357" s="154" t="s">
        <v>114</v>
      </c>
      <c r="AI357" s="154">
        <v>2023</v>
      </c>
      <c r="AJ357" s="154" t="str">
        <f>A48</f>
        <v>Sea</v>
      </c>
      <c r="AK357" s="154" t="str">
        <f t="shared" ref="AK357:AL357" si="367">B48</f>
        <v>Dry bulk</v>
      </c>
      <c r="AL357" s="154" t="str">
        <f t="shared" si="367"/>
        <v>HFO</v>
      </c>
      <c r="AM357" s="164">
        <f>K48</f>
        <v>0.9540144524332751</v>
      </c>
    </row>
    <row r="358" spans="33:39" x14ac:dyDescent="0.25">
      <c r="AG358" s="154" t="s">
        <v>394</v>
      </c>
      <c r="AH358" s="154" t="s">
        <v>114</v>
      </c>
      <c r="AI358" s="154">
        <v>2023</v>
      </c>
      <c r="AJ358" s="154" t="str">
        <f t="shared" ref="AJ358:AJ376" si="368">A49</f>
        <v>Sea</v>
      </c>
      <c r="AK358" s="154" t="str">
        <f t="shared" ref="AK358:AK376" si="369">B49</f>
        <v>Dry bulk</v>
      </c>
      <c r="AL358" s="154" t="str">
        <f t="shared" ref="AL358:AL376" si="370">C49</f>
        <v>MGO</v>
      </c>
      <c r="AM358" s="164">
        <f t="shared" ref="AM358:AM376" si="371">K49</f>
        <v>0.93318422593657946</v>
      </c>
    </row>
    <row r="359" spans="33:39" x14ac:dyDescent="0.25">
      <c r="AG359" s="154" t="s">
        <v>95</v>
      </c>
      <c r="AH359" s="154" t="s">
        <v>114</v>
      </c>
      <c r="AI359" s="154">
        <v>2023</v>
      </c>
      <c r="AJ359" s="154" t="str">
        <f t="shared" si="368"/>
        <v>Sea</v>
      </c>
      <c r="AK359" s="154" t="str">
        <f t="shared" si="369"/>
        <v>Dry bulk</v>
      </c>
      <c r="AL359" s="154" t="str">
        <f t="shared" si="370"/>
        <v>Hydrogen</v>
      </c>
      <c r="AM359" s="164">
        <f t="shared" si="371"/>
        <v>1.0879864205678518</v>
      </c>
    </row>
    <row r="360" spans="33:39" x14ac:dyDescent="0.25">
      <c r="AG360" s="154" t="s">
        <v>95</v>
      </c>
      <c r="AH360" s="154" t="s">
        <v>114</v>
      </c>
      <c r="AI360" s="154">
        <v>2023</v>
      </c>
      <c r="AJ360" s="154" t="str">
        <f t="shared" si="368"/>
        <v>Sea</v>
      </c>
      <c r="AK360" s="154" t="str">
        <f t="shared" si="369"/>
        <v>Dry bulk</v>
      </c>
      <c r="AL360" s="154" t="str">
        <f t="shared" si="370"/>
        <v>Ammonia</v>
      </c>
      <c r="AM360" s="164">
        <f t="shared" si="371"/>
        <v>1.1079146052462492</v>
      </c>
    </row>
    <row r="361" spans="33:39" x14ac:dyDescent="0.25">
      <c r="AG361" s="154" t="s">
        <v>95</v>
      </c>
      <c r="AH361" s="154" t="s">
        <v>114</v>
      </c>
      <c r="AI361" s="154">
        <v>2023</v>
      </c>
      <c r="AJ361" s="154" t="str">
        <f t="shared" si="368"/>
        <v>Sea</v>
      </c>
      <c r="AK361" s="154" t="str">
        <f t="shared" si="369"/>
        <v>Dry bulk</v>
      </c>
      <c r="AL361" s="154" t="str">
        <f t="shared" si="370"/>
        <v>Methanol</v>
      </c>
      <c r="AM361" s="164">
        <f t="shared" si="371"/>
        <v>1.0670274461942104</v>
      </c>
    </row>
    <row r="362" spans="33:39" x14ac:dyDescent="0.25">
      <c r="AG362" s="154" t="s">
        <v>394</v>
      </c>
      <c r="AH362" s="154" t="s">
        <v>114</v>
      </c>
      <c r="AI362" s="154">
        <v>2023</v>
      </c>
      <c r="AJ362" s="154" t="str">
        <f t="shared" si="368"/>
        <v>Sea</v>
      </c>
      <c r="AK362" s="154" t="str">
        <f t="shared" si="369"/>
        <v>Container</v>
      </c>
      <c r="AL362" s="154" t="str">
        <f t="shared" si="370"/>
        <v>HFO</v>
      </c>
      <c r="AM362" s="164">
        <f t="shared" si="371"/>
        <v>0.95739313812106819</v>
      </c>
    </row>
    <row r="363" spans="33:39" x14ac:dyDescent="0.25">
      <c r="AG363" s="154" t="s">
        <v>394</v>
      </c>
      <c r="AH363" s="154" t="s">
        <v>114</v>
      </c>
      <c r="AI363" s="154">
        <v>2023</v>
      </c>
      <c r="AJ363" s="154" t="str">
        <f t="shared" si="368"/>
        <v>Sea</v>
      </c>
      <c r="AK363" s="154" t="str">
        <f t="shared" si="369"/>
        <v>Container</v>
      </c>
      <c r="AL363" s="154" t="str">
        <f t="shared" si="370"/>
        <v>MGO</v>
      </c>
      <c r="AM363" s="164">
        <f t="shared" si="371"/>
        <v>0.93646574423698159</v>
      </c>
    </row>
    <row r="364" spans="33:39" x14ac:dyDescent="0.25">
      <c r="AG364" s="154" t="s">
        <v>95</v>
      </c>
      <c r="AH364" s="154" t="s">
        <v>114</v>
      </c>
      <c r="AI364" s="154">
        <v>2023</v>
      </c>
      <c r="AJ364" s="154" t="str">
        <f t="shared" si="368"/>
        <v>Sea</v>
      </c>
      <c r="AK364" s="154" t="str">
        <f t="shared" si="369"/>
        <v>Container</v>
      </c>
      <c r="AL364" s="154" t="str">
        <f t="shared" si="370"/>
        <v>Hydrogen</v>
      </c>
      <c r="AM364" s="164">
        <f t="shared" si="371"/>
        <v>1.0858278903111178</v>
      </c>
    </row>
    <row r="365" spans="33:39" x14ac:dyDescent="0.25">
      <c r="AG365" s="154" t="s">
        <v>95</v>
      </c>
      <c r="AH365" s="154" t="s">
        <v>114</v>
      </c>
      <c r="AI365" s="154">
        <v>2023</v>
      </c>
      <c r="AJ365" s="154" t="str">
        <f t="shared" si="368"/>
        <v>Sea</v>
      </c>
      <c r="AK365" s="154" t="str">
        <f t="shared" si="369"/>
        <v>Container</v>
      </c>
      <c r="AL365" s="154" t="str">
        <f t="shared" si="370"/>
        <v>Ammonia</v>
      </c>
      <c r="AM365" s="164">
        <f t="shared" si="371"/>
        <v>1.1050463835776145</v>
      </c>
    </row>
    <row r="366" spans="33:39" x14ac:dyDescent="0.25">
      <c r="AG366" s="154" t="s">
        <v>95</v>
      </c>
      <c r="AH366" s="154" t="s">
        <v>114</v>
      </c>
      <c r="AI366" s="154">
        <v>2023</v>
      </c>
      <c r="AJ366" s="154" t="str">
        <f t="shared" si="368"/>
        <v>Sea</v>
      </c>
      <c r="AK366" s="154" t="str">
        <f t="shared" si="369"/>
        <v>Container</v>
      </c>
      <c r="AL366" s="154" t="str">
        <f t="shared" si="370"/>
        <v>Methanol</v>
      </c>
      <c r="AM366" s="164">
        <f t="shared" si="371"/>
        <v>1.0661077823197846</v>
      </c>
    </row>
    <row r="367" spans="33:39" x14ac:dyDescent="0.25">
      <c r="AG367" s="154" t="s">
        <v>394</v>
      </c>
      <c r="AH367" s="154" t="s">
        <v>114</v>
      </c>
      <c r="AI367" s="154">
        <v>2023</v>
      </c>
      <c r="AJ367" s="154" t="str">
        <f t="shared" si="368"/>
        <v>Sea</v>
      </c>
      <c r="AK367" s="154" t="str">
        <f t="shared" si="369"/>
        <v>Break bulk</v>
      </c>
      <c r="AL367" s="154" t="str">
        <f t="shared" si="370"/>
        <v>HFO</v>
      </c>
      <c r="AM367" s="164">
        <f t="shared" si="371"/>
        <v>0.95400153203318749</v>
      </c>
    </row>
    <row r="368" spans="33:39" x14ac:dyDescent="0.25">
      <c r="AG368" s="154" t="s">
        <v>394</v>
      </c>
      <c r="AH368" s="154" t="s">
        <v>114</v>
      </c>
      <c r="AI368" s="154">
        <v>2023</v>
      </c>
      <c r="AJ368" s="154" t="str">
        <f t="shared" si="368"/>
        <v>Sea</v>
      </c>
      <c r="AK368" s="154" t="str">
        <f t="shared" si="369"/>
        <v>Break bulk</v>
      </c>
      <c r="AL368" s="154" t="str">
        <f t="shared" si="370"/>
        <v>MGO</v>
      </c>
      <c r="AM368" s="164">
        <f t="shared" si="371"/>
        <v>0.93317199978713794</v>
      </c>
    </row>
    <row r="369" spans="33:39" x14ac:dyDescent="0.25">
      <c r="AG369" s="154" t="s">
        <v>95</v>
      </c>
      <c r="AH369" s="154" t="s">
        <v>114</v>
      </c>
      <c r="AI369" s="154">
        <v>2023</v>
      </c>
      <c r="AJ369" s="154" t="str">
        <f t="shared" si="368"/>
        <v>Sea</v>
      </c>
      <c r="AK369" s="154" t="str">
        <f t="shared" si="369"/>
        <v>Break bulk</v>
      </c>
      <c r="AL369" s="154" t="str">
        <f t="shared" si="370"/>
        <v>Hydrogen</v>
      </c>
      <c r="AM369" s="164">
        <f t="shared" si="371"/>
        <v>1.0879958452087526</v>
      </c>
    </row>
    <row r="370" spans="33:39" x14ac:dyDescent="0.25">
      <c r="AG370" s="154" t="s">
        <v>95</v>
      </c>
      <c r="AH370" s="154" t="s">
        <v>114</v>
      </c>
      <c r="AI370" s="154">
        <v>2023</v>
      </c>
      <c r="AJ370" s="154" t="str">
        <f t="shared" si="368"/>
        <v>Sea</v>
      </c>
      <c r="AK370" s="154" t="str">
        <f t="shared" si="369"/>
        <v>Break bulk</v>
      </c>
      <c r="AL370" s="154" t="str">
        <f t="shared" si="370"/>
        <v>Ammonia</v>
      </c>
      <c r="AM370" s="164">
        <f t="shared" si="371"/>
        <v>1.1079267322595985</v>
      </c>
    </row>
    <row r="371" spans="33:39" x14ac:dyDescent="0.25">
      <c r="AG371" s="154" t="s">
        <v>95</v>
      </c>
      <c r="AH371" s="154" t="s">
        <v>114</v>
      </c>
      <c r="AI371" s="154">
        <v>2023</v>
      </c>
      <c r="AJ371" s="154" t="str">
        <f t="shared" si="368"/>
        <v>Sea</v>
      </c>
      <c r="AK371" s="154" t="str">
        <f t="shared" si="369"/>
        <v>Break bulk</v>
      </c>
      <c r="AL371" s="154" t="str">
        <f t="shared" si="370"/>
        <v>Methanol</v>
      </c>
      <c r="AM371" s="164">
        <f t="shared" si="371"/>
        <v>1.0670310162428187</v>
      </c>
    </row>
    <row r="372" spans="33:39" x14ac:dyDescent="0.25">
      <c r="AG372" s="154" t="s">
        <v>394</v>
      </c>
      <c r="AH372" s="154" t="s">
        <v>114</v>
      </c>
      <c r="AI372" s="154">
        <v>2023</v>
      </c>
      <c r="AJ372" s="154" t="str">
        <f t="shared" si="368"/>
        <v>Sea</v>
      </c>
      <c r="AK372" s="154" t="str">
        <f t="shared" si="369"/>
        <v>Neo bulk</v>
      </c>
      <c r="AL372" s="154" t="str">
        <f t="shared" si="370"/>
        <v>HFO</v>
      </c>
      <c r="AM372" s="164">
        <f t="shared" si="371"/>
        <v>0.95397930577775814</v>
      </c>
    </row>
    <row r="373" spans="33:39" x14ac:dyDescent="0.25">
      <c r="AG373" s="154" t="s">
        <v>394</v>
      </c>
      <c r="AH373" s="154" t="s">
        <v>114</v>
      </c>
      <c r="AI373" s="154">
        <v>2023</v>
      </c>
      <c r="AJ373" s="154" t="str">
        <f t="shared" si="368"/>
        <v>Sea</v>
      </c>
      <c r="AK373" s="154" t="str">
        <f t="shared" si="369"/>
        <v>Neo bulk</v>
      </c>
      <c r="AL373" s="154" t="str">
        <f t="shared" si="370"/>
        <v>MGO</v>
      </c>
      <c r="AM373" s="164">
        <f t="shared" si="371"/>
        <v>0.93315097341633613</v>
      </c>
    </row>
    <row r="374" spans="33:39" x14ac:dyDescent="0.25">
      <c r="AG374" s="154" t="s">
        <v>95</v>
      </c>
      <c r="AH374" s="154" t="s">
        <v>114</v>
      </c>
      <c r="AI374" s="154">
        <v>2023</v>
      </c>
      <c r="AJ374" s="154" t="str">
        <f t="shared" si="368"/>
        <v>Sea</v>
      </c>
      <c r="AK374" s="154" t="str">
        <f t="shared" si="369"/>
        <v>Neo bulk</v>
      </c>
      <c r="AL374" s="154" t="str">
        <f t="shared" si="370"/>
        <v>Hydrogen</v>
      </c>
      <c r="AM374" s="164">
        <f t="shared" si="371"/>
        <v>1.0880076369118854</v>
      </c>
    </row>
    <row r="375" spans="33:39" x14ac:dyDescent="0.25">
      <c r="AG375" s="154" t="s">
        <v>95</v>
      </c>
      <c r="AH375" s="154" t="s">
        <v>114</v>
      </c>
      <c r="AI375" s="154">
        <v>2023</v>
      </c>
      <c r="AJ375" s="154" t="str">
        <f t="shared" si="368"/>
        <v>Sea</v>
      </c>
      <c r="AK375" s="154" t="str">
        <f t="shared" si="369"/>
        <v>Neo bulk</v>
      </c>
      <c r="AL375" s="154" t="str">
        <f t="shared" si="370"/>
        <v>Ammonia</v>
      </c>
      <c r="AM375" s="164">
        <f t="shared" si="371"/>
        <v>1.107942884589679</v>
      </c>
    </row>
    <row r="376" spans="33:39" x14ac:dyDescent="0.25">
      <c r="AG376" s="154" t="s">
        <v>95</v>
      </c>
      <c r="AH376" s="154" t="s">
        <v>114</v>
      </c>
      <c r="AI376" s="154">
        <v>2023</v>
      </c>
      <c r="AJ376" s="154" t="str">
        <f t="shared" si="368"/>
        <v>Sea</v>
      </c>
      <c r="AK376" s="154" t="str">
        <f t="shared" si="369"/>
        <v>Neo bulk</v>
      </c>
      <c r="AL376" s="154" t="str">
        <f t="shared" si="370"/>
        <v>Methanol</v>
      </c>
      <c r="AM376" s="164">
        <f t="shared" si="371"/>
        <v>1.067036411289114</v>
      </c>
    </row>
    <row r="377" spans="33:39" x14ac:dyDescent="0.25">
      <c r="AG377" s="154" t="s">
        <v>394</v>
      </c>
      <c r="AH377" s="154" t="s">
        <v>58</v>
      </c>
      <c r="AI377" s="154">
        <v>2034</v>
      </c>
      <c r="AJ377" s="154" t="str">
        <f>A48</f>
        <v>Sea</v>
      </c>
      <c r="AK377" s="154" t="str">
        <f t="shared" ref="AK377:AL377" si="372">B48</f>
        <v>Dry bulk</v>
      </c>
      <c r="AL377" s="154" t="str">
        <f t="shared" si="372"/>
        <v>HFO</v>
      </c>
      <c r="AM377" s="164">
        <f>S48</f>
        <v>1</v>
      </c>
    </row>
    <row r="378" spans="33:39" x14ac:dyDescent="0.25">
      <c r="AG378" s="154" t="s">
        <v>394</v>
      </c>
      <c r="AH378" s="154" t="s">
        <v>58</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95</v>
      </c>
      <c r="AH379" s="154" t="s">
        <v>58</v>
      </c>
      <c r="AI379" s="154">
        <v>2034</v>
      </c>
      <c r="AJ379" s="154" t="str">
        <f t="shared" si="373"/>
        <v>Sea</v>
      </c>
      <c r="AK379" s="154" t="str">
        <f t="shared" si="374"/>
        <v>Dry bulk</v>
      </c>
      <c r="AL379" s="154" t="str">
        <f t="shared" si="375"/>
        <v>Hydrogen</v>
      </c>
      <c r="AM379" s="164">
        <f t="shared" si="376"/>
        <v>1</v>
      </c>
    </row>
    <row r="380" spans="33:39" x14ac:dyDescent="0.25">
      <c r="AG380" s="154" t="s">
        <v>95</v>
      </c>
      <c r="AH380" s="154" t="s">
        <v>58</v>
      </c>
      <c r="AI380" s="154">
        <v>2034</v>
      </c>
      <c r="AJ380" s="154" t="str">
        <f t="shared" si="373"/>
        <v>Sea</v>
      </c>
      <c r="AK380" s="154" t="str">
        <f t="shared" si="374"/>
        <v>Dry bulk</v>
      </c>
      <c r="AL380" s="154" t="str">
        <f t="shared" si="375"/>
        <v>Ammonia</v>
      </c>
      <c r="AM380" s="164">
        <f t="shared" si="376"/>
        <v>1</v>
      </c>
    </row>
    <row r="381" spans="33:39" x14ac:dyDescent="0.25">
      <c r="AG381" s="154" t="s">
        <v>95</v>
      </c>
      <c r="AH381" s="154" t="s">
        <v>58</v>
      </c>
      <c r="AI381" s="154">
        <v>2034</v>
      </c>
      <c r="AJ381" s="154" t="str">
        <f t="shared" si="373"/>
        <v>Sea</v>
      </c>
      <c r="AK381" s="154" t="str">
        <f t="shared" si="374"/>
        <v>Dry bulk</v>
      </c>
      <c r="AL381" s="154" t="str">
        <f t="shared" si="375"/>
        <v>Methanol</v>
      </c>
      <c r="AM381" s="164">
        <f t="shared" si="376"/>
        <v>1</v>
      </c>
    </row>
    <row r="382" spans="33:39" x14ac:dyDescent="0.25">
      <c r="AG382" s="154" t="s">
        <v>394</v>
      </c>
      <c r="AH382" s="154" t="s">
        <v>58</v>
      </c>
      <c r="AI382" s="154">
        <v>2034</v>
      </c>
      <c r="AJ382" s="154" t="str">
        <f t="shared" si="373"/>
        <v>Sea</v>
      </c>
      <c r="AK382" s="154" t="str">
        <f t="shared" si="374"/>
        <v>Container</v>
      </c>
      <c r="AL382" s="154" t="str">
        <f t="shared" si="375"/>
        <v>HFO</v>
      </c>
      <c r="AM382" s="164">
        <f t="shared" si="376"/>
        <v>1</v>
      </c>
    </row>
    <row r="383" spans="33:39" x14ac:dyDescent="0.25">
      <c r="AG383" s="154" t="s">
        <v>394</v>
      </c>
      <c r="AH383" s="154" t="s">
        <v>58</v>
      </c>
      <c r="AI383" s="154">
        <v>2034</v>
      </c>
      <c r="AJ383" s="154" t="str">
        <f t="shared" si="373"/>
        <v>Sea</v>
      </c>
      <c r="AK383" s="154" t="str">
        <f t="shared" si="374"/>
        <v>Container</v>
      </c>
      <c r="AL383" s="154" t="str">
        <f t="shared" si="375"/>
        <v>MGO</v>
      </c>
      <c r="AM383" s="164">
        <f t="shared" si="376"/>
        <v>1</v>
      </c>
    </row>
    <row r="384" spans="33:39" x14ac:dyDescent="0.25">
      <c r="AG384" s="154" t="s">
        <v>95</v>
      </c>
      <c r="AH384" s="154" t="s">
        <v>58</v>
      </c>
      <c r="AI384" s="154">
        <v>2034</v>
      </c>
      <c r="AJ384" s="154" t="str">
        <f t="shared" si="373"/>
        <v>Sea</v>
      </c>
      <c r="AK384" s="154" t="str">
        <f t="shared" si="374"/>
        <v>Container</v>
      </c>
      <c r="AL384" s="154" t="str">
        <f t="shared" si="375"/>
        <v>Hydrogen</v>
      </c>
      <c r="AM384" s="164">
        <f t="shared" si="376"/>
        <v>1</v>
      </c>
    </row>
    <row r="385" spans="33:39" x14ac:dyDescent="0.25">
      <c r="AG385" s="154" t="s">
        <v>95</v>
      </c>
      <c r="AH385" s="154" t="s">
        <v>58</v>
      </c>
      <c r="AI385" s="154">
        <v>2034</v>
      </c>
      <c r="AJ385" s="154" t="str">
        <f t="shared" si="373"/>
        <v>Sea</v>
      </c>
      <c r="AK385" s="154" t="str">
        <f t="shared" si="374"/>
        <v>Container</v>
      </c>
      <c r="AL385" s="154" t="str">
        <f t="shared" si="375"/>
        <v>Ammonia</v>
      </c>
      <c r="AM385" s="164">
        <f t="shared" si="376"/>
        <v>1</v>
      </c>
    </row>
    <row r="386" spans="33:39" x14ac:dyDescent="0.25">
      <c r="AG386" s="154" t="s">
        <v>95</v>
      </c>
      <c r="AH386" s="154" t="s">
        <v>58</v>
      </c>
      <c r="AI386" s="154">
        <v>2034</v>
      </c>
      <c r="AJ386" s="154" t="str">
        <f t="shared" si="373"/>
        <v>Sea</v>
      </c>
      <c r="AK386" s="154" t="str">
        <f t="shared" si="374"/>
        <v>Container</v>
      </c>
      <c r="AL386" s="154" t="str">
        <f t="shared" si="375"/>
        <v>Methanol</v>
      </c>
      <c r="AM386" s="164">
        <f t="shared" si="376"/>
        <v>1</v>
      </c>
    </row>
    <row r="387" spans="33:39" x14ac:dyDescent="0.25">
      <c r="AG387" s="154" t="s">
        <v>394</v>
      </c>
      <c r="AH387" s="154" t="s">
        <v>58</v>
      </c>
      <c r="AI387" s="154">
        <v>2034</v>
      </c>
      <c r="AJ387" s="154" t="str">
        <f t="shared" si="373"/>
        <v>Sea</v>
      </c>
      <c r="AK387" s="154" t="str">
        <f t="shared" si="374"/>
        <v>Break bulk</v>
      </c>
      <c r="AL387" s="154" t="str">
        <f t="shared" si="375"/>
        <v>HFO</v>
      </c>
      <c r="AM387" s="164">
        <f t="shared" si="376"/>
        <v>1</v>
      </c>
    </row>
    <row r="388" spans="33:39" x14ac:dyDescent="0.25">
      <c r="AG388" s="154" t="s">
        <v>394</v>
      </c>
      <c r="AH388" s="154" t="s">
        <v>58</v>
      </c>
      <c r="AI388" s="154">
        <v>2034</v>
      </c>
      <c r="AJ388" s="154" t="str">
        <f t="shared" si="373"/>
        <v>Sea</v>
      </c>
      <c r="AK388" s="154" t="str">
        <f t="shared" si="374"/>
        <v>Break bulk</v>
      </c>
      <c r="AL388" s="154" t="str">
        <f t="shared" si="375"/>
        <v>MGO</v>
      </c>
      <c r="AM388" s="164">
        <f t="shared" si="376"/>
        <v>1</v>
      </c>
    </row>
    <row r="389" spans="33:39" x14ac:dyDescent="0.25">
      <c r="AG389" s="154" t="s">
        <v>95</v>
      </c>
      <c r="AH389" s="154" t="s">
        <v>58</v>
      </c>
      <c r="AI389" s="154">
        <v>2034</v>
      </c>
      <c r="AJ389" s="154" t="str">
        <f t="shared" si="373"/>
        <v>Sea</v>
      </c>
      <c r="AK389" s="154" t="str">
        <f t="shared" si="374"/>
        <v>Break bulk</v>
      </c>
      <c r="AL389" s="154" t="str">
        <f t="shared" si="375"/>
        <v>Hydrogen</v>
      </c>
      <c r="AM389" s="164">
        <f t="shared" si="376"/>
        <v>1</v>
      </c>
    </row>
    <row r="390" spans="33:39" x14ac:dyDescent="0.25">
      <c r="AG390" s="154" t="s">
        <v>95</v>
      </c>
      <c r="AH390" s="154" t="s">
        <v>58</v>
      </c>
      <c r="AI390" s="154">
        <v>2034</v>
      </c>
      <c r="AJ390" s="154" t="str">
        <f t="shared" si="373"/>
        <v>Sea</v>
      </c>
      <c r="AK390" s="154" t="str">
        <f t="shared" si="374"/>
        <v>Break bulk</v>
      </c>
      <c r="AL390" s="154" t="str">
        <f t="shared" si="375"/>
        <v>Ammonia</v>
      </c>
      <c r="AM390" s="164">
        <f t="shared" si="376"/>
        <v>1</v>
      </c>
    </row>
    <row r="391" spans="33:39" x14ac:dyDescent="0.25">
      <c r="AG391" s="154" t="s">
        <v>95</v>
      </c>
      <c r="AH391" s="154" t="s">
        <v>58</v>
      </c>
      <c r="AI391" s="154">
        <v>2034</v>
      </c>
      <c r="AJ391" s="154" t="str">
        <f t="shared" si="373"/>
        <v>Sea</v>
      </c>
      <c r="AK391" s="154" t="str">
        <f t="shared" si="374"/>
        <v>Break bulk</v>
      </c>
      <c r="AL391" s="154" t="str">
        <f t="shared" si="375"/>
        <v>Methanol</v>
      </c>
      <c r="AM391" s="164">
        <f t="shared" si="376"/>
        <v>1</v>
      </c>
    </row>
    <row r="392" spans="33:39" x14ac:dyDescent="0.25">
      <c r="AG392" s="154" t="s">
        <v>394</v>
      </c>
      <c r="AH392" s="154" t="s">
        <v>58</v>
      </c>
      <c r="AI392" s="154">
        <v>2034</v>
      </c>
      <c r="AJ392" s="154" t="str">
        <f t="shared" si="373"/>
        <v>Sea</v>
      </c>
      <c r="AK392" s="154" t="str">
        <f t="shared" si="374"/>
        <v>Neo bulk</v>
      </c>
      <c r="AL392" s="154" t="str">
        <f t="shared" si="375"/>
        <v>HFO</v>
      </c>
      <c r="AM392" s="164">
        <f t="shared" si="376"/>
        <v>1</v>
      </c>
    </row>
    <row r="393" spans="33:39" x14ac:dyDescent="0.25">
      <c r="AG393" s="154" t="s">
        <v>394</v>
      </c>
      <c r="AH393" s="154" t="s">
        <v>58</v>
      </c>
      <c r="AI393" s="154">
        <v>2034</v>
      </c>
      <c r="AJ393" s="154" t="str">
        <f t="shared" si="373"/>
        <v>Sea</v>
      </c>
      <c r="AK393" s="154" t="str">
        <f t="shared" si="374"/>
        <v>Neo bulk</v>
      </c>
      <c r="AL393" s="154" t="str">
        <f t="shared" si="375"/>
        <v>MGO</v>
      </c>
      <c r="AM393" s="164">
        <f t="shared" si="376"/>
        <v>1</v>
      </c>
    </row>
    <row r="394" spans="33:39" x14ac:dyDescent="0.25">
      <c r="AG394" s="154" t="s">
        <v>95</v>
      </c>
      <c r="AH394" s="154" t="s">
        <v>58</v>
      </c>
      <c r="AI394" s="154">
        <v>2034</v>
      </c>
      <c r="AJ394" s="154" t="str">
        <f t="shared" si="373"/>
        <v>Sea</v>
      </c>
      <c r="AK394" s="154" t="str">
        <f t="shared" si="374"/>
        <v>Neo bulk</v>
      </c>
      <c r="AL394" s="154" t="str">
        <f t="shared" si="375"/>
        <v>Hydrogen</v>
      </c>
      <c r="AM394" s="164">
        <f t="shared" si="376"/>
        <v>1</v>
      </c>
    </row>
    <row r="395" spans="33:39" x14ac:dyDescent="0.25">
      <c r="AG395" s="154" t="s">
        <v>95</v>
      </c>
      <c r="AH395" s="154" t="s">
        <v>58</v>
      </c>
      <c r="AI395" s="154">
        <v>2034</v>
      </c>
      <c r="AJ395" s="154" t="str">
        <f t="shared" si="373"/>
        <v>Sea</v>
      </c>
      <c r="AK395" s="154" t="str">
        <f t="shared" si="374"/>
        <v>Neo bulk</v>
      </c>
      <c r="AL395" s="154" t="str">
        <f t="shared" si="375"/>
        <v>Ammonia</v>
      </c>
      <c r="AM395" s="164">
        <f t="shared" si="376"/>
        <v>1</v>
      </c>
    </row>
    <row r="396" spans="33:39" x14ac:dyDescent="0.25">
      <c r="AG396" s="154" t="s">
        <v>95</v>
      </c>
      <c r="AH396" s="154" t="s">
        <v>58</v>
      </c>
      <c r="AI396" s="154">
        <v>2034</v>
      </c>
      <c r="AJ396" s="154" t="str">
        <f t="shared" si="373"/>
        <v>Sea</v>
      </c>
      <c r="AK396" s="154" t="str">
        <f t="shared" si="374"/>
        <v>Neo bulk</v>
      </c>
      <c r="AL396" s="154" t="str">
        <f t="shared" si="375"/>
        <v>Methanol</v>
      </c>
      <c r="AM396" s="164">
        <f t="shared" si="376"/>
        <v>1</v>
      </c>
    </row>
    <row r="397" spans="33:39" x14ac:dyDescent="0.25">
      <c r="AG397" s="154" t="s">
        <v>394</v>
      </c>
      <c r="AH397" s="154" t="s">
        <v>116</v>
      </c>
      <c r="AI397" s="154">
        <v>2034</v>
      </c>
      <c r="AJ397" s="154" t="str">
        <f>A48</f>
        <v>Sea</v>
      </c>
      <c r="AK397" s="154" t="str">
        <f t="shared" ref="AK397:AL397" si="377">B48</f>
        <v>Dry bulk</v>
      </c>
      <c r="AL397" s="154" t="str">
        <f t="shared" si="377"/>
        <v>HFO</v>
      </c>
      <c r="AM397" s="164">
        <f>T48</f>
        <v>1.0704106913051665</v>
      </c>
    </row>
    <row r="398" spans="33:39" x14ac:dyDescent="0.25">
      <c r="AG398" s="154" t="s">
        <v>394</v>
      </c>
      <c r="AH398" s="154" t="s">
        <v>116</v>
      </c>
      <c r="AI398" s="154">
        <v>2034</v>
      </c>
      <c r="AJ398" s="154" t="str">
        <f t="shared" ref="AJ398:AJ416" si="378">A49</f>
        <v>Sea</v>
      </c>
      <c r="AK398" s="154" t="str">
        <f t="shared" ref="AK398:AK416" si="379">B49</f>
        <v>Dry bulk</v>
      </c>
      <c r="AL398" s="154" t="str">
        <f t="shared" ref="AL398:AL416" si="380">C49</f>
        <v>MGO</v>
      </c>
      <c r="AM398" s="164">
        <f t="shared" ref="AM398:AM416" si="381">T49</f>
        <v>1.1075488867414225</v>
      </c>
    </row>
    <row r="399" spans="33:39" x14ac:dyDescent="0.25">
      <c r="AG399" s="154" t="s">
        <v>95</v>
      </c>
      <c r="AH399" s="154" t="s">
        <v>116</v>
      </c>
      <c r="AI399" s="154">
        <v>2034</v>
      </c>
      <c r="AJ399" s="154" t="str">
        <f t="shared" si="378"/>
        <v>Sea</v>
      </c>
      <c r="AK399" s="154" t="str">
        <f t="shared" si="379"/>
        <v>Dry bulk</v>
      </c>
      <c r="AL399" s="154" t="str">
        <f t="shared" si="380"/>
        <v>Hydrogen</v>
      </c>
      <c r="AM399" s="164">
        <f t="shared" si="381"/>
        <v>0.93753665040880552</v>
      </c>
    </row>
    <row r="400" spans="33:39" x14ac:dyDescent="0.25">
      <c r="AG400" s="154" t="s">
        <v>95</v>
      </c>
      <c r="AH400" s="154" t="s">
        <v>116</v>
      </c>
      <c r="AI400" s="154">
        <v>2034</v>
      </c>
      <c r="AJ400" s="154" t="str">
        <f t="shared" si="378"/>
        <v>Sea</v>
      </c>
      <c r="AK400" s="154" t="str">
        <f t="shared" si="379"/>
        <v>Dry bulk</v>
      </c>
      <c r="AL400" s="154" t="str">
        <f t="shared" si="380"/>
        <v>Ammonia</v>
      </c>
      <c r="AM400" s="164">
        <f t="shared" si="381"/>
        <v>0.92804871734830874</v>
      </c>
    </row>
    <row r="401" spans="33:39" x14ac:dyDescent="0.25">
      <c r="AG401" s="154" t="s">
        <v>95</v>
      </c>
      <c r="AH401" s="154" t="s">
        <v>116</v>
      </c>
      <c r="AI401" s="154">
        <v>2034</v>
      </c>
      <c r="AJ401" s="154" t="str">
        <f t="shared" si="378"/>
        <v>Sea</v>
      </c>
      <c r="AK401" s="154" t="str">
        <f t="shared" si="379"/>
        <v>Dry bulk</v>
      </c>
      <c r="AL401" s="154" t="str">
        <f t="shared" si="380"/>
        <v>Methanol</v>
      </c>
      <c r="AM401" s="164">
        <f t="shared" si="381"/>
        <v>0.93916520712563734</v>
      </c>
    </row>
    <row r="402" spans="33:39" x14ac:dyDescent="0.25">
      <c r="AG402" s="154" t="s">
        <v>394</v>
      </c>
      <c r="AH402" s="154" t="s">
        <v>116</v>
      </c>
      <c r="AI402" s="154">
        <v>2034</v>
      </c>
      <c r="AJ402" s="154" t="str">
        <f t="shared" si="378"/>
        <v>Sea</v>
      </c>
      <c r="AK402" s="154" t="str">
        <f t="shared" si="379"/>
        <v>Container</v>
      </c>
      <c r="AL402" s="154" t="str">
        <f t="shared" si="380"/>
        <v>HFO</v>
      </c>
      <c r="AM402" s="164">
        <f t="shared" si="381"/>
        <v>1.0647364305056337</v>
      </c>
    </row>
    <row r="403" spans="33:39" x14ac:dyDescent="0.25">
      <c r="AG403" s="154" t="s">
        <v>394</v>
      </c>
      <c r="AH403" s="154" t="s">
        <v>116</v>
      </c>
      <c r="AI403" s="154">
        <v>2034</v>
      </c>
      <c r="AJ403" s="154" t="str">
        <f t="shared" si="378"/>
        <v>Sea</v>
      </c>
      <c r="AK403" s="154" t="str">
        <f t="shared" si="379"/>
        <v>Container</v>
      </c>
      <c r="AL403" s="154" t="str">
        <f t="shared" si="380"/>
        <v>MGO</v>
      </c>
      <c r="AM403" s="164">
        <f t="shared" si="381"/>
        <v>1.1014596585562899</v>
      </c>
    </row>
    <row r="404" spans="33:39" x14ac:dyDescent="0.25">
      <c r="AG404" s="154" t="s">
        <v>95</v>
      </c>
      <c r="AH404" s="154" t="s">
        <v>116</v>
      </c>
      <c r="AI404" s="154">
        <v>2034</v>
      </c>
      <c r="AJ404" s="154" t="str">
        <f t="shared" si="378"/>
        <v>Sea</v>
      </c>
      <c r="AK404" s="154" t="str">
        <f t="shared" si="379"/>
        <v>Container</v>
      </c>
      <c r="AL404" s="154" t="str">
        <f t="shared" si="380"/>
        <v>Hydrogen</v>
      </c>
      <c r="AM404" s="164">
        <f t="shared" si="381"/>
        <v>0.93928673148387354</v>
      </c>
    </row>
    <row r="405" spans="33:39" x14ac:dyDescent="0.25">
      <c r="AG405" s="154" t="s">
        <v>95</v>
      </c>
      <c r="AH405" s="154" t="s">
        <v>116</v>
      </c>
      <c r="AI405" s="154">
        <v>2034</v>
      </c>
      <c r="AJ405" s="154" t="str">
        <f t="shared" si="378"/>
        <v>Sea</v>
      </c>
      <c r="AK405" s="154" t="str">
        <f t="shared" si="379"/>
        <v>Container</v>
      </c>
      <c r="AL405" s="154" t="str">
        <f t="shared" si="380"/>
        <v>Ammonia</v>
      </c>
      <c r="AM405" s="164">
        <f t="shared" si="381"/>
        <v>0.93010321230847193</v>
      </c>
    </row>
    <row r="406" spans="33:39" x14ac:dyDescent="0.25">
      <c r="AG406" s="154" t="s">
        <v>95</v>
      </c>
      <c r="AH406" s="154" t="s">
        <v>116</v>
      </c>
      <c r="AI406" s="154">
        <v>2034</v>
      </c>
      <c r="AJ406" s="154" t="str">
        <f t="shared" si="378"/>
        <v>Sea</v>
      </c>
      <c r="AK406" s="154" t="str">
        <f t="shared" si="379"/>
        <v>Container</v>
      </c>
      <c r="AL406" s="154" t="str">
        <f t="shared" si="380"/>
        <v>Methanol</v>
      </c>
      <c r="AM406" s="164">
        <f t="shared" si="381"/>
        <v>0.94037487721817903</v>
      </c>
    </row>
    <row r="407" spans="33:39" x14ac:dyDescent="0.25">
      <c r="AG407" s="154" t="s">
        <v>394</v>
      </c>
      <c r="AH407" s="154" t="s">
        <v>116</v>
      </c>
      <c r="AI407" s="154">
        <v>2034</v>
      </c>
      <c r="AJ407" s="154" t="str">
        <f t="shared" si="378"/>
        <v>Sea</v>
      </c>
      <c r="AK407" s="154" t="str">
        <f t="shared" si="379"/>
        <v>Break bulk</v>
      </c>
      <c r="AL407" s="154" t="str">
        <f t="shared" si="380"/>
        <v>HFO</v>
      </c>
      <c r="AM407" s="164">
        <f t="shared" si="381"/>
        <v>1.0704325587661827</v>
      </c>
    </row>
    <row r="408" spans="33:39" x14ac:dyDescent="0.25">
      <c r="AG408" s="154" t="s">
        <v>394</v>
      </c>
      <c r="AH408" s="154" t="s">
        <v>116</v>
      </c>
      <c r="AI408" s="154">
        <v>2034</v>
      </c>
      <c r="AJ408" s="154" t="str">
        <f t="shared" si="378"/>
        <v>Sea</v>
      </c>
      <c r="AK408" s="154" t="str">
        <f t="shared" si="379"/>
        <v>Break bulk</v>
      </c>
      <c r="AL408" s="154" t="str">
        <f t="shared" si="380"/>
        <v>MGO</v>
      </c>
      <c r="AM408" s="164">
        <f t="shared" si="381"/>
        <v>1.1075717549137987</v>
      </c>
    </row>
    <row r="409" spans="33:39" x14ac:dyDescent="0.25">
      <c r="AG409" s="154" t="s">
        <v>95</v>
      </c>
      <c r="AH409" s="154" t="s">
        <v>116</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95</v>
      </c>
      <c r="AH410" s="154" t="s">
        <v>116</v>
      </c>
      <c r="AI410" s="154">
        <v>2034</v>
      </c>
      <c r="AJ410" s="154" t="str">
        <f t="shared" si="378"/>
        <v>Sea</v>
      </c>
      <c r="AK410" s="154" t="str">
        <f t="shared" si="379"/>
        <v>Break bulk</v>
      </c>
      <c r="AL410" s="154" t="str">
        <f t="shared" si="380"/>
        <v>Ammonia</v>
      </c>
      <c r="AM410" s="164">
        <f t="shared" si="381"/>
        <v>0.92804002894442783</v>
      </c>
    </row>
    <row r="411" spans="33:39" x14ac:dyDescent="0.25">
      <c r="AG411" s="154" t="s">
        <v>95</v>
      </c>
      <c r="AH411" s="154" t="s">
        <v>116</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394</v>
      </c>
      <c r="AH412" s="154" t="s">
        <v>116</v>
      </c>
      <c r="AI412" s="154">
        <v>2034</v>
      </c>
      <c r="AJ412" s="154" t="str">
        <f t="shared" si="378"/>
        <v>Sea</v>
      </c>
      <c r="AK412" s="154" t="str">
        <f t="shared" si="379"/>
        <v>Neo bulk</v>
      </c>
      <c r="AL412" s="154" t="str">
        <f t="shared" si="380"/>
        <v>HFO</v>
      </c>
      <c r="AM412" s="164">
        <f t="shared" si="381"/>
        <v>1.0704701791882731</v>
      </c>
    </row>
    <row r="413" spans="33:39" x14ac:dyDescent="0.25">
      <c r="AG413" s="154" t="s">
        <v>394</v>
      </c>
      <c r="AH413" s="154" t="s">
        <v>116</v>
      </c>
      <c r="AI413" s="154">
        <v>2034</v>
      </c>
      <c r="AJ413" s="154" t="str">
        <f t="shared" si="378"/>
        <v>Sea</v>
      </c>
      <c r="AK413" s="154" t="str">
        <f t="shared" si="379"/>
        <v>Neo bulk</v>
      </c>
      <c r="AL413" s="154" t="str">
        <f t="shared" si="380"/>
        <v>MGO</v>
      </c>
      <c r="AM413" s="164">
        <f t="shared" si="381"/>
        <v>1.1076110864663196</v>
      </c>
    </row>
    <row r="414" spans="33:39" x14ac:dyDescent="0.25">
      <c r="AG414" s="154" t="s">
        <v>95</v>
      </c>
      <c r="AH414" s="154" t="s">
        <v>116</v>
      </c>
      <c r="AI414" s="154">
        <v>2034</v>
      </c>
      <c r="AJ414" s="154" t="str">
        <f t="shared" si="378"/>
        <v>Sea</v>
      </c>
      <c r="AK414" s="154" t="str">
        <f t="shared" si="379"/>
        <v>Neo bulk</v>
      </c>
      <c r="AL414" s="154" t="str">
        <f t="shared" si="380"/>
        <v>Hydrogen</v>
      </c>
      <c r="AM414" s="164">
        <f t="shared" si="381"/>
        <v>0.93751938467810003</v>
      </c>
    </row>
    <row r="415" spans="33:39" x14ac:dyDescent="0.25">
      <c r="AG415" s="154" t="s">
        <v>95</v>
      </c>
      <c r="AH415" s="154" t="s">
        <v>116</v>
      </c>
      <c r="AI415" s="154">
        <v>2034</v>
      </c>
      <c r="AJ415" s="154" t="str">
        <f t="shared" si="378"/>
        <v>Sea</v>
      </c>
      <c r="AK415" s="154" t="str">
        <f t="shared" si="379"/>
        <v>Neo bulk</v>
      </c>
      <c r="AL415" s="154" t="str">
        <f t="shared" si="380"/>
        <v>Ammonia</v>
      </c>
      <c r="AM415" s="164">
        <f t="shared" si="381"/>
        <v>0.928028418354094</v>
      </c>
    </row>
    <row r="416" spans="33:39" x14ac:dyDescent="0.25">
      <c r="AG416" s="154" t="s">
        <v>95</v>
      </c>
      <c r="AH416" s="154" t="s">
        <v>116</v>
      </c>
      <c r="AI416" s="154">
        <v>2034</v>
      </c>
      <c r="AJ416" s="154" t="str">
        <f t="shared" si="378"/>
        <v>Sea</v>
      </c>
      <c r="AK416" s="154" t="str">
        <f t="shared" si="379"/>
        <v>Neo bulk</v>
      </c>
      <c r="AL416" s="154" t="str">
        <f t="shared" si="380"/>
        <v>Methanol</v>
      </c>
      <c r="AM416" s="164">
        <f t="shared" si="381"/>
        <v>0.93915334009684803</v>
      </c>
    </row>
    <row r="417" spans="33:39" x14ac:dyDescent="0.25">
      <c r="AG417" s="154" t="s">
        <v>394</v>
      </c>
      <c r="AH417" s="154" t="s">
        <v>114</v>
      </c>
      <c r="AI417" s="154">
        <v>2034</v>
      </c>
      <c r="AJ417" s="154" t="str">
        <f>A48</f>
        <v>Sea</v>
      </c>
      <c r="AK417" s="154" t="str">
        <f t="shared" ref="AK417:AL417" si="382">B48</f>
        <v>Dry bulk</v>
      </c>
      <c r="AL417" s="154" t="str">
        <f t="shared" si="382"/>
        <v>HFO</v>
      </c>
      <c r="AM417" s="164">
        <f>U48</f>
        <v>0.82870234801877418</v>
      </c>
    </row>
    <row r="418" spans="33:39" x14ac:dyDescent="0.25">
      <c r="AG418" s="154" t="s">
        <v>394</v>
      </c>
      <c r="AH418" s="154" t="s">
        <v>114</v>
      </c>
      <c r="AI418" s="154">
        <v>2034</v>
      </c>
      <c r="AJ418" s="154" t="str">
        <f t="shared" ref="AJ418:AJ436" si="383">A49</f>
        <v>Sea</v>
      </c>
      <c r="AK418" s="154" t="str">
        <f t="shared" ref="AK418:AK436" si="384">B49</f>
        <v>Dry bulk</v>
      </c>
      <c r="AL418" s="154" t="str">
        <f t="shared" ref="AL418:AL436" si="385">C49</f>
        <v>MGO</v>
      </c>
      <c r="AM418" s="164">
        <f t="shared" ref="AM418:AM436" si="386">U49</f>
        <v>0.73835121583803198</v>
      </c>
    </row>
    <row r="419" spans="33:39" x14ac:dyDescent="0.25">
      <c r="AG419" s="154" t="s">
        <v>95</v>
      </c>
      <c r="AH419" s="154" t="s">
        <v>114</v>
      </c>
      <c r="AI419" s="154">
        <v>2034</v>
      </c>
      <c r="AJ419" s="154" t="str">
        <f t="shared" si="383"/>
        <v>Sea</v>
      </c>
      <c r="AK419" s="154" t="str">
        <f t="shared" si="384"/>
        <v>Dry bulk</v>
      </c>
      <c r="AL419" s="154" t="str">
        <f t="shared" si="385"/>
        <v>Hydrogen</v>
      </c>
      <c r="AM419" s="164">
        <f t="shared" si="386"/>
        <v>1.0893628303785809</v>
      </c>
    </row>
    <row r="420" spans="33:39" x14ac:dyDescent="0.25">
      <c r="AG420" s="154" t="s">
        <v>95</v>
      </c>
      <c r="AH420" s="154" t="s">
        <v>114</v>
      </c>
      <c r="AI420" s="154">
        <v>2034</v>
      </c>
      <c r="AJ420" s="154" t="str">
        <f t="shared" si="383"/>
        <v>Sea</v>
      </c>
      <c r="AK420" s="154" t="str">
        <f t="shared" si="384"/>
        <v>Dry bulk</v>
      </c>
      <c r="AL420" s="154" t="str">
        <f t="shared" si="385"/>
        <v>Ammonia</v>
      </c>
      <c r="AM420" s="164">
        <f t="shared" si="386"/>
        <v>1.102936687020557</v>
      </c>
    </row>
    <row r="421" spans="33:39" x14ac:dyDescent="0.25">
      <c r="AG421" s="154" t="s">
        <v>95</v>
      </c>
      <c r="AH421" s="154" t="s">
        <v>114</v>
      </c>
      <c r="AI421" s="154">
        <v>2034</v>
      </c>
      <c r="AJ421" s="154" t="str">
        <f t="shared" si="383"/>
        <v>Sea</v>
      </c>
      <c r="AK421" s="154" t="str">
        <f t="shared" si="384"/>
        <v>Dry bulk</v>
      </c>
      <c r="AL421" s="154" t="str">
        <f t="shared" si="385"/>
        <v>Methanol</v>
      </c>
      <c r="AM421" s="164">
        <f t="shared" si="386"/>
        <v>1.0870329451162544</v>
      </c>
    </row>
    <row r="422" spans="33:39" x14ac:dyDescent="0.25">
      <c r="AG422" s="154" t="s">
        <v>394</v>
      </c>
      <c r="AH422" s="154" t="s">
        <v>114</v>
      </c>
      <c r="AI422" s="154">
        <v>2034</v>
      </c>
      <c r="AJ422" s="154" t="str">
        <f t="shared" si="383"/>
        <v>Sea</v>
      </c>
      <c r="AK422" s="154" t="str">
        <f t="shared" si="384"/>
        <v>Container</v>
      </c>
      <c r="AL422" s="154" t="str">
        <f t="shared" si="385"/>
        <v>HFO</v>
      </c>
      <c r="AM422" s="164">
        <f t="shared" si="386"/>
        <v>0.84250689294898151</v>
      </c>
    </row>
    <row r="423" spans="33:39" x14ac:dyDescent="0.25">
      <c r="AG423" s="154" t="s">
        <v>394</v>
      </c>
      <c r="AH423" s="154" t="s">
        <v>114</v>
      </c>
      <c r="AI423" s="154">
        <v>2034</v>
      </c>
      <c r="AJ423" s="154" t="str">
        <f t="shared" si="383"/>
        <v>Sea</v>
      </c>
      <c r="AK423" s="154" t="str">
        <f t="shared" si="384"/>
        <v>Container</v>
      </c>
      <c r="AL423" s="154" t="str">
        <f t="shared" si="385"/>
        <v>MGO</v>
      </c>
      <c r="AM423" s="164">
        <f t="shared" si="386"/>
        <v>0.75316530828842887</v>
      </c>
    </row>
    <row r="424" spans="33:39" x14ac:dyDescent="0.25">
      <c r="AG424" s="154" t="s">
        <v>95</v>
      </c>
      <c r="AH424" s="154" t="s">
        <v>114</v>
      </c>
      <c r="AI424" s="154">
        <v>2034</v>
      </c>
      <c r="AJ424" s="154" t="str">
        <f t="shared" si="383"/>
        <v>Sea</v>
      </c>
      <c r="AK424" s="154" t="str">
        <f t="shared" si="384"/>
        <v>Container</v>
      </c>
      <c r="AL424" s="154" t="str">
        <f t="shared" si="385"/>
        <v>Hydrogen</v>
      </c>
      <c r="AM424" s="164">
        <f t="shared" si="386"/>
        <v>1.0868590869949228</v>
      </c>
    </row>
    <row r="425" spans="33:39" x14ac:dyDescent="0.25">
      <c r="AG425" s="154" t="s">
        <v>95</v>
      </c>
      <c r="AH425" s="154" t="s">
        <v>114</v>
      </c>
      <c r="AI425" s="154">
        <v>2034</v>
      </c>
      <c r="AJ425" s="154" t="str">
        <f t="shared" si="383"/>
        <v>Sea</v>
      </c>
      <c r="AK425" s="154" t="str">
        <f t="shared" si="384"/>
        <v>Container</v>
      </c>
      <c r="AL425" s="154" t="str">
        <f t="shared" si="385"/>
        <v>Ammonia</v>
      </c>
      <c r="AM425" s="164">
        <f t="shared" si="386"/>
        <v>1.0999974356701199</v>
      </c>
    </row>
    <row r="426" spans="33:39" x14ac:dyDescent="0.25">
      <c r="AG426" s="154" t="s">
        <v>95</v>
      </c>
      <c r="AH426" s="154" t="s">
        <v>114</v>
      </c>
      <c r="AI426" s="154">
        <v>2034</v>
      </c>
      <c r="AJ426" s="154" t="str">
        <f t="shared" si="383"/>
        <v>Sea</v>
      </c>
      <c r="AK426" s="154" t="str">
        <f t="shared" si="384"/>
        <v>Container</v>
      </c>
      <c r="AL426" s="154" t="str">
        <f t="shared" si="385"/>
        <v>Methanol</v>
      </c>
      <c r="AM426" s="164">
        <f t="shared" si="386"/>
        <v>1.0853023375839761</v>
      </c>
    </row>
    <row r="427" spans="33:39" x14ac:dyDescent="0.25">
      <c r="AG427" s="154" t="s">
        <v>394</v>
      </c>
      <c r="AH427" s="154" t="s">
        <v>114</v>
      </c>
      <c r="AI427" s="154">
        <v>2034</v>
      </c>
      <c r="AJ427" s="154" t="str">
        <f t="shared" si="383"/>
        <v>Sea</v>
      </c>
      <c r="AK427" s="154" t="str">
        <f t="shared" si="384"/>
        <v>Break bulk</v>
      </c>
      <c r="AL427" s="154" t="str">
        <f t="shared" si="385"/>
        <v>HFO</v>
      </c>
      <c r="AM427" s="164">
        <f t="shared" si="386"/>
        <v>0.82864914807630097</v>
      </c>
    </row>
    <row r="428" spans="33:39" x14ac:dyDescent="0.25">
      <c r="AG428" s="154" t="s">
        <v>394</v>
      </c>
      <c r="AH428" s="154" t="s">
        <v>114</v>
      </c>
      <c r="AI428" s="154">
        <v>2034</v>
      </c>
      <c r="AJ428" s="154" t="str">
        <f t="shared" si="383"/>
        <v>Sea</v>
      </c>
      <c r="AK428" s="154" t="str">
        <f t="shared" si="384"/>
        <v>Break bulk</v>
      </c>
      <c r="AL428" s="154" t="str">
        <f t="shared" si="385"/>
        <v>MGO</v>
      </c>
      <c r="AM428" s="164">
        <f t="shared" si="386"/>
        <v>0.73829558132911666</v>
      </c>
    </row>
    <row r="429" spans="33:39" x14ac:dyDescent="0.25">
      <c r="AG429" s="154" t="s">
        <v>95</v>
      </c>
      <c r="AH429" s="154" t="s">
        <v>114</v>
      </c>
      <c r="AI429" s="154">
        <v>2034</v>
      </c>
      <c r="AJ429" s="154" t="str">
        <f t="shared" si="383"/>
        <v>Sea</v>
      </c>
      <c r="AK429" s="154" t="str">
        <f t="shared" si="384"/>
        <v>Break bulk</v>
      </c>
      <c r="AL429" s="154" t="str">
        <f t="shared" si="385"/>
        <v>Hydrogen</v>
      </c>
      <c r="AM429" s="164">
        <f t="shared" si="386"/>
        <v>1.0893737630168694</v>
      </c>
    </row>
    <row r="430" spans="33:39" x14ac:dyDescent="0.25">
      <c r="AG430" s="154" t="s">
        <v>95</v>
      </c>
      <c r="AH430" s="154" t="s">
        <v>114</v>
      </c>
      <c r="AI430" s="154">
        <v>2034</v>
      </c>
      <c r="AJ430" s="154" t="str">
        <f t="shared" si="383"/>
        <v>Sea</v>
      </c>
      <c r="AK430" s="154" t="str">
        <f t="shared" si="384"/>
        <v>Break bulk</v>
      </c>
      <c r="AL430" s="154" t="str">
        <f t="shared" si="385"/>
        <v>Ammonia</v>
      </c>
      <c r="AM430" s="164">
        <f t="shared" si="386"/>
        <v>1.1029491170353949</v>
      </c>
    </row>
    <row r="431" spans="33:39" x14ac:dyDescent="0.25">
      <c r="AG431" s="154" t="s">
        <v>95</v>
      </c>
      <c r="AH431" s="154" t="s">
        <v>114</v>
      </c>
      <c r="AI431" s="154">
        <v>2034</v>
      </c>
      <c r="AJ431" s="154" t="str">
        <f t="shared" si="383"/>
        <v>Sea</v>
      </c>
      <c r="AK431" s="154" t="str">
        <f t="shared" si="384"/>
        <v>Break bulk</v>
      </c>
      <c r="AL431" s="154" t="str">
        <f t="shared" si="385"/>
        <v>Methanol</v>
      </c>
      <c r="AM431" s="164">
        <f t="shared" si="386"/>
        <v>1.0870397055857457</v>
      </c>
    </row>
    <row r="432" spans="33:39" x14ac:dyDescent="0.25">
      <c r="AG432" s="154" t="s">
        <v>394</v>
      </c>
      <c r="AH432" s="154" t="s">
        <v>114</v>
      </c>
      <c r="AI432" s="154">
        <v>2034</v>
      </c>
      <c r="AJ432" s="154" t="str">
        <f t="shared" si="383"/>
        <v>Sea</v>
      </c>
      <c r="AK432" s="154" t="str">
        <f t="shared" si="384"/>
        <v>Neo bulk</v>
      </c>
      <c r="AL432" s="154" t="str">
        <f t="shared" si="385"/>
        <v>HFO</v>
      </c>
      <c r="AM432" s="164">
        <f t="shared" si="386"/>
        <v>0.82855762376584252</v>
      </c>
    </row>
    <row r="433" spans="33:39" x14ac:dyDescent="0.25">
      <c r="AG433" s="154" t="s">
        <v>394</v>
      </c>
      <c r="AH433" s="154" t="s">
        <v>114</v>
      </c>
      <c r="AI433" s="154">
        <v>2034</v>
      </c>
      <c r="AJ433" s="154" t="str">
        <f t="shared" si="383"/>
        <v>Sea</v>
      </c>
      <c r="AK433" s="154" t="str">
        <f t="shared" si="384"/>
        <v>Neo bulk</v>
      </c>
      <c r="AL433" s="154" t="str">
        <f t="shared" si="385"/>
        <v>MGO</v>
      </c>
      <c r="AM433" s="164">
        <f t="shared" si="386"/>
        <v>0.73819989411925202</v>
      </c>
    </row>
    <row r="434" spans="33:39" x14ac:dyDescent="0.25">
      <c r="AG434" s="154" t="s">
        <v>95</v>
      </c>
      <c r="AH434" s="154" t="s">
        <v>114</v>
      </c>
      <c r="AI434" s="154">
        <v>2034</v>
      </c>
      <c r="AJ434" s="154" t="str">
        <f t="shared" si="383"/>
        <v>Sea</v>
      </c>
      <c r="AK434" s="154" t="str">
        <f t="shared" si="384"/>
        <v>Neo bulk</v>
      </c>
      <c r="AL434" s="154" t="str">
        <f t="shared" si="385"/>
        <v>Hydrogen</v>
      </c>
      <c r="AM434" s="164">
        <f t="shared" si="386"/>
        <v>1.089387531496508</v>
      </c>
    </row>
    <row r="435" spans="33:39" x14ac:dyDescent="0.25">
      <c r="AG435" s="154" t="s">
        <v>95</v>
      </c>
      <c r="AH435" s="154" t="s">
        <v>114</v>
      </c>
      <c r="AI435" s="154">
        <v>2034</v>
      </c>
      <c r="AJ435" s="154" t="str">
        <f t="shared" si="383"/>
        <v>Sea</v>
      </c>
      <c r="AK435" s="154" t="str">
        <f t="shared" si="384"/>
        <v>Neo bulk</v>
      </c>
      <c r="AL435" s="154" t="str">
        <f t="shared" si="385"/>
        <v>Ammonia</v>
      </c>
      <c r="AM435" s="164">
        <f t="shared" si="386"/>
        <v>1.1029657276594071</v>
      </c>
    </row>
    <row r="436" spans="33:39" x14ac:dyDescent="0.25">
      <c r="AG436" s="154" t="s">
        <v>95</v>
      </c>
      <c r="AH436" s="154" t="s">
        <v>114</v>
      </c>
      <c r="AI436" s="154">
        <v>2034</v>
      </c>
      <c r="AJ436" s="154" t="str">
        <f t="shared" si="383"/>
        <v>Sea</v>
      </c>
      <c r="AK436" s="154" t="str">
        <f t="shared" si="384"/>
        <v>Neo bulk</v>
      </c>
      <c r="AL436" s="154" t="str">
        <f t="shared" si="385"/>
        <v>Methanol</v>
      </c>
      <c r="AM436" s="164">
        <f t="shared" si="386"/>
        <v>1.0870499226124619</v>
      </c>
    </row>
    <row r="437" spans="33:39" x14ac:dyDescent="0.25">
      <c r="AG437" s="154" t="s">
        <v>394</v>
      </c>
      <c r="AH437" s="154" t="s">
        <v>58</v>
      </c>
      <c r="AI437" s="154">
        <v>2050</v>
      </c>
      <c r="AJ437" s="154" t="str">
        <f>A48</f>
        <v>Sea</v>
      </c>
      <c r="AK437" s="154" t="str">
        <f t="shared" ref="AK437:AL437" si="387">B48</f>
        <v>Dry bulk</v>
      </c>
      <c r="AL437" s="154" t="str">
        <f t="shared" si="387"/>
        <v>HFO</v>
      </c>
      <c r="AM437" s="164">
        <f>AB48</f>
        <v>1</v>
      </c>
    </row>
    <row r="438" spans="33:39" x14ac:dyDescent="0.25">
      <c r="AG438" s="154" t="s">
        <v>394</v>
      </c>
      <c r="AH438" s="154" t="s">
        <v>58</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95</v>
      </c>
      <c r="AH439" s="154" t="s">
        <v>58</v>
      </c>
      <c r="AI439" s="154">
        <v>2050</v>
      </c>
      <c r="AJ439" s="154" t="str">
        <f t="shared" si="388"/>
        <v>Sea</v>
      </c>
      <c r="AK439" s="154" t="str">
        <f t="shared" si="389"/>
        <v>Dry bulk</v>
      </c>
      <c r="AL439" s="154" t="str">
        <f t="shared" si="390"/>
        <v>Hydrogen</v>
      </c>
      <c r="AM439" s="164">
        <f t="shared" si="391"/>
        <v>1</v>
      </c>
    </row>
    <row r="440" spans="33:39" x14ac:dyDescent="0.25">
      <c r="AG440" s="154" t="s">
        <v>95</v>
      </c>
      <c r="AH440" s="154" t="s">
        <v>58</v>
      </c>
      <c r="AI440" s="154">
        <v>2050</v>
      </c>
      <c r="AJ440" s="154" t="str">
        <f t="shared" si="388"/>
        <v>Sea</v>
      </c>
      <c r="AK440" s="154" t="str">
        <f t="shared" si="389"/>
        <v>Dry bulk</v>
      </c>
      <c r="AL440" s="154" t="str">
        <f t="shared" si="390"/>
        <v>Ammonia</v>
      </c>
      <c r="AM440" s="164">
        <f t="shared" si="391"/>
        <v>1</v>
      </c>
    </row>
    <row r="441" spans="33:39" x14ac:dyDescent="0.25">
      <c r="AG441" s="154" t="s">
        <v>95</v>
      </c>
      <c r="AH441" s="154" t="s">
        <v>58</v>
      </c>
      <c r="AI441" s="154">
        <v>2050</v>
      </c>
      <c r="AJ441" s="154" t="str">
        <f t="shared" si="388"/>
        <v>Sea</v>
      </c>
      <c r="AK441" s="154" t="str">
        <f t="shared" si="389"/>
        <v>Dry bulk</v>
      </c>
      <c r="AL441" s="154" t="str">
        <f t="shared" si="390"/>
        <v>Methanol</v>
      </c>
      <c r="AM441" s="164">
        <f t="shared" si="391"/>
        <v>1</v>
      </c>
    </row>
    <row r="442" spans="33:39" x14ac:dyDescent="0.25">
      <c r="AG442" s="154" t="s">
        <v>394</v>
      </c>
      <c r="AH442" s="154" t="s">
        <v>58</v>
      </c>
      <c r="AI442" s="154">
        <v>2050</v>
      </c>
      <c r="AJ442" s="154" t="str">
        <f t="shared" si="388"/>
        <v>Sea</v>
      </c>
      <c r="AK442" s="154" t="str">
        <f t="shared" si="389"/>
        <v>Container</v>
      </c>
      <c r="AL442" s="154" t="str">
        <f t="shared" si="390"/>
        <v>HFO</v>
      </c>
      <c r="AM442" s="164">
        <f t="shared" si="391"/>
        <v>1</v>
      </c>
    </row>
    <row r="443" spans="33:39" x14ac:dyDescent="0.25">
      <c r="AG443" s="154" t="s">
        <v>394</v>
      </c>
      <c r="AH443" s="154" t="s">
        <v>58</v>
      </c>
      <c r="AI443" s="154">
        <v>2050</v>
      </c>
      <c r="AJ443" s="154" t="str">
        <f t="shared" si="388"/>
        <v>Sea</v>
      </c>
      <c r="AK443" s="154" t="str">
        <f t="shared" si="389"/>
        <v>Container</v>
      </c>
      <c r="AL443" s="154" t="str">
        <f t="shared" si="390"/>
        <v>MGO</v>
      </c>
      <c r="AM443" s="164">
        <f t="shared" si="391"/>
        <v>1</v>
      </c>
    </row>
    <row r="444" spans="33:39" x14ac:dyDescent="0.25">
      <c r="AG444" s="154" t="s">
        <v>95</v>
      </c>
      <c r="AH444" s="154" t="s">
        <v>58</v>
      </c>
      <c r="AI444" s="154">
        <v>2050</v>
      </c>
      <c r="AJ444" s="154" t="str">
        <f t="shared" si="388"/>
        <v>Sea</v>
      </c>
      <c r="AK444" s="154" t="str">
        <f t="shared" si="389"/>
        <v>Container</v>
      </c>
      <c r="AL444" s="154" t="str">
        <f t="shared" si="390"/>
        <v>Hydrogen</v>
      </c>
      <c r="AM444" s="164">
        <f t="shared" si="391"/>
        <v>1</v>
      </c>
    </row>
    <row r="445" spans="33:39" x14ac:dyDescent="0.25">
      <c r="AG445" s="154" t="s">
        <v>95</v>
      </c>
      <c r="AH445" s="154" t="s">
        <v>58</v>
      </c>
      <c r="AI445" s="154">
        <v>2050</v>
      </c>
      <c r="AJ445" s="154" t="str">
        <f t="shared" si="388"/>
        <v>Sea</v>
      </c>
      <c r="AK445" s="154" t="str">
        <f t="shared" si="389"/>
        <v>Container</v>
      </c>
      <c r="AL445" s="154" t="str">
        <f t="shared" si="390"/>
        <v>Ammonia</v>
      </c>
      <c r="AM445" s="164">
        <f t="shared" si="391"/>
        <v>1</v>
      </c>
    </row>
    <row r="446" spans="33:39" x14ac:dyDescent="0.25">
      <c r="AG446" s="154" t="s">
        <v>95</v>
      </c>
      <c r="AH446" s="154" t="s">
        <v>58</v>
      </c>
      <c r="AI446" s="154">
        <v>2050</v>
      </c>
      <c r="AJ446" s="154" t="str">
        <f t="shared" si="388"/>
        <v>Sea</v>
      </c>
      <c r="AK446" s="154" t="str">
        <f t="shared" si="389"/>
        <v>Container</v>
      </c>
      <c r="AL446" s="154" t="str">
        <f t="shared" si="390"/>
        <v>Methanol</v>
      </c>
      <c r="AM446" s="164">
        <f t="shared" si="391"/>
        <v>1</v>
      </c>
    </row>
    <row r="447" spans="33:39" x14ac:dyDescent="0.25">
      <c r="AG447" s="154" t="s">
        <v>394</v>
      </c>
      <c r="AH447" s="154" t="s">
        <v>58</v>
      </c>
      <c r="AI447" s="154">
        <v>2050</v>
      </c>
      <c r="AJ447" s="154" t="str">
        <f t="shared" si="388"/>
        <v>Sea</v>
      </c>
      <c r="AK447" s="154" t="str">
        <f t="shared" si="389"/>
        <v>Break bulk</v>
      </c>
      <c r="AL447" s="154" t="str">
        <f t="shared" si="390"/>
        <v>HFO</v>
      </c>
      <c r="AM447" s="164">
        <f t="shared" si="391"/>
        <v>1</v>
      </c>
    </row>
    <row r="448" spans="33:39" x14ac:dyDescent="0.25">
      <c r="AG448" s="154" t="s">
        <v>394</v>
      </c>
      <c r="AH448" s="154" t="s">
        <v>58</v>
      </c>
      <c r="AI448" s="154">
        <v>2050</v>
      </c>
      <c r="AJ448" s="154" t="str">
        <f t="shared" si="388"/>
        <v>Sea</v>
      </c>
      <c r="AK448" s="154" t="str">
        <f t="shared" si="389"/>
        <v>Break bulk</v>
      </c>
      <c r="AL448" s="154" t="str">
        <f t="shared" si="390"/>
        <v>MGO</v>
      </c>
      <c r="AM448" s="164">
        <f t="shared" si="391"/>
        <v>1</v>
      </c>
    </row>
    <row r="449" spans="33:39" x14ac:dyDescent="0.25">
      <c r="AG449" s="154" t="s">
        <v>95</v>
      </c>
      <c r="AH449" s="154" t="s">
        <v>58</v>
      </c>
      <c r="AI449" s="154">
        <v>2050</v>
      </c>
      <c r="AJ449" s="154" t="str">
        <f t="shared" si="388"/>
        <v>Sea</v>
      </c>
      <c r="AK449" s="154" t="str">
        <f t="shared" si="389"/>
        <v>Break bulk</v>
      </c>
      <c r="AL449" s="154" t="str">
        <f t="shared" si="390"/>
        <v>Hydrogen</v>
      </c>
      <c r="AM449" s="164">
        <f t="shared" si="391"/>
        <v>1</v>
      </c>
    </row>
    <row r="450" spans="33:39" x14ac:dyDescent="0.25">
      <c r="AG450" s="154" t="s">
        <v>95</v>
      </c>
      <c r="AH450" s="154" t="s">
        <v>58</v>
      </c>
      <c r="AI450" s="154">
        <v>2050</v>
      </c>
      <c r="AJ450" s="154" t="str">
        <f t="shared" si="388"/>
        <v>Sea</v>
      </c>
      <c r="AK450" s="154" t="str">
        <f t="shared" si="389"/>
        <v>Break bulk</v>
      </c>
      <c r="AL450" s="154" t="str">
        <f t="shared" si="390"/>
        <v>Ammonia</v>
      </c>
      <c r="AM450" s="164">
        <f t="shared" si="391"/>
        <v>1</v>
      </c>
    </row>
    <row r="451" spans="33:39" x14ac:dyDescent="0.25">
      <c r="AG451" s="154" t="s">
        <v>95</v>
      </c>
      <c r="AH451" s="154" t="s">
        <v>58</v>
      </c>
      <c r="AI451" s="154">
        <v>2050</v>
      </c>
      <c r="AJ451" s="154" t="str">
        <f t="shared" si="388"/>
        <v>Sea</v>
      </c>
      <c r="AK451" s="154" t="str">
        <f t="shared" si="389"/>
        <v>Break bulk</v>
      </c>
      <c r="AL451" s="154" t="str">
        <f t="shared" si="390"/>
        <v>Methanol</v>
      </c>
      <c r="AM451" s="164">
        <f t="shared" si="391"/>
        <v>1</v>
      </c>
    </row>
    <row r="452" spans="33:39" x14ac:dyDescent="0.25">
      <c r="AG452" s="154" t="s">
        <v>394</v>
      </c>
      <c r="AH452" s="154" t="s">
        <v>58</v>
      </c>
      <c r="AI452" s="154">
        <v>2050</v>
      </c>
      <c r="AJ452" s="154" t="str">
        <f t="shared" si="388"/>
        <v>Sea</v>
      </c>
      <c r="AK452" s="154" t="str">
        <f t="shared" si="389"/>
        <v>Neo bulk</v>
      </c>
      <c r="AL452" s="154" t="str">
        <f t="shared" si="390"/>
        <v>HFO</v>
      </c>
      <c r="AM452" s="164">
        <f t="shared" si="391"/>
        <v>1</v>
      </c>
    </row>
    <row r="453" spans="33:39" x14ac:dyDescent="0.25">
      <c r="AG453" s="154" t="s">
        <v>394</v>
      </c>
      <c r="AH453" s="154" t="s">
        <v>58</v>
      </c>
      <c r="AI453" s="154">
        <v>2050</v>
      </c>
      <c r="AJ453" s="154" t="str">
        <f>A64</f>
        <v>Sea</v>
      </c>
      <c r="AK453" s="154" t="str">
        <f t="shared" si="389"/>
        <v>Neo bulk</v>
      </c>
      <c r="AL453" s="154" t="str">
        <f t="shared" si="390"/>
        <v>MGO</v>
      </c>
      <c r="AM453" s="164">
        <f>AB64</f>
        <v>1</v>
      </c>
    </row>
    <row r="454" spans="33:39" x14ac:dyDescent="0.25">
      <c r="AG454" s="154" t="s">
        <v>95</v>
      </c>
      <c r="AH454" s="154" t="s">
        <v>58</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95</v>
      </c>
      <c r="AH455" s="154" t="s">
        <v>58</v>
      </c>
      <c r="AI455" s="154">
        <v>2050</v>
      </c>
      <c r="AJ455" s="154" t="str">
        <f t="shared" si="392"/>
        <v>Sea</v>
      </c>
      <c r="AK455" s="154" t="str">
        <f t="shared" si="393"/>
        <v>Neo bulk</v>
      </c>
      <c r="AL455" s="154" t="str">
        <f t="shared" si="394"/>
        <v>Ammonia</v>
      </c>
      <c r="AM455" s="164">
        <f t="shared" si="395"/>
        <v>1</v>
      </c>
    </row>
    <row r="456" spans="33:39" x14ac:dyDescent="0.25">
      <c r="AG456" s="154" t="s">
        <v>95</v>
      </c>
      <c r="AH456" s="154" t="s">
        <v>58</v>
      </c>
      <c r="AI456" s="154">
        <v>2050</v>
      </c>
      <c r="AJ456" s="154" t="str">
        <f t="shared" si="392"/>
        <v>Sea</v>
      </c>
      <c r="AK456" s="154" t="str">
        <f t="shared" si="393"/>
        <v>Neo bulk</v>
      </c>
      <c r="AL456" s="154" t="str">
        <f t="shared" si="394"/>
        <v>Methanol</v>
      </c>
      <c r="AM456" s="164">
        <f t="shared" si="395"/>
        <v>1</v>
      </c>
    </row>
    <row r="457" spans="33:39" x14ac:dyDescent="0.25">
      <c r="AG457" s="154" t="s">
        <v>394</v>
      </c>
      <c r="AH457" s="154" t="s">
        <v>116</v>
      </c>
      <c r="AI457" s="154">
        <v>2050</v>
      </c>
      <c r="AJ457" s="154" t="str">
        <f>A48</f>
        <v>Sea</v>
      </c>
      <c r="AK457" s="154" t="str">
        <f t="shared" ref="AK457:AL457" si="396">B48</f>
        <v>Dry bulk</v>
      </c>
      <c r="AL457" s="154" t="str">
        <f t="shared" si="396"/>
        <v>HFO</v>
      </c>
      <c r="AM457" s="164">
        <f>AC48</f>
        <v>1.121361115848801</v>
      </c>
    </row>
    <row r="458" spans="33:39" x14ac:dyDescent="0.25">
      <c r="AG458" s="154" t="s">
        <v>394</v>
      </c>
      <c r="AH458" s="154" t="s">
        <v>116</v>
      </c>
      <c r="AI458" s="154">
        <v>2050</v>
      </c>
      <c r="AJ458" s="154" t="str">
        <f t="shared" ref="AJ458:AJ476" si="397">A49</f>
        <v>Sea</v>
      </c>
      <c r="AK458" s="154" t="str">
        <f t="shared" ref="AK458:AK476" si="398">B49</f>
        <v>Dry bulk</v>
      </c>
      <c r="AL458" s="154" t="str">
        <f t="shared" ref="AL458:AL476" si="399">C49</f>
        <v>MGO</v>
      </c>
      <c r="AM458" s="164">
        <f t="shared" ref="AM458:AM476" si="400">AC49</f>
        <v>1.1948182044102178</v>
      </c>
    </row>
    <row r="459" spans="33:39" x14ac:dyDescent="0.25">
      <c r="AG459" s="154" t="s">
        <v>95</v>
      </c>
      <c r="AH459" s="154" t="s">
        <v>116</v>
      </c>
      <c r="AI459" s="154">
        <v>2050</v>
      </c>
      <c r="AJ459" s="154" t="str">
        <f t="shared" si="397"/>
        <v>Sea</v>
      </c>
      <c r="AK459" s="154" t="str">
        <f t="shared" si="398"/>
        <v>Dry bulk</v>
      </c>
      <c r="AL459" s="154" t="str">
        <f t="shared" si="399"/>
        <v>Hydrogen</v>
      </c>
      <c r="AM459" s="164">
        <f t="shared" si="400"/>
        <v>0.90430088955906274</v>
      </c>
    </row>
    <row r="460" spans="33:39" x14ac:dyDescent="0.25">
      <c r="AG460" s="154" t="s">
        <v>95</v>
      </c>
      <c r="AH460" s="154" t="s">
        <v>116</v>
      </c>
      <c r="AI460" s="154">
        <v>2050</v>
      </c>
      <c r="AJ460" s="154" t="str">
        <f t="shared" si="397"/>
        <v>Sea</v>
      </c>
      <c r="AK460" s="154" t="str">
        <f t="shared" si="398"/>
        <v>Dry bulk</v>
      </c>
      <c r="AL460" s="154" t="str">
        <f t="shared" si="399"/>
        <v>Ammonia</v>
      </c>
      <c r="AM460" s="164">
        <f t="shared" si="400"/>
        <v>0.89370673662032452</v>
      </c>
    </row>
    <row r="461" spans="33:39" x14ac:dyDescent="0.25">
      <c r="AG461" s="154" t="s">
        <v>95</v>
      </c>
      <c r="AH461" s="154" t="s">
        <v>116</v>
      </c>
      <c r="AI461" s="154">
        <v>2050</v>
      </c>
      <c r="AJ461" s="154" t="str">
        <f t="shared" si="397"/>
        <v>Sea</v>
      </c>
      <c r="AK461" s="154" t="str">
        <f t="shared" si="398"/>
        <v>Dry bulk</v>
      </c>
      <c r="AL461" s="154" t="str">
        <f t="shared" si="399"/>
        <v>Methanol</v>
      </c>
      <c r="AM461" s="164">
        <f t="shared" si="400"/>
        <v>0.89553183496293787</v>
      </c>
    </row>
    <row r="462" spans="33:39" x14ac:dyDescent="0.25">
      <c r="AG462" s="154" t="s">
        <v>394</v>
      </c>
      <c r="AH462" s="154" t="s">
        <v>116</v>
      </c>
      <c r="AI462" s="154">
        <v>2050</v>
      </c>
      <c r="AJ462" s="154" t="str">
        <f t="shared" si="397"/>
        <v>Sea</v>
      </c>
      <c r="AK462" s="154" t="str">
        <f t="shared" si="398"/>
        <v>Container</v>
      </c>
      <c r="AL462" s="154" t="str">
        <f t="shared" si="399"/>
        <v>HFO</v>
      </c>
      <c r="AM462" s="164">
        <f t="shared" si="400"/>
        <v>1.1109273438244194</v>
      </c>
    </row>
    <row r="463" spans="33:39" x14ac:dyDescent="0.25">
      <c r="AG463" s="154" t="s">
        <v>394</v>
      </c>
      <c r="AH463" s="154" t="s">
        <v>116</v>
      </c>
      <c r="AI463" s="154">
        <v>2050</v>
      </c>
      <c r="AJ463" s="154" t="str">
        <f t="shared" si="397"/>
        <v>Sea</v>
      </c>
      <c r="AK463" s="154" t="str">
        <f t="shared" si="398"/>
        <v>Container</v>
      </c>
      <c r="AL463" s="154" t="str">
        <f t="shared" si="399"/>
        <v>MGO</v>
      </c>
      <c r="AM463" s="164">
        <f t="shared" si="400"/>
        <v>1.1824678330342591</v>
      </c>
    </row>
    <row r="464" spans="33:39" x14ac:dyDescent="0.25">
      <c r="AG464" s="154" t="s">
        <v>95</v>
      </c>
      <c r="AH464" s="154" t="s">
        <v>116</v>
      </c>
      <c r="AI464" s="154">
        <v>2050</v>
      </c>
      <c r="AJ464" s="154" t="str">
        <f t="shared" si="397"/>
        <v>Sea</v>
      </c>
      <c r="AK464" s="154" t="str">
        <f t="shared" si="398"/>
        <v>Container</v>
      </c>
      <c r="AL464" s="154" t="str">
        <f t="shared" si="399"/>
        <v>Hydrogen</v>
      </c>
      <c r="AM464" s="164">
        <f t="shared" si="400"/>
        <v>0.9082311684216422</v>
      </c>
    </row>
    <row r="465" spans="33:39" x14ac:dyDescent="0.25">
      <c r="AG465" s="154" t="s">
        <v>95</v>
      </c>
      <c r="AH465" s="154" t="s">
        <v>116</v>
      </c>
      <c r="AI465" s="154">
        <v>2050</v>
      </c>
      <c r="AJ465" s="154" t="str">
        <f t="shared" si="397"/>
        <v>Sea</v>
      </c>
      <c r="AK465" s="154" t="str">
        <f t="shared" si="398"/>
        <v>Container</v>
      </c>
      <c r="AL465" s="154" t="str">
        <f t="shared" si="399"/>
        <v>Ammonia</v>
      </c>
      <c r="AM465" s="164">
        <f t="shared" si="400"/>
        <v>0.89800367098986189</v>
      </c>
    </row>
    <row r="466" spans="33:39" x14ac:dyDescent="0.25">
      <c r="AG466" s="154" t="s">
        <v>95</v>
      </c>
      <c r="AH466" s="154" t="s">
        <v>116</v>
      </c>
      <c r="AI466" s="154">
        <v>2050</v>
      </c>
      <c r="AJ466" s="154" t="str">
        <f t="shared" si="397"/>
        <v>Sea</v>
      </c>
      <c r="AK466" s="154" t="str">
        <f t="shared" si="398"/>
        <v>Container</v>
      </c>
      <c r="AL466" s="154" t="str">
        <f t="shared" si="399"/>
        <v>Methanol</v>
      </c>
      <c r="AM466" s="164">
        <f t="shared" si="400"/>
        <v>0.89880257328573265</v>
      </c>
    </row>
    <row r="467" spans="33:39" x14ac:dyDescent="0.25">
      <c r="AG467" s="154" t="s">
        <v>394</v>
      </c>
      <c r="AH467" s="154" t="s">
        <v>116</v>
      </c>
      <c r="AI467" s="154">
        <v>2050</v>
      </c>
      <c r="AJ467" s="154" t="str">
        <f t="shared" si="397"/>
        <v>Sea</v>
      </c>
      <c r="AK467" s="154" t="str">
        <f t="shared" si="398"/>
        <v>Break bulk</v>
      </c>
      <c r="AL467" s="154" t="str">
        <f t="shared" si="399"/>
        <v>HFO</v>
      </c>
      <c r="AM467" s="164">
        <f t="shared" si="400"/>
        <v>1.1214015633186263</v>
      </c>
    </row>
    <row r="468" spans="33:39" x14ac:dyDescent="0.25">
      <c r="AG468" s="154" t="s">
        <v>394</v>
      </c>
      <c r="AH468" s="154" t="s">
        <v>116</v>
      </c>
      <c r="AI468" s="154">
        <v>2050</v>
      </c>
      <c r="AJ468" s="154" t="str">
        <f t="shared" si="397"/>
        <v>Sea</v>
      </c>
      <c r="AK468" s="154" t="str">
        <f t="shared" si="398"/>
        <v>Break bulk</v>
      </c>
      <c r="AL468" s="154" t="str">
        <f t="shared" si="399"/>
        <v>MGO</v>
      </c>
      <c r="AM468" s="164">
        <f t="shared" si="400"/>
        <v>1.1948649232150734</v>
      </c>
    </row>
    <row r="469" spans="33:39" x14ac:dyDescent="0.25">
      <c r="AG469" s="154" t="s">
        <v>95</v>
      </c>
      <c r="AH469" s="154" t="s">
        <v>116</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95</v>
      </c>
      <c r="AH470" s="154" t="s">
        <v>116</v>
      </c>
      <c r="AI470" s="154">
        <v>2050</v>
      </c>
      <c r="AJ470" s="154" t="str">
        <f t="shared" si="397"/>
        <v>Sea</v>
      </c>
      <c r="AK470" s="154" t="str">
        <f t="shared" si="398"/>
        <v>Break bulk</v>
      </c>
      <c r="AL470" s="154" t="str">
        <f t="shared" si="399"/>
        <v>Ammonia</v>
      </c>
      <c r="AM470" s="164">
        <f t="shared" si="400"/>
        <v>0.89368862124159154</v>
      </c>
    </row>
    <row r="471" spans="33:39" x14ac:dyDescent="0.25">
      <c r="AG471" s="154" t="s">
        <v>95</v>
      </c>
      <c r="AH471" s="154" t="s">
        <v>116</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394</v>
      </c>
      <c r="AH472" s="154" t="s">
        <v>116</v>
      </c>
      <c r="AI472" s="154">
        <v>2050</v>
      </c>
      <c r="AJ472" s="154" t="str">
        <f t="shared" si="397"/>
        <v>Sea</v>
      </c>
      <c r="AK472" s="154" t="str">
        <f t="shared" si="398"/>
        <v>Neo bulk</v>
      </c>
      <c r="AL472" s="154" t="str">
        <f t="shared" si="399"/>
        <v>HFO</v>
      </c>
      <c r="AM472" s="164">
        <f t="shared" si="400"/>
        <v>1.1214711527819601</v>
      </c>
    </row>
    <row r="473" spans="33:39" x14ac:dyDescent="0.25">
      <c r="AG473" s="154" t="s">
        <v>394</v>
      </c>
      <c r="AH473" s="154" t="s">
        <v>116</v>
      </c>
      <c r="AI473" s="154">
        <v>2050</v>
      </c>
      <c r="AJ473" s="154" t="str">
        <f t="shared" si="397"/>
        <v>Sea</v>
      </c>
      <c r="AK473" s="154" t="str">
        <f t="shared" si="398"/>
        <v>Neo bulk</v>
      </c>
      <c r="AL473" s="154" t="str">
        <f t="shared" si="399"/>
        <v>MGO</v>
      </c>
      <c r="AM473" s="164">
        <f t="shared" si="400"/>
        <v>1.1949452820168729</v>
      </c>
    </row>
    <row r="474" spans="33:39" x14ac:dyDescent="0.25">
      <c r="AG474" s="154" t="s">
        <v>95</v>
      </c>
      <c r="AH474" s="154" t="s">
        <v>116</v>
      </c>
      <c r="AI474" s="154">
        <v>2050</v>
      </c>
      <c r="AJ474" s="154" t="str">
        <f t="shared" si="397"/>
        <v>Sea</v>
      </c>
      <c r="AK474" s="154" t="str">
        <f t="shared" si="398"/>
        <v>Neo bulk</v>
      </c>
      <c r="AL474" s="154" t="str">
        <f t="shared" si="399"/>
        <v>Hydrogen</v>
      </c>
      <c r="AM474" s="164">
        <f t="shared" si="400"/>
        <v>0.90426154805164216</v>
      </c>
    </row>
    <row r="475" spans="33:39" x14ac:dyDescent="0.25">
      <c r="AG475" s="154" t="s">
        <v>95</v>
      </c>
      <c r="AH475" s="154" t="s">
        <v>116</v>
      </c>
      <c r="AI475" s="154">
        <v>2050</v>
      </c>
      <c r="AJ475" s="154" t="str">
        <f t="shared" si="397"/>
        <v>Sea</v>
      </c>
      <c r="AK475" s="154" t="str">
        <f t="shared" si="398"/>
        <v>Neo bulk</v>
      </c>
      <c r="AL475" s="154" t="str">
        <f t="shared" si="399"/>
        <v>Ammonia</v>
      </c>
      <c r="AM475" s="164">
        <f t="shared" si="400"/>
        <v>0.89366373306301206</v>
      </c>
    </row>
    <row r="476" spans="33:39" x14ac:dyDescent="0.25">
      <c r="AG476" s="154" t="s">
        <v>95</v>
      </c>
      <c r="AH476" s="154" t="s">
        <v>116</v>
      </c>
      <c r="AI476" s="154">
        <v>2050</v>
      </c>
      <c r="AJ476" s="154" t="str">
        <f t="shared" si="397"/>
        <v>Sea</v>
      </c>
      <c r="AK476" s="154" t="str">
        <f t="shared" si="398"/>
        <v>Neo bulk</v>
      </c>
      <c r="AL476" s="154" t="str">
        <f t="shared" si="399"/>
        <v>Methanol</v>
      </c>
      <c r="AM476" s="164">
        <f t="shared" si="400"/>
        <v>0.89549936641626593</v>
      </c>
    </row>
    <row r="477" spans="33:39" x14ac:dyDescent="0.25">
      <c r="AG477" s="154" t="s">
        <v>394</v>
      </c>
      <c r="AH477" s="154" t="s">
        <v>114</v>
      </c>
      <c r="AI477" s="154">
        <v>2050</v>
      </c>
      <c r="AJ477" s="154" t="str">
        <f>A48</f>
        <v>Sea</v>
      </c>
      <c r="AK477" s="154" t="str">
        <f t="shared" ref="AK477:AL477" si="401">B48</f>
        <v>Dry bulk</v>
      </c>
      <c r="AL477" s="154" t="str">
        <f t="shared" si="401"/>
        <v>HFO</v>
      </c>
      <c r="AM477" s="164">
        <f>AD48</f>
        <v>0.81532004109965084</v>
      </c>
    </row>
    <row r="478" spans="33:39" x14ac:dyDescent="0.25">
      <c r="AG478" s="154" t="s">
        <v>394</v>
      </c>
      <c r="AH478" s="154" t="s">
        <v>114</v>
      </c>
      <c r="AI478" s="154">
        <v>2050</v>
      </c>
      <c r="AJ478" s="154" t="str">
        <f t="shared" ref="AJ478:AJ496" si="402">A49</f>
        <v>Sea</v>
      </c>
      <c r="AK478" s="154" t="str">
        <f t="shared" ref="AK478:AK496" si="403">B49</f>
        <v>Dry bulk</v>
      </c>
      <c r="AL478" s="154" t="str">
        <f t="shared" ref="AL478:AL496" si="404">C49</f>
        <v>MGO</v>
      </c>
      <c r="AM478" s="164">
        <f t="shared" ref="AM478:AM496" si="405">AD49</f>
        <v>0.70353751502792938</v>
      </c>
    </row>
    <row r="479" spans="33:39" x14ac:dyDescent="0.25">
      <c r="AG479" s="154" t="s">
        <v>95</v>
      </c>
      <c r="AH479" s="154" t="s">
        <v>114</v>
      </c>
      <c r="AI479" s="154">
        <v>2050</v>
      </c>
      <c r="AJ479" s="154" t="str">
        <f t="shared" si="402"/>
        <v>Sea</v>
      </c>
      <c r="AK479" s="154" t="str">
        <f t="shared" si="403"/>
        <v>Dry bulk</v>
      </c>
      <c r="AL479" s="154" t="str">
        <f t="shared" si="404"/>
        <v>Hydrogen</v>
      </c>
      <c r="AM479" s="164">
        <f t="shared" si="405"/>
        <v>1.0897179160383792</v>
      </c>
    </row>
    <row r="480" spans="33:39" x14ac:dyDescent="0.25">
      <c r="AG480" s="154" t="s">
        <v>95</v>
      </c>
      <c r="AH480" s="154" t="s">
        <v>114</v>
      </c>
      <c r="AI480" s="154">
        <v>2050</v>
      </c>
      <c r="AJ480" s="154" t="str">
        <f t="shared" si="402"/>
        <v>Sea</v>
      </c>
      <c r="AK480" s="154" t="str">
        <f t="shared" si="403"/>
        <v>Dry bulk</v>
      </c>
      <c r="AL480" s="154" t="str">
        <f t="shared" si="404"/>
        <v>Ammonia</v>
      </c>
      <c r="AM480" s="164">
        <f t="shared" si="405"/>
        <v>1.0996499344184461</v>
      </c>
    </row>
    <row r="481" spans="33:39" x14ac:dyDescent="0.25">
      <c r="AG481" s="154" t="s">
        <v>95</v>
      </c>
      <c r="AH481" s="154" t="s">
        <v>114</v>
      </c>
      <c r="AI481" s="154">
        <v>2050</v>
      </c>
      <c r="AJ481" s="154" t="str">
        <f t="shared" si="402"/>
        <v>Sea</v>
      </c>
      <c r="AK481" s="154" t="str">
        <f t="shared" si="403"/>
        <v>Dry bulk</v>
      </c>
      <c r="AL481" s="154" t="str">
        <f t="shared" si="404"/>
        <v>Methanol</v>
      </c>
      <c r="AM481" s="164">
        <f t="shared" si="405"/>
        <v>1.0979389047222459</v>
      </c>
    </row>
    <row r="482" spans="33:39" x14ac:dyDescent="0.25">
      <c r="AG482" s="154" t="s">
        <v>394</v>
      </c>
      <c r="AH482" s="154" t="s">
        <v>114</v>
      </c>
      <c r="AI482" s="154">
        <v>2050</v>
      </c>
      <c r="AJ482" s="154" t="str">
        <f t="shared" si="402"/>
        <v>Sea</v>
      </c>
      <c r="AK482" s="154" t="str">
        <f t="shared" si="403"/>
        <v>Container</v>
      </c>
      <c r="AL482" s="154" t="str">
        <f t="shared" si="404"/>
        <v>HFO</v>
      </c>
      <c r="AM482" s="164">
        <f t="shared" si="405"/>
        <v>0.83119752026718741</v>
      </c>
    </row>
    <row r="483" spans="33:39" x14ac:dyDescent="0.25">
      <c r="AG483" s="154" t="s">
        <v>394</v>
      </c>
      <c r="AH483" s="154" t="s">
        <v>114</v>
      </c>
      <c r="AI483" s="154">
        <v>2050</v>
      </c>
      <c r="AJ483" s="154" t="str">
        <f t="shared" si="402"/>
        <v>Sea</v>
      </c>
      <c r="AK483" s="154" t="str">
        <f t="shared" si="403"/>
        <v>Container</v>
      </c>
      <c r="AL483" s="154" t="str">
        <f t="shared" si="404"/>
        <v>MGO</v>
      </c>
      <c r="AM483" s="164">
        <f t="shared" si="405"/>
        <v>0.72233155842612773</v>
      </c>
    </row>
    <row r="484" spans="33:39" x14ac:dyDescent="0.25">
      <c r="AG484" s="154" t="s">
        <v>95</v>
      </c>
      <c r="AH484" s="154" t="s">
        <v>114</v>
      </c>
      <c r="AI484" s="154">
        <v>2050</v>
      </c>
      <c r="AJ484" s="154" t="str">
        <f t="shared" si="402"/>
        <v>Sea</v>
      </c>
      <c r="AK484" s="154" t="str">
        <f t="shared" si="403"/>
        <v>Container</v>
      </c>
      <c r="AL484" s="154" t="str">
        <f t="shared" si="404"/>
        <v>Hydrogen</v>
      </c>
      <c r="AM484" s="164">
        <f t="shared" si="405"/>
        <v>1.0860332796047107</v>
      </c>
    </row>
    <row r="485" spans="33:39" x14ac:dyDescent="0.25">
      <c r="AG485" s="154" t="s">
        <v>95</v>
      </c>
      <c r="AH485" s="154" t="s">
        <v>114</v>
      </c>
      <c r="AI485" s="154">
        <v>2050</v>
      </c>
      <c r="AJ485" s="154" t="str">
        <f t="shared" si="402"/>
        <v>Sea</v>
      </c>
      <c r="AK485" s="154" t="str">
        <f t="shared" si="403"/>
        <v>Container</v>
      </c>
      <c r="AL485" s="154" t="str">
        <f t="shared" si="404"/>
        <v>Ammonia</v>
      </c>
      <c r="AM485" s="164">
        <f t="shared" si="405"/>
        <v>1.0956215584470046</v>
      </c>
    </row>
    <row r="486" spans="33:39" x14ac:dyDescent="0.25">
      <c r="AG486" s="154" t="s">
        <v>95</v>
      </c>
      <c r="AH486" s="154" t="s">
        <v>114</v>
      </c>
      <c r="AI486" s="154">
        <v>2050</v>
      </c>
      <c r="AJ486" s="154" t="str">
        <f t="shared" si="402"/>
        <v>Sea</v>
      </c>
      <c r="AK486" s="154" t="str">
        <f t="shared" si="403"/>
        <v>Container</v>
      </c>
      <c r="AL486" s="154" t="str">
        <f t="shared" si="404"/>
        <v>Methanol</v>
      </c>
      <c r="AM486" s="164">
        <f t="shared" si="405"/>
        <v>1.0948725875446259</v>
      </c>
    </row>
    <row r="487" spans="33:39" x14ac:dyDescent="0.25">
      <c r="AG487" s="154" t="s">
        <v>394</v>
      </c>
      <c r="AH487" s="154" t="s">
        <v>114</v>
      </c>
      <c r="AI487" s="154">
        <v>2050</v>
      </c>
      <c r="AJ487" s="154" t="str">
        <f t="shared" si="402"/>
        <v>Sea</v>
      </c>
      <c r="AK487" s="154" t="str">
        <f t="shared" si="403"/>
        <v>Break bulk</v>
      </c>
      <c r="AL487" s="154" t="str">
        <f t="shared" si="404"/>
        <v>HFO</v>
      </c>
      <c r="AM487" s="164">
        <f t="shared" si="405"/>
        <v>0.81525849060209021</v>
      </c>
    </row>
    <row r="488" spans="33:39" x14ac:dyDescent="0.25">
      <c r="AG488" s="154" t="s">
        <v>394</v>
      </c>
      <c r="AH488" s="154" t="s">
        <v>114</v>
      </c>
      <c r="AI488" s="154">
        <v>2050</v>
      </c>
      <c r="AJ488" s="154" t="str">
        <f t="shared" si="402"/>
        <v>Sea</v>
      </c>
      <c r="AK488" s="154" t="str">
        <f t="shared" si="403"/>
        <v>Break bulk</v>
      </c>
      <c r="AL488" s="154" t="str">
        <f t="shared" si="404"/>
        <v>MGO</v>
      </c>
      <c r="AM488" s="164">
        <f t="shared" si="405"/>
        <v>0.70346642119445302</v>
      </c>
    </row>
    <row r="489" spans="33:39" x14ac:dyDescent="0.25">
      <c r="AG489" s="154" t="s">
        <v>95</v>
      </c>
      <c r="AH489" s="154" t="s">
        <v>114</v>
      </c>
      <c r="AI489" s="154">
        <v>2050</v>
      </c>
      <c r="AJ489" s="154" t="str">
        <f t="shared" si="402"/>
        <v>Sea</v>
      </c>
      <c r="AK489" s="154" t="str">
        <f t="shared" si="403"/>
        <v>Break bulk</v>
      </c>
      <c r="AL489" s="154" t="str">
        <f t="shared" si="404"/>
        <v>Hydrogen</v>
      </c>
      <c r="AM489" s="164">
        <f t="shared" si="405"/>
        <v>1.0897337408738921</v>
      </c>
    </row>
    <row r="490" spans="33:39" x14ac:dyDescent="0.25">
      <c r="AG490" s="154" t="s">
        <v>95</v>
      </c>
      <c r="AH490" s="154" t="s">
        <v>114</v>
      </c>
      <c r="AI490" s="154">
        <v>2050</v>
      </c>
      <c r="AJ490" s="154" t="str">
        <f t="shared" si="402"/>
        <v>Sea</v>
      </c>
      <c r="AK490" s="154" t="str">
        <f t="shared" si="403"/>
        <v>Break bulk</v>
      </c>
      <c r="AL490" s="154" t="str">
        <f t="shared" si="404"/>
        <v>Ammonia</v>
      </c>
      <c r="AM490" s="164">
        <f t="shared" si="405"/>
        <v>1.0996669175860081</v>
      </c>
    </row>
    <row r="491" spans="33:39" x14ac:dyDescent="0.25">
      <c r="AG491" s="154" t="s">
        <v>95</v>
      </c>
      <c r="AH491" s="154" t="s">
        <v>114</v>
      </c>
      <c r="AI491" s="154">
        <v>2050</v>
      </c>
      <c r="AJ491" s="154" t="str">
        <f t="shared" si="402"/>
        <v>Sea</v>
      </c>
      <c r="AK491" s="154" t="str">
        <f t="shared" si="403"/>
        <v>Break bulk</v>
      </c>
      <c r="AL491" s="154" t="str">
        <f t="shared" si="404"/>
        <v>Methanol</v>
      </c>
      <c r="AM491" s="164">
        <f t="shared" si="405"/>
        <v>1.0979510248473168</v>
      </c>
    </row>
    <row r="492" spans="33:39" x14ac:dyDescent="0.25">
      <c r="AG492" s="154" t="s">
        <v>394</v>
      </c>
      <c r="AH492" s="154" t="s">
        <v>114</v>
      </c>
      <c r="AI492" s="154">
        <v>2050</v>
      </c>
      <c r="AJ492" s="154" t="str">
        <f t="shared" si="402"/>
        <v>Sea</v>
      </c>
      <c r="AK492" s="154" t="str">
        <f t="shared" si="403"/>
        <v>Neo bulk</v>
      </c>
      <c r="AL492" s="154" t="str">
        <f t="shared" si="404"/>
        <v>HFO</v>
      </c>
      <c r="AM492" s="164">
        <f t="shared" si="405"/>
        <v>0.81515259359266967</v>
      </c>
    </row>
    <row r="493" spans="33:39" x14ac:dyDescent="0.25">
      <c r="AG493" s="154" t="s">
        <v>394</v>
      </c>
      <c r="AH493" s="154" t="s">
        <v>114</v>
      </c>
      <c r="AI493" s="154">
        <v>2050</v>
      </c>
      <c r="AJ493" s="154" t="str">
        <f t="shared" si="402"/>
        <v>Sea</v>
      </c>
      <c r="AK493" s="154" t="str">
        <f t="shared" si="403"/>
        <v>Neo bulk</v>
      </c>
      <c r="AL493" s="154" t="str">
        <f t="shared" si="404"/>
        <v>MGO</v>
      </c>
      <c r="AM493" s="164">
        <f t="shared" si="405"/>
        <v>0.70334413606128077</v>
      </c>
    </row>
    <row r="494" spans="33:39" x14ac:dyDescent="0.25">
      <c r="AG494" s="154" t="s">
        <v>95</v>
      </c>
      <c r="AH494" s="154" t="s">
        <v>114</v>
      </c>
      <c r="AI494" s="154">
        <v>2050</v>
      </c>
      <c r="AJ494" s="154" t="str">
        <f t="shared" si="402"/>
        <v>Sea</v>
      </c>
      <c r="AK494" s="154" t="str">
        <f t="shared" si="403"/>
        <v>Neo bulk</v>
      </c>
      <c r="AL494" s="154" t="str">
        <f t="shared" si="404"/>
        <v>Hydrogen</v>
      </c>
      <c r="AM494" s="164">
        <f t="shared" si="405"/>
        <v>1.0897547987015856</v>
      </c>
    </row>
    <row r="495" spans="33:39" x14ac:dyDescent="0.25">
      <c r="AG495" s="154" t="s">
        <v>95</v>
      </c>
      <c r="AH495" s="154" t="s">
        <v>114</v>
      </c>
      <c r="AI495" s="154">
        <v>2050</v>
      </c>
      <c r="AJ495" s="154" t="str">
        <f t="shared" si="402"/>
        <v>Sea</v>
      </c>
      <c r="AK495" s="154" t="str">
        <f t="shared" si="403"/>
        <v>Neo bulk</v>
      </c>
      <c r="AL495" s="154" t="str">
        <f t="shared" si="404"/>
        <v>Ammonia</v>
      </c>
      <c r="AM495" s="164">
        <f t="shared" si="405"/>
        <v>1.0996902502534263</v>
      </c>
    </row>
    <row r="496" spans="33:39" x14ac:dyDescent="0.25">
      <c r="AG496" s="154" t="s">
        <v>95</v>
      </c>
      <c r="AH496" s="154" t="s">
        <v>114</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402</v>
      </c>
    </row>
    <row r="4" spans="1:174" x14ac:dyDescent="0.25">
      <c r="B4" s="197">
        <v>2023</v>
      </c>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v>2034</v>
      </c>
      <c r="BF4" s="197"/>
      <c r="BG4" s="197"/>
      <c r="BH4" s="197"/>
      <c r="BI4" s="197"/>
      <c r="BJ4" s="197"/>
      <c r="BK4" s="197"/>
      <c r="BL4" s="197"/>
      <c r="BM4" s="197"/>
      <c r="BN4" s="197"/>
      <c r="BO4" s="197"/>
      <c r="BP4" s="197"/>
      <c r="BQ4" s="197"/>
      <c r="BR4" s="197"/>
      <c r="BS4" s="197"/>
      <c r="BT4" s="197"/>
      <c r="BU4" s="197"/>
      <c r="BV4" s="197"/>
      <c r="BW4" s="197"/>
      <c r="BX4" s="197"/>
      <c r="BY4" s="197"/>
      <c r="BZ4" s="197"/>
      <c r="CA4" s="197"/>
      <c r="CB4" s="197"/>
      <c r="CC4" s="197"/>
      <c r="CD4" s="197"/>
      <c r="CE4" s="197"/>
      <c r="CF4" s="197"/>
      <c r="CG4" s="197"/>
      <c r="CH4" s="197"/>
      <c r="CI4" s="197"/>
      <c r="CJ4" s="197"/>
      <c r="CK4" s="197"/>
      <c r="CL4" s="197"/>
      <c r="CM4" s="197"/>
      <c r="CN4" s="197"/>
      <c r="CO4" s="197"/>
      <c r="CP4" s="197"/>
      <c r="CQ4" s="197"/>
      <c r="CR4" s="197"/>
      <c r="CS4" s="197"/>
      <c r="CT4" s="197"/>
      <c r="CU4" s="197"/>
      <c r="CV4" s="197"/>
      <c r="CW4" s="197"/>
      <c r="CX4" s="197"/>
      <c r="CY4" s="197"/>
      <c r="CZ4" s="197"/>
      <c r="DA4" s="197"/>
      <c r="DB4" s="197"/>
      <c r="DC4" s="197"/>
      <c r="DD4" s="197"/>
      <c r="DE4" s="197"/>
      <c r="DF4" s="197"/>
      <c r="DG4" s="197"/>
      <c r="DH4" s="197">
        <v>2050</v>
      </c>
      <c r="DI4" s="197"/>
      <c r="DJ4" s="197"/>
      <c r="DK4" s="197"/>
      <c r="DL4" s="197"/>
      <c r="DM4" s="197"/>
      <c r="DN4" s="197"/>
      <c r="DO4" s="197"/>
      <c r="DP4" s="197"/>
      <c r="DQ4" s="197"/>
      <c r="DR4" s="197"/>
      <c r="DS4" s="197"/>
      <c r="DT4" s="197"/>
      <c r="DU4" s="197"/>
      <c r="DV4" s="197"/>
      <c r="DW4" s="197"/>
      <c r="DX4" s="197"/>
      <c r="DY4" s="197"/>
      <c r="DZ4" s="197"/>
      <c r="EA4" s="197"/>
      <c r="EB4" s="197"/>
      <c r="EC4" s="197"/>
      <c r="ED4" s="197"/>
      <c r="EE4" s="197"/>
      <c r="EF4" s="197"/>
      <c r="EG4" s="197"/>
      <c r="EH4" s="197"/>
      <c r="EI4" s="197"/>
      <c r="EJ4" s="197"/>
      <c r="EK4" s="197"/>
      <c r="EL4" s="197"/>
      <c r="EM4" s="197"/>
      <c r="EN4" s="197"/>
      <c r="EO4" s="197"/>
      <c r="EP4" s="197"/>
      <c r="EQ4" s="197"/>
      <c r="ER4" s="197"/>
      <c r="ES4" s="197"/>
      <c r="ET4" s="197"/>
      <c r="EU4" s="197"/>
      <c r="EV4" s="197"/>
      <c r="EW4" s="197"/>
      <c r="EX4" s="197"/>
      <c r="EY4" s="197"/>
      <c r="EZ4" s="197"/>
      <c r="FA4" s="197"/>
      <c r="FB4" s="197"/>
      <c r="FC4" s="197"/>
      <c r="FD4" s="197"/>
      <c r="FE4" s="197"/>
      <c r="FF4" s="197"/>
      <c r="FG4" s="197"/>
      <c r="FH4" s="197"/>
      <c r="FI4" s="197"/>
      <c r="FJ4" s="197"/>
    </row>
    <row r="5" spans="1:174" x14ac:dyDescent="0.25">
      <c r="B5" s="154" t="s">
        <v>403</v>
      </c>
      <c r="C5" s="154" t="s">
        <v>404</v>
      </c>
      <c r="D5" s="154" t="s">
        <v>405</v>
      </c>
      <c r="E5" s="154" t="s">
        <v>406</v>
      </c>
      <c r="F5" s="154" t="s">
        <v>407</v>
      </c>
      <c r="G5" s="154" t="s">
        <v>408</v>
      </c>
      <c r="H5" s="154" t="s">
        <v>409</v>
      </c>
      <c r="I5" s="154" t="s">
        <v>410</v>
      </c>
      <c r="J5" s="154" t="s">
        <v>411</v>
      </c>
      <c r="K5" s="154" t="s">
        <v>412</v>
      </c>
      <c r="L5" s="154" t="s">
        <v>413</v>
      </c>
      <c r="M5" s="154" t="s">
        <v>414</v>
      </c>
      <c r="N5" s="154" t="s">
        <v>415</v>
      </c>
      <c r="O5" s="154" t="s">
        <v>416</v>
      </c>
      <c r="P5" s="154" t="s">
        <v>417</v>
      </c>
      <c r="Q5" s="154" t="s">
        <v>418</v>
      </c>
      <c r="R5" s="154" t="s">
        <v>419</v>
      </c>
      <c r="S5" s="154" t="s">
        <v>420</v>
      </c>
      <c r="T5" s="154" t="s">
        <v>421</v>
      </c>
      <c r="U5" s="154" t="s">
        <v>422</v>
      </c>
      <c r="V5" s="154" t="s">
        <v>423</v>
      </c>
      <c r="W5" s="154" t="s">
        <v>424</v>
      </c>
      <c r="X5" s="154" t="s">
        <v>425</v>
      </c>
      <c r="Y5" s="154" t="s">
        <v>426</v>
      </c>
      <c r="Z5" s="154" t="s">
        <v>427</v>
      </c>
      <c r="AA5" s="154" t="s">
        <v>428</v>
      </c>
      <c r="AB5" s="154" t="s">
        <v>429</v>
      </c>
      <c r="AC5" s="154" t="s">
        <v>430</v>
      </c>
      <c r="AD5" s="154" t="s">
        <v>431</v>
      </c>
      <c r="AE5" s="154" t="s">
        <v>432</v>
      </c>
      <c r="AF5" s="154" t="s">
        <v>433</v>
      </c>
      <c r="AG5" s="154" t="s">
        <v>434</v>
      </c>
      <c r="AH5" s="154" t="s">
        <v>435</v>
      </c>
      <c r="AI5" s="154" t="s">
        <v>436</v>
      </c>
      <c r="AJ5" s="154" t="s">
        <v>437</v>
      </c>
      <c r="AK5" s="154" t="s">
        <v>438</v>
      </c>
      <c r="AL5" s="154" t="s">
        <v>439</v>
      </c>
      <c r="AM5" s="154" t="s">
        <v>440</v>
      </c>
      <c r="AN5" s="154" t="s">
        <v>441</v>
      </c>
      <c r="AO5" s="154" t="s">
        <v>442</v>
      </c>
      <c r="AP5" s="154" t="s">
        <v>443</v>
      </c>
      <c r="AQ5" s="154" t="s">
        <v>444</v>
      </c>
      <c r="AR5" s="154" t="s">
        <v>445</v>
      </c>
      <c r="AS5" s="154" t="s">
        <v>446</v>
      </c>
      <c r="AT5" s="154" t="s">
        <v>447</v>
      </c>
      <c r="AU5" s="154" t="s">
        <v>448</v>
      </c>
      <c r="AV5" s="154" t="s">
        <v>449</v>
      </c>
      <c r="AW5" s="154" t="s">
        <v>450</v>
      </c>
      <c r="AX5" s="154" t="s">
        <v>451</v>
      </c>
      <c r="AY5" s="154" t="s">
        <v>452</v>
      </c>
      <c r="AZ5" s="154" t="s">
        <v>453</v>
      </c>
      <c r="BA5" s="154" t="s">
        <v>454</v>
      </c>
      <c r="BB5" s="154" t="s">
        <v>455</v>
      </c>
      <c r="BC5" s="154" t="s">
        <v>456</v>
      </c>
      <c r="BD5" s="154" t="s">
        <v>457</v>
      </c>
      <c r="BE5" s="154" t="s">
        <v>403</v>
      </c>
      <c r="BF5" s="154" t="s">
        <v>404</v>
      </c>
      <c r="BG5" s="154" t="s">
        <v>405</v>
      </c>
      <c r="BH5" s="154" t="s">
        <v>406</v>
      </c>
      <c r="BI5" s="154" t="s">
        <v>407</v>
      </c>
      <c r="BJ5" s="154" t="s">
        <v>408</v>
      </c>
      <c r="BK5" s="154" t="s">
        <v>409</v>
      </c>
      <c r="BL5" s="154" t="s">
        <v>410</v>
      </c>
      <c r="BM5" s="154" t="s">
        <v>411</v>
      </c>
      <c r="BN5" s="154" t="s">
        <v>412</v>
      </c>
      <c r="BO5" s="154" t="s">
        <v>413</v>
      </c>
      <c r="BP5" s="154" t="s">
        <v>414</v>
      </c>
      <c r="BQ5" s="154" t="s">
        <v>415</v>
      </c>
      <c r="BR5" s="154" t="s">
        <v>416</v>
      </c>
      <c r="BS5" s="154" t="s">
        <v>417</v>
      </c>
      <c r="BT5" s="154" t="s">
        <v>418</v>
      </c>
      <c r="BU5" s="154" t="s">
        <v>419</v>
      </c>
      <c r="BV5" s="154" t="s">
        <v>420</v>
      </c>
      <c r="BW5" s="154" t="s">
        <v>421</v>
      </c>
      <c r="BX5" s="154" t="s">
        <v>422</v>
      </c>
      <c r="BY5" s="154" t="s">
        <v>423</v>
      </c>
      <c r="BZ5" s="154" t="s">
        <v>424</v>
      </c>
      <c r="CA5" s="154" t="s">
        <v>425</v>
      </c>
      <c r="CB5" s="154" t="s">
        <v>426</v>
      </c>
      <c r="CC5" s="154" t="s">
        <v>427</v>
      </c>
      <c r="CD5" s="154" t="s">
        <v>428</v>
      </c>
      <c r="CE5" s="154" t="s">
        <v>429</v>
      </c>
      <c r="CF5" s="154" t="s">
        <v>430</v>
      </c>
      <c r="CG5" s="154" t="s">
        <v>431</v>
      </c>
      <c r="CH5" s="154" t="s">
        <v>432</v>
      </c>
      <c r="CI5" s="154" t="s">
        <v>433</v>
      </c>
      <c r="CJ5" s="154" t="s">
        <v>434</v>
      </c>
      <c r="CK5" s="154" t="s">
        <v>435</v>
      </c>
      <c r="CL5" s="154" t="s">
        <v>436</v>
      </c>
      <c r="CM5" s="154" t="s">
        <v>437</v>
      </c>
      <c r="CN5" s="154" t="s">
        <v>438</v>
      </c>
      <c r="CO5" s="154" t="s">
        <v>439</v>
      </c>
      <c r="CP5" s="154" t="s">
        <v>440</v>
      </c>
      <c r="CQ5" s="154" t="s">
        <v>441</v>
      </c>
      <c r="CR5" s="154" t="s">
        <v>442</v>
      </c>
      <c r="CS5" s="154" t="s">
        <v>443</v>
      </c>
      <c r="CT5" s="154" t="s">
        <v>444</v>
      </c>
      <c r="CU5" s="154" t="s">
        <v>445</v>
      </c>
      <c r="CV5" s="154" t="s">
        <v>446</v>
      </c>
      <c r="CW5" s="154" t="s">
        <v>447</v>
      </c>
      <c r="CX5" s="154" t="s">
        <v>448</v>
      </c>
      <c r="CY5" s="154" t="s">
        <v>449</v>
      </c>
      <c r="CZ5" s="154" t="s">
        <v>450</v>
      </c>
      <c r="DA5" s="154" t="s">
        <v>451</v>
      </c>
      <c r="DB5" s="154" t="s">
        <v>452</v>
      </c>
      <c r="DC5" s="154" t="s">
        <v>453</v>
      </c>
      <c r="DD5" s="154" t="s">
        <v>454</v>
      </c>
      <c r="DE5" s="154" t="s">
        <v>455</v>
      </c>
      <c r="DF5" s="154" t="s">
        <v>456</v>
      </c>
      <c r="DG5" s="154" t="s">
        <v>457</v>
      </c>
      <c r="DH5" s="154" t="s">
        <v>403</v>
      </c>
      <c r="DI5" s="154" t="s">
        <v>404</v>
      </c>
      <c r="DJ5" s="154" t="s">
        <v>405</v>
      </c>
      <c r="DK5" s="154" t="s">
        <v>406</v>
      </c>
      <c r="DL5" s="154" t="s">
        <v>407</v>
      </c>
      <c r="DM5" s="154" t="s">
        <v>408</v>
      </c>
      <c r="DN5" s="154" t="s">
        <v>409</v>
      </c>
      <c r="DO5" s="154" t="s">
        <v>410</v>
      </c>
      <c r="DP5" s="154" t="s">
        <v>411</v>
      </c>
      <c r="DQ5" s="154" t="s">
        <v>412</v>
      </c>
      <c r="DR5" s="154" t="s">
        <v>413</v>
      </c>
      <c r="DS5" s="154" t="s">
        <v>414</v>
      </c>
      <c r="DT5" s="154" t="s">
        <v>415</v>
      </c>
      <c r="DU5" s="154" t="s">
        <v>416</v>
      </c>
      <c r="DV5" s="154" t="s">
        <v>417</v>
      </c>
      <c r="DW5" s="154" t="s">
        <v>418</v>
      </c>
      <c r="DX5" s="154" t="s">
        <v>419</v>
      </c>
      <c r="DY5" s="154" t="s">
        <v>420</v>
      </c>
      <c r="DZ5" s="154" t="s">
        <v>421</v>
      </c>
      <c r="EA5" s="154" t="s">
        <v>422</v>
      </c>
      <c r="EB5" s="154" t="s">
        <v>423</v>
      </c>
      <c r="EC5" s="154" t="s">
        <v>424</v>
      </c>
      <c r="ED5" s="154" t="s">
        <v>425</v>
      </c>
      <c r="EE5" s="154" t="s">
        <v>426</v>
      </c>
      <c r="EF5" s="154" t="s">
        <v>427</v>
      </c>
      <c r="EG5" s="154" t="s">
        <v>428</v>
      </c>
      <c r="EH5" s="154" t="s">
        <v>429</v>
      </c>
      <c r="EI5" s="154" t="s">
        <v>430</v>
      </c>
      <c r="EJ5" s="154" t="s">
        <v>431</v>
      </c>
      <c r="EK5" s="154" t="s">
        <v>432</v>
      </c>
      <c r="EL5" s="154" t="s">
        <v>433</v>
      </c>
      <c r="EM5" s="154" t="s">
        <v>434</v>
      </c>
      <c r="EN5" s="154" t="s">
        <v>435</v>
      </c>
      <c r="EO5" s="154" t="s">
        <v>436</v>
      </c>
      <c r="EP5" s="154" t="s">
        <v>437</v>
      </c>
      <c r="EQ5" s="154" t="s">
        <v>438</v>
      </c>
      <c r="ER5" s="154" t="s">
        <v>439</v>
      </c>
      <c r="ES5" s="154" t="s">
        <v>440</v>
      </c>
      <c r="ET5" s="154" t="s">
        <v>441</v>
      </c>
      <c r="EU5" s="154" t="s">
        <v>442</v>
      </c>
      <c r="EV5" s="154" t="s">
        <v>443</v>
      </c>
      <c r="EW5" s="154" t="s">
        <v>444</v>
      </c>
      <c r="EX5" s="154" t="s">
        <v>445</v>
      </c>
      <c r="EY5" s="154" t="s">
        <v>446</v>
      </c>
      <c r="EZ5" s="154" t="s">
        <v>447</v>
      </c>
      <c r="FA5" s="154" t="s">
        <v>448</v>
      </c>
      <c r="FB5" s="154" t="s">
        <v>449</v>
      </c>
      <c r="FC5" s="154" t="s">
        <v>450</v>
      </c>
      <c r="FD5" s="154" t="s">
        <v>451</v>
      </c>
      <c r="FE5" s="154" t="s">
        <v>452</v>
      </c>
      <c r="FF5" s="154" t="s">
        <v>453</v>
      </c>
      <c r="FG5" s="154" t="s">
        <v>454</v>
      </c>
      <c r="FH5" s="154" t="s">
        <v>455</v>
      </c>
      <c r="FI5" s="154" t="s">
        <v>456</v>
      </c>
      <c r="FJ5" s="154" t="s">
        <v>457</v>
      </c>
    </row>
    <row r="6" spans="1:174" x14ac:dyDescent="0.25">
      <c r="A6" s="154" t="s">
        <v>141</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151</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137</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148</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160</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175</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199</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191</v>
      </c>
      <c r="B13" s="157">
        <f>'Short-sea (HFO)'!B81</f>
        <v>1.7783083301043669E-3</v>
      </c>
      <c r="C13" s="156">
        <f>'Short-sea (MGO)'!B81</f>
        <v>3.9670353002494918E-3</v>
      </c>
      <c r="D13" s="156">
        <f>'Short-sea (Hydrogen)'!B81</f>
        <v>1.2272875676237464E-2</v>
      </c>
      <c r="E13" s="156">
        <f>'Short-sea (Ammonia)'!B81</f>
        <v>1.1281068013309969E-2</v>
      </c>
      <c r="F13" s="156">
        <f>'Short-sea (Methanol)'!B81</f>
        <v>2.4929435480202329E-2</v>
      </c>
      <c r="G13" s="154">
        <f>'Short-sea (HFO)'!B187</f>
        <v>1.7783083301043669E-3</v>
      </c>
      <c r="H13" s="156">
        <f>'Short-sea (MGO)'!B187</f>
        <v>3.9670353002494918E-3</v>
      </c>
      <c r="I13" s="156">
        <f>'Short-sea (Hydrogen)'!B187</f>
        <v>1.2272875676237464E-2</v>
      </c>
      <c r="J13" s="156">
        <f>'Short-sea (Ammonia)'!B187</f>
        <v>1.1281068013309969E-2</v>
      </c>
      <c r="K13" s="156">
        <f>'Short-sea (Methanol)'!B187</f>
        <v>2.4929435480202329E-2</v>
      </c>
      <c r="L13" s="156">
        <f>'Short-sea (HFO)'!B295</f>
        <v>1.7783083301043669E-3</v>
      </c>
      <c r="M13" s="156">
        <f>'Short-sea (MGO)'!B295</f>
        <v>3.9670353002494918E-3</v>
      </c>
      <c r="N13" s="156">
        <f>'Short-sea (Hydrogen)'!B295</f>
        <v>1.2272875676237464E-2</v>
      </c>
      <c r="O13" s="156">
        <f>'Short-sea (Ammonia)'!B295</f>
        <v>1.1281068013309969E-2</v>
      </c>
      <c r="P13" s="156">
        <f>'Short-sea (Methanol)'!B295</f>
        <v>2.4929435480202329E-2</v>
      </c>
      <c r="Q13" s="156">
        <f>'Short-sea (HFO)'!B404</f>
        <v>1.7783083301043669E-3</v>
      </c>
      <c r="R13" s="156">
        <f>'Short-sea (MGO)'!B404</f>
        <v>3.9670353002494918E-3</v>
      </c>
      <c r="S13" s="156">
        <f>'Short-sea (Hydrogen)'!B404</f>
        <v>1.2272875676237464E-2</v>
      </c>
      <c r="T13" s="156">
        <f>'Short-sea (Ammonia)'!B404</f>
        <v>1.1281068013309969E-2</v>
      </c>
      <c r="U13" s="156">
        <f>'Short-sea (Methanol)'!B404</f>
        <v>2.4929435480202329E-2</v>
      </c>
      <c r="V13" s="156">
        <f>'Railway (Diesel)'!B81</f>
        <v>1.9863208475390157E-3</v>
      </c>
      <c r="W13" s="156">
        <f>'Railway (Catenary)'!B81</f>
        <v>1.3290239431595586E-3</v>
      </c>
      <c r="X13" s="156">
        <f>'Railway (Battery)'!B81</f>
        <v>1.4120879396070311E-3</v>
      </c>
      <c r="Y13" s="156">
        <f>'Railway (Hydrogen)'!B81</f>
        <v>4.2873120819145651E-3</v>
      </c>
      <c r="Z13" s="156">
        <f>'Railway (Diesel)'!B187</f>
        <v>1.9863208475390157E-3</v>
      </c>
      <c r="AA13" s="156">
        <f>'Railway (Catenary)'!B187</f>
        <v>1.3290239431595586E-3</v>
      </c>
      <c r="AB13" s="156">
        <f>'Railway (Battery)'!B187</f>
        <v>1.4120879396070311E-3</v>
      </c>
      <c r="AC13" s="156">
        <f>'Railway (Hydrogen)'!B187</f>
        <v>4.2873120819145651E-3</v>
      </c>
      <c r="AD13" s="156">
        <f>'Railway (Diesel)'!B295</f>
        <v>1.9863208475390157E-3</v>
      </c>
      <c r="AE13" s="156">
        <f>'Railway (Catenary)'!B295</f>
        <v>1.3290239431595586E-3</v>
      </c>
      <c r="AF13" s="156">
        <f>'Railway (Battery)'!B295</f>
        <v>1.4120879396070311E-3</v>
      </c>
      <c r="AG13" s="156">
        <f>'Railway (Hydrogen)'!B295</f>
        <v>4.2873120819145651E-3</v>
      </c>
      <c r="AH13" s="156">
        <f>'Railway (Diesel)'!B404</f>
        <v>1.9863208475390157E-3</v>
      </c>
      <c r="AI13" s="156">
        <f>'Railway (Catenary)'!B404</f>
        <v>1.3290239431595586E-3</v>
      </c>
      <c r="AJ13" s="156">
        <f>'Railway (Battery)'!B404</f>
        <v>1.4120879396070311E-3</v>
      </c>
      <c r="AK13" s="156">
        <f>'Railway (Hydrogen)'!B404</f>
        <v>4.2873120819145651E-3</v>
      </c>
      <c r="AL13" s="156">
        <f>'Railway (Diesel)'!B509</f>
        <v>1.5890566780312125E-3</v>
      </c>
      <c r="AM13" s="156">
        <f>'Railway (Catenary)'!B509</f>
        <v>1.063219154527647E-3</v>
      </c>
      <c r="AN13" s="156">
        <f>'Railway (Battery)'!B509</f>
        <v>1.1296703516856248E-3</v>
      </c>
      <c r="AO13" s="156">
        <f>'Railway (Hydrogen)'!B509</f>
        <v>3.4298496655316519E-3</v>
      </c>
      <c r="AP13" s="156">
        <f>'Semi-trailer truck (Diesel)'!B81</f>
        <v>6.7070446072256132E-3</v>
      </c>
      <c r="AQ13" s="156">
        <f>'Semi-trailer truck (Battery)'!B81</f>
        <v>5.6498629919985045E-3</v>
      </c>
      <c r="AR13" s="156">
        <f>'Semi-trailer truck (Hydrogen)'!B81</f>
        <v>1.9709416352132133E-2</v>
      </c>
      <c r="AS13" s="156">
        <f>'Semi-trailer truck (Diesel)'!B187</f>
        <v>6.7070446072256132E-3</v>
      </c>
      <c r="AT13" s="156">
        <f>'Semi-trailer truck (Battery)'!B187</f>
        <v>5.6498629919985045E-3</v>
      </c>
      <c r="AU13" s="156">
        <f>'Semi-trailer truck (Hydrogen)'!B187</f>
        <v>1.9709416352132133E-2</v>
      </c>
      <c r="AV13" s="156">
        <f>'Semi-trailer truck (Diesel)'!B295</f>
        <v>6.7070446072256132E-3</v>
      </c>
      <c r="AW13" s="156">
        <f>'Semi-trailer truck (Battery)'!B295</f>
        <v>5.6498629919985045E-3</v>
      </c>
      <c r="AX13" s="156">
        <f>'Semi-trailer truck (Hydrogen)'!B295</f>
        <v>1.9709416352132133E-2</v>
      </c>
      <c r="AY13" s="156">
        <f>'Semi-trailer truck (Diesel)'!B404</f>
        <v>6.7070446072256132E-3</v>
      </c>
      <c r="AZ13" s="156">
        <f>'Semi-trailer truck (Battery)'!B404</f>
        <v>5.6498629919985045E-3</v>
      </c>
      <c r="BA13" s="156">
        <f>'Semi-trailer truck (Hydrogen)'!B404</f>
        <v>1.9709416352132133E-2</v>
      </c>
      <c r="BB13" s="156">
        <f>'Semi-trailer truck (Diesel)'!B509</f>
        <v>6.7070446072256132E-3</v>
      </c>
      <c r="BC13" s="156">
        <f>'Semi-trailer truck (Battery)'!B509</f>
        <v>5.6498629919985045E-3</v>
      </c>
      <c r="BD13" s="156">
        <f>'Semi-trailer truck (Hydrogen)'!B509</f>
        <v>1.9709416352132133E-2</v>
      </c>
      <c r="BE13" s="157">
        <f>'Short-sea (HFO)'!M81</f>
        <v>8.3893771583125115E-4</v>
      </c>
      <c r="BF13" s="156">
        <f>'Short-sea (MGO)'!M81</f>
        <v>1.8714952165904367E-3</v>
      </c>
      <c r="BG13" s="156">
        <f>'Short-sea (Hydrogen)'!M81</f>
        <v>1.0358284649412651E-2</v>
      </c>
      <c r="BH13" s="156">
        <f>'Short-sea (Ammonia)'!M81</f>
        <v>1.0257993776547255E-2</v>
      </c>
      <c r="BI13" s="156">
        <f>'Short-sea (Methanol)'!M81</f>
        <v>1.6567975451505536E-2</v>
      </c>
      <c r="BJ13" s="154">
        <f>'Short-sea (HFO)'!M187</f>
        <v>8.3893771583125115E-4</v>
      </c>
      <c r="BK13" s="156">
        <f>'Short-sea (MGO)'!M187</f>
        <v>1.8714952165904367E-3</v>
      </c>
      <c r="BL13" s="156">
        <f>'Short-sea (Hydrogen)'!M187</f>
        <v>1.0358284649412651E-2</v>
      </c>
      <c r="BM13" s="156">
        <f>'Short-sea (Ammonia)'!M187</f>
        <v>1.0257993776547255E-2</v>
      </c>
      <c r="BN13" s="156">
        <f>'Short-sea (Methanol)'!M187</f>
        <v>1.6567975451505536E-2</v>
      </c>
      <c r="BO13" s="156">
        <f>'Short-sea (HFO)'!M295</f>
        <v>8.3893771583125115E-4</v>
      </c>
      <c r="BP13" s="156">
        <f>'Short-sea (MGO)'!M295</f>
        <v>1.8714952165904367E-3</v>
      </c>
      <c r="BQ13" s="156">
        <f>'Short-sea (Hydrogen)'!M295</f>
        <v>1.0358284649412651E-2</v>
      </c>
      <c r="BR13" s="156">
        <f>'Short-sea (Ammonia)'!M295</f>
        <v>1.0257993776547255E-2</v>
      </c>
      <c r="BS13" s="156">
        <f>'Short-sea (Methanol)'!M295</f>
        <v>1.6567975451505536E-2</v>
      </c>
      <c r="BT13" s="156">
        <f>'Short-sea (HFO)'!M404</f>
        <v>8.3893771583125115E-4</v>
      </c>
      <c r="BU13" s="156">
        <f>'Short-sea (MGO)'!M404</f>
        <v>1.8714952165904367E-3</v>
      </c>
      <c r="BV13" s="156">
        <f>'Short-sea (Hydrogen)'!M404</f>
        <v>1.0358284649412651E-2</v>
      </c>
      <c r="BW13" s="156">
        <f>'Short-sea (Ammonia)'!M404</f>
        <v>1.0257993776547255E-2</v>
      </c>
      <c r="BX13" s="156">
        <f>'Short-sea (Methanol)'!M404</f>
        <v>1.6567975451505536E-2</v>
      </c>
      <c r="BY13" s="156">
        <f>'Railway (Diesel)'!M81</f>
        <v>9.4423626496312793E-4</v>
      </c>
      <c r="BZ13" s="156">
        <f>'Railway (Catenary)'!M81</f>
        <v>1.4325231484959115E-3</v>
      </c>
      <c r="CA13" s="156">
        <f>'Railway (Battery)'!M81</f>
        <v>1.522055845276906E-3</v>
      </c>
      <c r="CB13" s="156">
        <f>'Railway (Hydrogen)'!M81</f>
        <v>3.4230929504727972E-3</v>
      </c>
      <c r="CC13" s="156">
        <f>'Railway (Diesel)'!M187</f>
        <v>9.4423626496312793E-4</v>
      </c>
      <c r="CD13" s="156">
        <f>'Railway (Catenary)'!M187</f>
        <v>1.4325231484959115E-3</v>
      </c>
      <c r="CE13" s="156">
        <f>'Railway (Battery)'!M187</f>
        <v>1.522055845276906E-3</v>
      </c>
      <c r="CF13" s="156">
        <f>'Railway (Hydrogen)'!M187</f>
        <v>3.4230929504727972E-3</v>
      </c>
      <c r="CG13" s="156">
        <f>'Railway (Diesel)'!M295</f>
        <v>9.4423626496312793E-4</v>
      </c>
      <c r="CH13" s="156">
        <f>'Railway (Catenary)'!M295</f>
        <v>1.4325231484959115E-3</v>
      </c>
      <c r="CI13" s="156">
        <f>'Railway (Battery)'!M295</f>
        <v>1.522055845276906E-3</v>
      </c>
      <c r="CJ13" s="156">
        <f>'Railway (Hydrogen)'!M295</f>
        <v>3.4230929504727972E-3</v>
      </c>
      <c r="CK13" s="156">
        <f>'Railway (Diesel)'!M404</f>
        <v>9.4423626496312793E-4</v>
      </c>
      <c r="CL13" s="156">
        <f>'Railway (Catenary)'!M404</f>
        <v>1.4325231484959115E-3</v>
      </c>
      <c r="CM13" s="156">
        <f>'Railway (Battery)'!M404</f>
        <v>1.522055845276906E-3</v>
      </c>
      <c r="CN13" s="156">
        <f>'Railway (Hydrogen)'!M404</f>
        <v>3.4230929504727972E-3</v>
      </c>
      <c r="CO13" s="156">
        <f>'Railway (Diesel)'!M509</f>
        <v>7.5538901197050236E-4</v>
      </c>
      <c r="CP13" s="156">
        <f>'Railway (Catenary)'!M509</f>
        <v>1.1460185187967293E-3</v>
      </c>
      <c r="CQ13" s="156">
        <f>'Railway (Battery)'!M509</f>
        <v>1.2176446762215247E-3</v>
      </c>
      <c r="CR13" s="156">
        <f>'Railway (Hydrogen)'!M509</f>
        <v>2.7384743603782375E-3</v>
      </c>
      <c r="CS13" s="156">
        <f>'Semi-trailer truck (Diesel)'!M81</f>
        <v>2.9533510719556709E-3</v>
      </c>
      <c r="CT13" s="156">
        <f>'Semi-trailer truck (Battery)'!M81</f>
        <v>5.5719568088488311E-3</v>
      </c>
      <c r="CU13" s="156">
        <f>'Semi-trailer truck (Hydrogen)'!M81</f>
        <v>1.3466646239242928E-2</v>
      </c>
      <c r="CV13" s="156">
        <f>'Semi-trailer truck (Diesel)'!M187</f>
        <v>2.9533510719556709E-3</v>
      </c>
      <c r="CW13" s="156">
        <f>'Semi-trailer truck (Battery)'!M187</f>
        <v>4.985922725015586E-3</v>
      </c>
      <c r="CX13" s="156">
        <f>'Semi-trailer truck (Hydrogen)'!M187</f>
        <v>1.3466646239242928E-2</v>
      </c>
      <c r="CY13" s="156">
        <f>'Semi-trailer truck (Diesel)'!M295</f>
        <v>2.9533510719556709E-3</v>
      </c>
      <c r="CZ13" s="156">
        <f>'Semi-trailer truck (Battery)'!M295</f>
        <v>4.985922725015586E-3</v>
      </c>
      <c r="DA13" s="156">
        <f>'Semi-trailer truck (Hydrogen)'!M295</f>
        <v>1.3466646239242928E-2</v>
      </c>
      <c r="DB13" s="156">
        <f>'Semi-trailer truck (Diesel)'!M404</f>
        <v>2.9533510719556709E-3</v>
      </c>
      <c r="DC13" s="156">
        <f>'Semi-trailer truck (Battery)'!M404</f>
        <v>4.9859227250155852E-3</v>
      </c>
      <c r="DD13" s="156">
        <f>'Semi-trailer truck (Hydrogen)'!M404</f>
        <v>1.3466646239242928E-2</v>
      </c>
      <c r="DE13" s="156">
        <f>'Semi-trailer truck (Diesel)'!M509</f>
        <v>2.9533510719556709E-3</v>
      </c>
      <c r="DF13" s="156">
        <f>'Semi-trailer truck (Battery)'!M509</f>
        <v>4.985922725015586E-3</v>
      </c>
      <c r="DG13" s="156">
        <f>'Semi-trailer truck (Hydrogen)'!M509</f>
        <v>1.3466646239242928E-2</v>
      </c>
      <c r="DH13" s="157">
        <f>'Short-sea (HFO)'!AC81</f>
        <v>5.0846159148288761E-4</v>
      </c>
      <c r="DI13" s="156">
        <f>'Short-sea (MGO)'!AC81</f>
        <v>1.1342718515609E-3</v>
      </c>
      <c r="DJ13" s="156">
        <f>'Short-sea (Hydrogen)'!AC81</f>
        <v>6.5156977611726787E-3</v>
      </c>
      <c r="DK13" s="156">
        <f>'Short-sea (Ammonia)'!AC81</f>
        <v>6.8423242323661987E-3</v>
      </c>
      <c r="DL13" s="156">
        <f>'Short-sea (Methanol)'!AC81</f>
        <v>9.7494494830798577E-3</v>
      </c>
      <c r="DM13" s="154">
        <f>'Short-sea (HFO)'!AC187</f>
        <v>5.0846159148288761E-4</v>
      </c>
      <c r="DN13" s="156">
        <f>'Short-sea (MGO)'!AC187</f>
        <v>1.1342718515609E-3</v>
      </c>
      <c r="DO13" s="156">
        <f>'Short-sea (Hydrogen)'!AC187</f>
        <v>6.5156977611726787E-3</v>
      </c>
      <c r="DP13" s="156">
        <f>'Short-sea (Ammonia)'!AC187</f>
        <v>6.8423242323661987E-3</v>
      </c>
      <c r="DQ13" s="156">
        <f>'Short-sea (Methanol)'!AC187</f>
        <v>9.7494494830798577E-3</v>
      </c>
      <c r="DR13" s="156">
        <f>'Short-sea (HFO)'!AC295</f>
        <v>5.0846159148288761E-4</v>
      </c>
      <c r="DS13" s="156">
        <f>'Short-sea (MGO)'!AC295</f>
        <v>1.1342718515609E-3</v>
      </c>
      <c r="DT13" s="156">
        <f>'Short-sea (Hydrogen)'!AC295</f>
        <v>6.5156977611726787E-3</v>
      </c>
      <c r="DU13" s="156">
        <f>'Short-sea (Ammonia)'!AC295</f>
        <v>6.8423242323661987E-3</v>
      </c>
      <c r="DV13" s="156">
        <f>'Short-sea (Methanol)'!AC295</f>
        <v>9.7494494830798577E-3</v>
      </c>
      <c r="DW13" s="156">
        <f>'Short-sea (HFO)'!AC404</f>
        <v>5.0846159148288761E-4</v>
      </c>
      <c r="DX13" s="156">
        <f>'Short-sea (MGO)'!AC404</f>
        <v>1.1342718515609E-3</v>
      </c>
      <c r="DY13" s="156">
        <f>'Short-sea (Hydrogen)'!AC404</f>
        <v>6.5156977611726787E-3</v>
      </c>
      <c r="DZ13" s="156">
        <f>'Short-sea (Ammonia)'!AC404</f>
        <v>6.8423242323661987E-3</v>
      </c>
      <c r="EA13" s="156">
        <f>'Short-sea (Methanol)'!AC404</f>
        <v>9.7494494830798577E-3</v>
      </c>
      <c r="EB13" s="156">
        <f>'Railway (Diesel)'!AC81</f>
        <v>6.1155198507974618E-4</v>
      </c>
      <c r="EC13" s="156">
        <f>'Railway (Catenary)'!AC81</f>
        <v>1.2466950298238237E-3</v>
      </c>
      <c r="ED13" s="156">
        <f>'Railway (Battery)'!AC81</f>
        <v>1.3246134691878124E-3</v>
      </c>
      <c r="EE13" s="156">
        <f>'Railway (Hydrogen)'!AC81</f>
        <v>2.1857187249993688E-3</v>
      </c>
      <c r="EF13" s="156">
        <f>'Railway (Diesel)'!AC187</f>
        <v>6.1155198507974618E-4</v>
      </c>
      <c r="EG13" s="156">
        <f>'Railway (Catenary)'!AC187</f>
        <v>1.2466950298238237E-3</v>
      </c>
      <c r="EH13" s="156">
        <f>'Railway (Battery)'!AC187</f>
        <v>1.3246134691878124E-3</v>
      </c>
      <c r="EI13" s="156">
        <f>'Railway (Hydrogen)'!AC187</f>
        <v>2.1857187249993688E-3</v>
      </c>
      <c r="EJ13" s="156">
        <f>'Railway (Diesel)'!AC295</f>
        <v>6.1155198507974618E-4</v>
      </c>
      <c r="EK13" s="156">
        <f>'Railway (Catenary)'!AC295</f>
        <v>1.2466950298238237E-3</v>
      </c>
      <c r="EL13" s="156">
        <f>'Railway (Battery)'!AC295</f>
        <v>1.3246134691878124E-3</v>
      </c>
      <c r="EM13" s="156">
        <f>'Railway (Hydrogen)'!AC295</f>
        <v>2.1857187249993688E-3</v>
      </c>
      <c r="EN13" s="156">
        <f>'Railway (Diesel)'!AC404</f>
        <v>6.1155198507974618E-4</v>
      </c>
      <c r="EO13" s="156">
        <f>'Railway (Catenary)'!AC404</f>
        <v>1.2466950298238237E-3</v>
      </c>
      <c r="EP13" s="156">
        <f>'Railway (Battery)'!AC404</f>
        <v>1.3246134691878124E-3</v>
      </c>
      <c r="EQ13" s="156">
        <f>'Railway (Hydrogen)'!AC404</f>
        <v>2.1857187249993688E-3</v>
      </c>
      <c r="ER13" s="156">
        <f>'Railway (Diesel)'!AC509</f>
        <v>4.8924158806379694E-4</v>
      </c>
      <c r="ES13" s="156">
        <f>'Railway (Catenary)'!AC509</f>
        <v>9.9735602385905885E-4</v>
      </c>
      <c r="ET13" s="156">
        <f>'Railway (Battery)'!AC509</f>
        <v>1.05969077535025E-3</v>
      </c>
      <c r="EU13" s="156">
        <f>'Railway (Hydrogen)'!AC509</f>
        <v>1.7485749799994951E-3</v>
      </c>
      <c r="EV13" s="156">
        <f>'Semi-trailer truck (Diesel)'!AC81</f>
        <v>1.7136393401738417E-3</v>
      </c>
      <c r="EW13" s="156">
        <f>'Semi-trailer truck (Battery)'!AC81</f>
        <v>4.0342174151229478E-3</v>
      </c>
      <c r="EX13" s="156">
        <f>'Semi-trailer truck (Hydrogen)'!AC81</f>
        <v>8.478341840292853E-3</v>
      </c>
      <c r="EY13" s="156">
        <f>'Semi-trailer truck (Diesel)'!AC187</f>
        <v>1.7136393401738417E-3</v>
      </c>
      <c r="EZ13" s="156">
        <f>'Semi-trailer truck (Battery)'!AC187</f>
        <v>4.06392166231242E-3</v>
      </c>
      <c r="FA13" s="156">
        <f>'Semi-trailer truck (Hydrogen)'!AC187</f>
        <v>8.478341840292853E-3</v>
      </c>
      <c r="FB13" s="156">
        <f>'Semi-trailer truck (Diesel)'!AC295</f>
        <v>1.7136393401738417E-3</v>
      </c>
      <c r="FC13" s="156">
        <f>'Semi-trailer truck (Battery)'!AC295</f>
        <v>4.06392166231242E-3</v>
      </c>
      <c r="FD13" s="156">
        <f>'Semi-trailer truck (Hydrogen)'!AC295</f>
        <v>8.478341840292853E-3</v>
      </c>
      <c r="FE13" s="156">
        <f>'Semi-trailer truck (Diesel)'!AC404</f>
        <v>1.7136393401738417E-3</v>
      </c>
      <c r="FF13" s="156">
        <f>'Semi-trailer truck (Battery)'!AC404</f>
        <v>4.06392166231242E-3</v>
      </c>
      <c r="FG13" s="156">
        <f>'Semi-trailer truck (Hydrogen)'!AC404</f>
        <v>8.478341840292853E-3</v>
      </c>
      <c r="FH13" s="156">
        <f>'Semi-trailer truck (Diesel)'!AC509</f>
        <v>1.7136393401738417E-3</v>
      </c>
      <c r="FI13" s="156">
        <f>'Semi-trailer truck (Battery)'!AC509</f>
        <v>4.0639216623124209E-3</v>
      </c>
      <c r="FJ13" s="156">
        <f>'Semi-trailer truck (Hydrogen)'!AC509</f>
        <v>8.4783418402928547E-3</v>
      </c>
      <c r="FK13" s="156"/>
      <c r="FL13" s="156"/>
      <c r="FM13" s="156"/>
      <c r="FN13" s="156"/>
      <c r="FP13" s="156"/>
      <c r="FQ13" s="156"/>
      <c r="FR13" s="156"/>
    </row>
    <row r="14" spans="1:174" x14ac:dyDescent="0.25">
      <c r="A14" s="154" t="s">
        <v>179</v>
      </c>
      <c r="B14" s="157">
        <f>'Short-sea (HFO)'!B82</f>
        <v>2.0569799349757336E-3</v>
      </c>
      <c r="C14" s="156">
        <f>'Short-sea (MGO)'!B82</f>
        <v>3.0869690973969691E-3</v>
      </c>
      <c r="D14" s="156">
        <f>'Short-sea (Hydrogen)'!B82</f>
        <v>7.4197014833875218E-3</v>
      </c>
      <c r="E14" s="156">
        <f>'Short-sea (Ammonia)'!B82</f>
        <v>6.9528722157986764E-3</v>
      </c>
      <c r="F14" s="156">
        <f>'Short-sea (Methanol)'!B82</f>
        <v>1.3114340768592438E-2</v>
      </c>
      <c r="G14" s="154">
        <f>'Short-sea (HFO)'!B188</f>
        <v>3.5451549468971432E-3</v>
      </c>
      <c r="H14" s="156">
        <f>'Short-sea (MGO)'!B188</f>
        <v>5.1739750177028166E-3</v>
      </c>
      <c r="I14" s="156">
        <f>'Short-sea (Hydrogen)'!B188</f>
        <v>1.2025737860664625E-2</v>
      </c>
      <c r="J14" s="156">
        <f>'Short-sea (Ammonia)'!B188</f>
        <v>1.1287496228198541E-2</v>
      </c>
      <c r="K14" s="156">
        <f>'Short-sea (Methanol)'!B188</f>
        <v>2.1031213939593334E-2</v>
      </c>
      <c r="L14" s="156">
        <f>'Short-sea (HFO)'!B296</f>
        <v>4.0316221878138464E-3</v>
      </c>
      <c r="M14" s="156">
        <f>'Short-sea (MGO)'!B296</f>
        <v>6.0519855448708856E-3</v>
      </c>
      <c r="N14" s="156">
        <f>'Short-sea (Hydrogen)'!B296</f>
        <v>1.4550806763544664E-2</v>
      </c>
      <c r="O14" s="156">
        <f>'Short-sea (Ammonia)'!B296</f>
        <v>1.3635103200197313E-2</v>
      </c>
      <c r="P14" s="156">
        <f>'Short-sea (Methanol)'!B296</f>
        <v>2.5721060746062008E-2</v>
      </c>
      <c r="Q14" s="156">
        <f>'Short-sea (HFO)'!B405</f>
        <v>2.0553368016305871E-3</v>
      </c>
      <c r="R14" s="156">
        <f>'Short-sea (MGO)'!B405</f>
        <v>3.0853259640518226E-3</v>
      </c>
      <c r="S14" s="156">
        <f>'Short-sea (Hydrogen)'!B405</f>
        <v>7.4180583500423752E-3</v>
      </c>
      <c r="T14" s="156">
        <f>'Short-sea (Ammonia)'!B405</f>
        <v>6.9512290824535299E-3</v>
      </c>
      <c r="U14" s="156">
        <f>'Short-sea (Methanol)'!B405</f>
        <v>1.3112697635247292E-2</v>
      </c>
      <c r="V14" s="156">
        <f>'Railway (Diesel)'!B82</f>
        <v>5.3098305385236681E-3</v>
      </c>
      <c r="W14" s="156">
        <f>'Railway (Catenary)'!B82</f>
        <v>4.5331909329826905E-3</v>
      </c>
      <c r="X14" s="156">
        <f>'Railway (Battery)'!B82</f>
        <v>6.1224324961737259E-3</v>
      </c>
      <c r="Y14" s="156">
        <f>'Railway (Hydrogen)'!B82</f>
        <v>7.8707835286277034E-3</v>
      </c>
      <c r="Z14" s="156">
        <f>'Railway (Diesel)'!B188</f>
        <v>1.2774641951516773E-2</v>
      </c>
      <c r="AA14" s="156">
        <f>'Railway (Catenary)'!B188</f>
        <v>1.0919336227168881E-2</v>
      </c>
      <c r="AB14" s="156">
        <f>'Railway (Battery)'!B188</f>
        <v>1.4715857739236346E-2</v>
      </c>
      <c r="AC14" s="156">
        <f>'Railway (Hydrogen)'!B188</f>
        <v>1.8892474094543074E-2</v>
      </c>
      <c r="AD14" s="156">
        <f>'Railway (Diesel)'!B296</f>
        <v>1.2023226120295865E-2</v>
      </c>
      <c r="AE14" s="156">
        <f>'Railway (Catenary)'!B296</f>
        <v>1.0167920395947974E-2</v>
      </c>
      <c r="AF14" s="156">
        <f>'Railway (Battery)'!B296</f>
        <v>1.3964441908015442E-2</v>
      </c>
      <c r="AG14" s="156">
        <f>'Railway (Hydrogen)'!B296</f>
        <v>1.8141058263322171E-2</v>
      </c>
      <c r="AH14" s="156">
        <f>'Railway (Diesel)'!B405</f>
        <v>5.3244331059987254E-3</v>
      </c>
      <c r="AI14" s="156">
        <f>'Railway (Catenary)'!B405</f>
        <v>4.7874970824148422E-3</v>
      </c>
      <c r="AJ14" s="156">
        <f>'Railway (Battery)'!B405</f>
        <v>5.8862319902999987E-3</v>
      </c>
      <c r="AK14" s="156">
        <f>'Railway (Hydrogen)'!B405</f>
        <v>7.094968506564478E-3</v>
      </c>
      <c r="AL14" s="156">
        <f>'Railway (Diesel)'!B510</f>
        <v>1.436637360417075E-2</v>
      </c>
      <c r="AM14" s="156">
        <f>'Railway (Catenary)'!B510</f>
        <v>1.2234929353408296E-2</v>
      </c>
      <c r="AN14" s="156">
        <f>'Railway (Battery)'!B510</f>
        <v>1.6596514532388126E-2</v>
      </c>
      <c r="AO14" s="156">
        <f>'Railway (Hydrogen)'!B510</f>
        <v>2.1394766810345162E-2</v>
      </c>
      <c r="AP14" s="156">
        <f>'Semi-trailer truck (Diesel)'!B82</f>
        <v>7.1307176621036375E-2</v>
      </c>
      <c r="AQ14" s="156">
        <f>'Semi-trailer truck (Battery)'!B82</f>
        <v>9.0484330568541216E-2</v>
      </c>
      <c r="AR14" s="156">
        <f>'Semi-trailer truck (Hydrogen)'!B82</f>
        <v>0.1072551205491602</v>
      </c>
      <c r="AS14" s="156">
        <f>'Semi-trailer truck (Diesel)'!B188</f>
        <v>2.9343363622621049E-2</v>
      </c>
      <c r="AT14" s="156">
        <f>'Semi-trailer truck (Battery)'!B188</f>
        <v>3.591058071772936E-2</v>
      </c>
      <c r="AU14" s="156">
        <f>'Semi-trailer truck (Hydrogen)'!B188</f>
        <v>4.586801060469306E-2</v>
      </c>
      <c r="AV14" s="156">
        <f>'Semi-trailer truck (Diesel)'!B296</f>
        <v>3.2896210730224702E-2</v>
      </c>
      <c r="AW14" s="156">
        <f>'Semi-trailer truck (Battery)'!B296</f>
        <v>4.063880062077449E-2</v>
      </c>
      <c r="AX14" s="156">
        <f>'Semi-trailer truck (Hydrogen)'!B296</f>
        <v>5.1908170399832532E-2</v>
      </c>
      <c r="AY14" s="156">
        <f>'Semi-trailer truck (Diesel)'!B405</f>
        <v>4.2408575053991981E-2</v>
      </c>
      <c r="AZ14" s="156">
        <f>'Semi-trailer truck (Battery)'!B405</f>
        <v>5.3061998235730642E-2</v>
      </c>
      <c r="BA14" s="156">
        <f>'Semi-trailer truck (Hydrogen)'!B405</f>
        <v>6.5164123584634109E-2</v>
      </c>
      <c r="BB14" s="156">
        <f>'Semi-trailer truck (Diesel)'!B510</f>
        <v>3.3414262094814663E-2</v>
      </c>
      <c r="BC14" s="156">
        <f>'Semi-trailer truck (Battery)'!B510</f>
        <v>4.1573008468517095E-2</v>
      </c>
      <c r="BD14" s="156">
        <f>'Semi-trailer truck (Hydrogen)'!B510</f>
        <v>5.1985756382567139E-2</v>
      </c>
      <c r="BE14" s="157">
        <f>'Short-sea (HFO)'!M82</f>
        <v>1.6174664349952817E-3</v>
      </c>
      <c r="BF14" s="156">
        <f>'Short-sea (MGO)'!M82</f>
        <v>2.1033758471172516E-3</v>
      </c>
      <c r="BG14" s="156">
        <f>'Short-sea (Hydrogen)'!M82</f>
        <v>6.4815858794727982E-3</v>
      </c>
      <c r="BH14" s="156">
        <f>'Short-sea (Ammonia)'!M82</f>
        <v>6.4297160574348783E-3</v>
      </c>
      <c r="BI14" s="156">
        <f>'Short-sea (Methanol)'!M82</f>
        <v>9.1624962093665649E-3</v>
      </c>
      <c r="BJ14" s="154">
        <f>'Short-sea (HFO)'!M188</f>
        <v>2.8501103422768938E-3</v>
      </c>
      <c r="BK14" s="156">
        <f>'Short-sea (MGO)'!M188</f>
        <v>3.6185252265627981E-3</v>
      </c>
      <c r="BL14" s="156">
        <f>'Short-sea (Hydrogen)'!M188</f>
        <v>1.0542206207962267E-2</v>
      </c>
      <c r="BM14" s="156">
        <f>'Short-sea (Ammonia)'!M188</f>
        <v>1.0460179512646488E-2</v>
      </c>
      <c r="BN14" s="156">
        <f>'Short-sea (Methanol)'!M188</f>
        <v>1.4781785334305905E-2</v>
      </c>
      <c r="BO14" s="156">
        <f>'Short-sea (HFO)'!M296</f>
        <v>3.1694995532368067E-3</v>
      </c>
      <c r="BP14" s="156">
        <f>'Short-sea (MGO)'!M296</f>
        <v>4.1226295539375929E-3</v>
      </c>
      <c r="BQ14" s="156">
        <f>'Short-sea (Hydrogen)'!M296</f>
        <v>1.2710656925096552E-2</v>
      </c>
      <c r="BR14" s="156">
        <f>'Short-sea (Ammonia)'!M296</f>
        <v>1.2608912274176015E-2</v>
      </c>
      <c r="BS14" s="156">
        <f>'Short-sea (Methanol)'!M296</f>
        <v>1.796936564911894E-2</v>
      </c>
      <c r="BT14" s="156">
        <f>'Short-sea (HFO)'!M405</f>
        <v>1.6158233016501356E-3</v>
      </c>
      <c r="BU14" s="156">
        <f>'Short-sea (MGO)'!M405</f>
        <v>2.101732713772105E-3</v>
      </c>
      <c r="BV14" s="156">
        <f>'Short-sea (Hydrogen)'!M405</f>
        <v>6.4799427461276517E-3</v>
      </c>
      <c r="BW14" s="156">
        <f>'Short-sea (Ammonia)'!M405</f>
        <v>6.4280729240897318E-3</v>
      </c>
      <c r="BX14" s="156">
        <f>'Short-sea (Methanol)'!M405</f>
        <v>9.1608530760214184E-3</v>
      </c>
      <c r="BY14" s="156">
        <f>'Railway (Diesel)'!M82</f>
        <v>4.7419658327266575E-3</v>
      </c>
      <c r="BZ14" s="156">
        <f>'Railway (Catenary)'!M82</f>
        <v>4.5914092359843912E-3</v>
      </c>
      <c r="CA14" s="156">
        <f>'Railway (Battery)'!M82</f>
        <v>5.6727629725938505E-3</v>
      </c>
      <c r="CB14" s="156">
        <f>'Railway (Hydrogen)'!M82</f>
        <v>6.5616045778966701E-3</v>
      </c>
      <c r="CC14" s="156">
        <f>'Railway (Diesel)'!M188</f>
        <v>1.1418076265446135E-2</v>
      </c>
      <c r="CD14" s="156">
        <f>'Railway (Catenary)'!M188</f>
        <v>1.1058413284339607E-2</v>
      </c>
      <c r="CE14" s="156">
        <f>'Railway (Battery)'!M188</f>
        <v>1.364164721068443E-2</v>
      </c>
      <c r="CF14" s="156">
        <f>'Railway (Hydrogen)'!M188</f>
        <v>1.5764991045574495E-2</v>
      </c>
      <c r="CG14" s="156">
        <f>'Railway (Diesel)'!M296</f>
        <v>1.0666660434225223E-2</v>
      </c>
      <c r="CH14" s="156">
        <f>'Railway (Catenary)'!M296</f>
        <v>1.0306997453118697E-2</v>
      </c>
      <c r="CI14" s="156">
        <f>'Railway (Battery)'!M296</f>
        <v>1.2890231379463523E-2</v>
      </c>
      <c r="CJ14" s="156">
        <f>'Railway (Hydrogen)'!M296</f>
        <v>1.501357521435359E-2</v>
      </c>
      <c r="CK14" s="156">
        <f>'Railway (Diesel)'!M405</f>
        <v>4.9318352847069653E-3</v>
      </c>
      <c r="CL14" s="156">
        <f>'Railway (Catenary)'!M405</f>
        <v>4.8277467733789797E-3</v>
      </c>
      <c r="CM14" s="156">
        <f>'Railway (Battery)'!M405</f>
        <v>5.5753493567139139E-3</v>
      </c>
      <c r="CN14" s="156">
        <f>'Railway (Hydrogen)'!M405</f>
        <v>6.1898571332195639E-3</v>
      </c>
      <c r="CO14" s="156">
        <f>'Railway (Diesel)'!M510</f>
        <v>1.2807900467150062E-2</v>
      </c>
      <c r="CP14" s="156">
        <f>'Railway (Catenary)'!M510</f>
        <v>1.2394706251646289E-2</v>
      </c>
      <c r="CQ14" s="156">
        <f>'Railway (Battery)'!M510</f>
        <v>1.5362421506563365E-2</v>
      </c>
      <c r="CR14" s="156">
        <f>'Railway (Hydrogen)'!M510</f>
        <v>1.7801797912227767E-2</v>
      </c>
      <c r="CS14" s="156">
        <f>'Semi-trailer truck (Diesel)'!M82</f>
        <v>6.9103491380650001E-2</v>
      </c>
      <c r="CT14" s="156">
        <f>'Semi-trailer truck (Battery)'!M82</f>
        <v>7.4785156649354201E-2</v>
      </c>
      <c r="CU14" s="156">
        <f>'Semi-trailer truck (Hydrogen)'!M82</f>
        <v>8.5825240766145991E-2</v>
      </c>
      <c r="CV14" s="156">
        <f>'Semi-trailer truck (Diesel)'!M188</f>
        <v>2.7498818167278977E-2</v>
      </c>
      <c r="CW14" s="156">
        <f>'Semi-trailer truck (Battery)'!M188</f>
        <v>2.9939434767307871E-2</v>
      </c>
      <c r="CX14" s="156">
        <f>'Semi-trailer truck (Hydrogen)'!M188</f>
        <v>3.6441308633568564E-2</v>
      </c>
      <c r="CY14" s="156">
        <f>'Semi-trailer truck (Diesel)'!M296</f>
        <v>3.0843138957113776E-2</v>
      </c>
      <c r="CZ14" s="156">
        <f>'Semi-trailer truck (Battery)'!M296</f>
        <v>3.3647752834689841E-2</v>
      </c>
      <c r="DA14" s="156">
        <f>'Semi-trailer truck (Hydrogen)'!M296</f>
        <v>4.102728579875424E-2</v>
      </c>
      <c r="DB14" s="156">
        <f>'Semi-trailer truck (Diesel)'!M405</f>
        <v>4.0463983463688361E-2</v>
      </c>
      <c r="DC14" s="156">
        <f>'Semi-trailer truck (Battery)'!M405</f>
        <v>4.3795862344498407E-2</v>
      </c>
      <c r="DD14" s="156">
        <f>'Semi-trailer truck (Hydrogen)'!M405</f>
        <v>5.1879122574373285E-2</v>
      </c>
      <c r="DE14" s="156">
        <f>'Semi-trailer truck (Diesel)'!M510</f>
        <v>3.162902934130532E-2</v>
      </c>
      <c r="DF14" s="156">
        <f>'Semi-trailer truck (Battery)'!M510</f>
        <v>3.4357933729152593E-2</v>
      </c>
      <c r="DG14" s="156">
        <f>'Semi-trailer truck (Hydrogen)'!M510</f>
        <v>4.1244578015303915E-2</v>
      </c>
      <c r="DH14" s="157">
        <f>'Short-sea (HFO)'!AC82</f>
        <v>1.4833039920215956E-3</v>
      </c>
      <c r="DI14" s="156">
        <f>'Short-sea (MGO)'!AC82</f>
        <v>1.7778029379406598E-3</v>
      </c>
      <c r="DJ14" s="156">
        <f>'Short-sea (Hydrogen)'!AC82</f>
        <v>4.3615159921940021E-3</v>
      </c>
      <c r="DK14" s="156">
        <f>'Short-sea (Ammonia)'!AC82</f>
        <v>4.4721081299707692E-3</v>
      </c>
      <c r="DL14" s="156">
        <f>'Short-sea (Methanol)'!AC82</f>
        <v>5.8106946942033423E-3</v>
      </c>
      <c r="DM14" s="154">
        <f>'Short-sea (HFO)'!AC188</f>
        <v>2.6379464789696673E-3</v>
      </c>
      <c r="DN14" s="156">
        <f>'Short-sea (MGO)'!AC188</f>
        <v>3.1036657422835378E-3</v>
      </c>
      <c r="DO14" s="156">
        <f>'Short-sea (Hydrogen)'!AC188</f>
        <v>7.1895375490097519E-3</v>
      </c>
      <c r="DP14" s="156">
        <f>'Short-sea (Ammonia)'!AC188</f>
        <v>7.364427441307898E-3</v>
      </c>
      <c r="DQ14" s="156">
        <f>'Short-sea (Methanol)'!AC188</f>
        <v>9.4812620080012688E-3</v>
      </c>
      <c r="DR14" s="156">
        <f>'Short-sea (HFO)'!AC296</f>
        <v>2.9063347612499593E-3</v>
      </c>
      <c r="DS14" s="156">
        <f>'Short-sea (MGO)'!AC296</f>
        <v>3.4840057705527402E-3</v>
      </c>
      <c r="DT14" s="156">
        <f>'Short-sea (Hydrogen)'!AC296</f>
        <v>8.5520583000496773E-3</v>
      </c>
      <c r="DU14" s="156">
        <f>'Short-sea (Ammonia)'!AC296</f>
        <v>8.7689890318425716E-3</v>
      </c>
      <c r="DV14" s="156">
        <f>'Short-sea (Methanol)'!AC296</f>
        <v>1.1394678061683388E-2</v>
      </c>
      <c r="DW14" s="156">
        <f>'Short-sea (HFO)'!AC405</f>
        <v>1.4816608586764491E-3</v>
      </c>
      <c r="DX14" s="156">
        <f>'Short-sea (MGO)'!AC405</f>
        <v>1.7761598045955142E-3</v>
      </c>
      <c r="DY14" s="156">
        <f>'Short-sea (Hydrogen)'!AC405</f>
        <v>4.3598728588488539E-3</v>
      </c>
      <c r="DZ14" s="156">
        <f>'Short-sea (Ammonia)'!AC405</f>
        <v>4.4704649966256227E-3</v>
      </c>
      <c r="EA14" s="156">
        <f>'Short-sea (Methanol)'!AC405</f>
        <v>5.8090515608581975E-3</v>
      </c>
      <c r="EB14" s="156">
        <f>'Railway (Diesel)'!AC82</f>
        <v>4.5787890854017566E-3</v>
      </c>
      <c r="EC14" s="156">
        <f>'Railway (Catenary)'!AC82</f>
        <v>4.4868809192313425E-3</v>
      </c>
      <c r="ED14" s="156">
        <f>'Railway (Battery)'!AC82</f>
        <v>4.8923047150582002E-3</v>
      </c>
      <c r="EE14" s="156">
        <f>'Railway (Hydrogen)'!AC82</f>
        <v>4.7885093697076827E-3</v>
      </c>
      <c r="EF14" s="156">
        <f>'Railway (Diesel)'!AC188</f>
        <v>1.1028265146836648E-2</v>
      </c>
      <c r="EG14" s="156">
        <f>'Railway (Catenary)'!AC188</f>
        <v>1.0808706749873987E-2</v>
      </c>
      <c r="EH14" s="156">
        <f>'Railway (Battery)'!AC188</f>
        <v>1.1777219151015933E-2</v>
      </c>
      <c r="EI14" s="156">
        <f>'Railway (Hydrogen)'!AC188</f>
        <v>1.1529263603789693E-2</v>
      </c>
      <c r="EJ14" s="156">
        <f>'Railway (Diesel)'!AC296</f>
        <v>1.0276849315615739E-2</v>
      </c>
      <c r="EK14" s="156">
        <f>'Railway (Catenary)'!AC296</f>
        <v>1.0057290918653081E-2</v>
      </c>
      <c r="EL14" s="156">
        <f>'Railway (Battery)'!AC296</f>
        <v>1.1025803319795021E-2</v>
      </c>
      <c r="EM14" s="156">
        <f>'Railway (Hydrogen)'!AC296</f>
        <v>1.0777847772568783E-2</v>
      </c>
      <c r="EN14" s="156">
        <f>'Railway (Diesel)'!AC405</f>
        <v>4.8190217310008585E-3</v>
      </c>
      <c r="EO14" s="156">
        <f>'Railway (Catenary)'!AC405</f>
        <v>4.7554802827842781E-3</v>
      </c>
      <c r="EP14" s="156">
        <f>'Railway (Battery)'!AC405</f>
        <v>5.0357732774300081E-3</v>
      </c>
      <c r="EQ14" s="156">
        <f>'Railway (Hydrogen)'!AC405</f>
        <v>4.9640135324963142E-3</v>
      </c>
      <c r="ER14" s="156">
        <f>'Railway (Diesel)'!AC510</f>
        <v>1.2360070949491726E-2</v>
      </c>
      <c r="ES14" s="156">
        <f>'Railway (Catenary)'!AC510</f>
        <v>1.2107834093446252E-2</v>
      </c>
      <c r="ET14" s="156">
        <f>'Railway (Battery)'!AC510</f>
        <v>1.3220497177548854E-2</v>
      </c>
      <c r="EU14" s="156">
        <f>'Railway (Hydrogen)'!AC510</f>
        <v>1.2935636618642431E-2</v>
      </c>
      <c r="EV14" s="156">
        <f>'Semi-trailer truck (Diesel)'!AC82</f>
        <v>6.9105203232298421E-2</v>
      </c>
      <c r="EW14" s="156">
        <f>'Semi-trailer truck (Battery)'!AC82</f>
        <v>6.9097068904093562E-2</v>
      </c>
      <c r="EX14" s="156">
        <f>'Semi-trailer truck (Hydrogen)'!AC82</f>
        <v>7.5000109931099665E-2</v>
      </c>
      <c r="EY14" s="156">
        <f>'Semi-trailer truck (Diesel)'!AC188</f>
        <v>2.7150762007794038E-2</v>
      </c>
      <c r="EZ14" s="156">
        <f>'Semi-trailer truck (Battery)'!AC188</f>
        <v>2.7817221510662411E-2</v>
      </c>
      <c r="FA14" s="156">
        <f>'Semi-trailer truck (Hydrogen)'!AC188</f>
        <v>3.1163443233818866E-2</v>
      </c>
      <c r="FB14" s="156">
        <f>'Semi-trailer truck (Diesel)'!AC296</f>
        <v>3.0471688242364847E-2</v>
      </c>
      <c r="FC14" s="156">
        <f>'Semi-trailer truck (Battery)'!AC296</f>
        <v>3.1183649930793887E-2</v>
      </c>
      <c r="FD14" s="156">
        <f>'Semi-trailer truck (Hydrogen)'!AC296</f>
        <v>3.4980069034029261E-2</v>
      </c>
      <c r="FE14" s="156">
        <f>'Semi-trailer truck (Diesel)'!AC405</f>
        <v>4.0234492754030571E-2</v>
      </c>
      <c r="FF14" s="156">
        <f>'Semi-trailer truck (Battery)'!AC405</f>
        <v>4.0680006660629722E-2</v>
      </c>
      <c r="FG14" s="156">
        <f>'Semi-trailer truck (Hydrogen)'!AC405</f>
        <v>4.4827223290860529E-2</v>
      </c>
      <c r="FH14" s="156">
        <f>'Semi-trailer truck (Diesel)'!AC510</f>
        <v>3.1358591335074237E-2</v>
      </c>
      <c r="FI14" s="156">
        <f>'Semi-trailer truck (Battery)'!AC510</f>
        <v>3.1879367659423806E-2</v>
      </c>
      <c r="FJ14" s="156">
        <f>'Semi-trailer truck (Hydrogen)'!AC510</f>
        <v>3.5417391687700819E-2</v>
      </c>
      <c r="FK14" s="156"/>
      <c r="FL14" s="156"/>
      <c r="FM14" s="156"/>
      <c r="FN14" s="156"/>
      <c r="FP14" s="156"/>
      <c r="FQ14" s="156"/>
      <c r="FR14" s="156"/>
    </row>
    <row r="15" spans="1:174" x14ac:dyDescent="0.25">
      <c r="A15" s="154" t="s">
        <v>197</v>
      </c>
      <c r="B15" s="157">
        <f>'Short-sea (HFO)'!B83</f>
        <v>0</v>
      </c>
      <c r="C15" s="156">
        <f>'Short-sea (MGO)'!B83</f>
        <v>0</v>
      </c>
      <c r="D15" s="156">
        <f>'Short-sea (Hydrogen)'!B83</f>
        <v>1.7510189894861146E-3</v>
      </c>
      <c r="E15" s="156">
        <f>'Short-sea (Ammonia)'!B83</f>
        <v>1.2843864944512701E-3</v>
      </c>
      <c r="F15" s="156">
        <f>'Short-sea (Methanol)'!B83</f>
        <v>1.1611655888857896E-3</v>
      </c>
      <c r="G15" s="154">
        <f>'Short-sea (HFO)'!B189</f>
        <v>0</v>
      </c>
      <c r="H15" s="156">
        <f>'Short-sea (MGO)'!B189</f>
        <v>0</v>
      </c>
      <c r="I15" s="156">
        <f>'Short-sea (Hydrogen)'!B189</f>
        <v>1.7946332048243002E-3</v>
      </c>
      <c r="J15" s="156">
        <f>'Short-sea (Ammonia)'!B189</f>
        <v>1.3185258345998034E-3</v>
      </c>
      <c r="K15" s="156">
        <f>'Short-sea (Methanol)'!B189</f>
        <v>1.1775289054720209E-3</v>
      </c>
      <c r="L15" s="156">
        <f>'Short-sea (HFO)'!B297</f>
        <v>0</v>
      </c>
      <c r="M15" s="156">
        <f>'Short-sea (MGO)'!B297</f>
        <v>0</v>
      </c>
      <c r="N15" s="156">
        <f>'Short-sea (Hydrogen)'!B297</f>
        <v>1.7506312167844713E-3</v>
      </c>
      <c r="O15" s="156">
        <f>'Short-sea (Ammonia)'!B297</f>
        <v>1.284082962585361E-3</v>
      </c>
      <c r="P15" s="156">
        <f>'Short-sea (Methanol)'!B297</f>
        <v>1.1610201031208543E-3</v>
      </c>
      <c r="Q15" s="156">
        <f>'Short-sea (HFO)'!B406</f>
        <v>0</v>
      </c>
      <c r="R15" s="156">
        <f>'Short-sea (MGO)'!B406</f>
        <v>0</v>
      </c>
      <c r="S15" s="156">
        <f>'Short-sea (Hydrogen)'!B406</f>
        <v>1.7506312167844713E-3</v>
      </c>
      <c r="T15" s="156">
        <f>'Short-sea (Ammonia)'!B406</f>
        <v>1.284082962585361E-3</v>
      </c>
      <c r="U15" s="156">
        <f>'Short-sea (Methanol)'!B406</f>
        <v>1.1610201031208543E-3</v>
      </c>
      <c r="V15" s="156">
        <f>'Railway (Diesel)'!B83</f>
        <v>0</v>
      </c>
      <c r="W15" s="156">
        <f>'Railway (Catenary)'!B83</f>
        <v>0</v>
      </c>
      <c r="X15" s="156">
        <f>'Railway (Battery)'!B83</f>
        <v>4.0036420099615229E-4</v>
      </c>
      <c r="Y15" s="156">
        <f>'Railway (Hydrogen)'!B83</f>
        <v>2.5440916456170339E-4</v>
      </c>
      <c r="Z15" s="156">
        <f>'Railway (Diesel)'!B189</f>
        <v>0</v>
      </c>
      <c r="AA15" s="156">
        <f>'Railway (Catenary)'!B189</f>
        <v>0</v>
      </c>
      <c r="AB15" s="156">
        <f>'Railway (Battery)'!B189</f>
        <v>4.0282912452609815E-4</v>
      </c>
      <c r="AC15" s="156">
        <f>'Railway (Hydrogen)'!B189</f>
        <v>2.5562755645893408E-4</v>
      </c>
      <c r="AD15" s="156">
        <f>'Railway (Diesel)'!B297</f>
        <v>0</v>
      </c>
      <c r="AE15" s="156">
        <f>'Railway (Catenary)'!B297</f>
        <v>0</v>
      </c>
      <c r="AF15" s="156">
        <f>'Railway (Battery)'!B297</f>
        <v>3.8226000875932198E-4</v>
      </c>
      <c r="AG15" s="156">
        <f>'Railway (Hydrogen)'!B297</f>
        <v>2.4546040779125158E-4</v>
      </c>
      <c r="AH15" s="156">
        <f>'Railway (Diesel)'!B406</f>
        <v>0</v>
      </c>
      <c r="AI15" s="156">
        <f>'Railway (Catenary)'!B406</f>
        <v>0</v>
      </c>
      <c r="AJ15" s="156">
        <f>'Railway (Battery)'!B406</f>
        <v>5.5675688806499334E-4</v>
      </c>
      <c r="AK15" s="156">
        <f>'Railway (Hydrogen)'!B406</f>
        <v>3.3171281329392316E-4</v>
      </c>
      <c r="AL15" s="156">
        <f>'Railway (Diesel)'!B511</f>
        <v>0</v>
      </c>
      <c r="AM15" s="156">
        <f>'Railway (Catenary)'!B511</f>
        <v>0</v>
      </c>
      <c r="AN15" s="156">
        <f>'Railway (Battery)'!B511</f>
        <v>2.5124091616929127E-4</v>
      </c>
      <c r="AO15" s="156">
        <f>'Railway (Hydrogen)'!B511</f>
        <v>1.6068357400247577E-4</v>
      </c>
      <c r="AP15" s="156">
        <f>'Semi-trailer truck (Diesel)'!B83</f>
        <v>0</v>
      </c>
      <c r="AQ15" s="156">
        <f>'Semi-trailer truck (Battery)'!B83</f>
        <v>1.2701981899788134E-2</v>
      </c>
      <c r="AR15" s="156">
        <f>'Semi-trailer truck (Hydrogen)'!B83</f>
        <v>7.1246723029506909E-3</v>
      </c>
      <c r="AS15" s="156">
        <f>'Semi-trailer truck (Diesel)'!B189</f>
        <v>0</v>
      </c>
      <c r="AT15" s="156">
        <f>'Semi-trailer truck (Battery)'!B189</f>
        <v>7.0414591282912525E-3</v>
      </c>
      <c r="AU15" s="156">
        <f>'Semi-trailer truck (Hydrogen)'!B189</f>
        <v>4.2559732095678038E-3</v>
      </c>
      <c r="AV15" s="156">
        <f>'Semi-trailer truck (Diesel)'!B297</f>
        <v>0</v>
      </c>
      <c r="AW15" s="156">
        <f>'Semi-trailer truck (Battery)'!B297</f>
        <v>7.1098997496071709E-3</v>
      </c>
      <c r="AX15" s="156">
        <f>'Semi-trailer truck (Hydrogen)'!B297</f>
        <v>4.2974127049972416E-3</v>
      </c>
      <c r="AY15" s="156">
        <f>'Semi-trailer truck (Diesel)'!B406</f>
        <v>0</v>
      </c>
      <c r="AZ15" s="156">
        <f>'Semi-trailer truck (Battery)'!B406</f>
        <v>9.2833814533645614E-3</v>
      </c>
      <c r="BA15" s="156">
        <f>'Semi-trailer truck (Hydrogen)'!B406</f>
        <v>5.3948565408023091E-3</v>
      </c>
      <c r="BB15" s="156">
        <f>'Semi-trailer truck (Diesel)'!B511</f>
        <v>0</v>
      </c>
      <c r="BC15" s="156">
        <f>'Semi-trailer truck (Battery)'!B511</f>
        <v>8.1517656946896305E-3</v>
      </c>
      <c r="BD15" s="156">
        <f>'Semi-trailer truck (Hydrogen)'!B511</f>
        <v>4.8236229024654215E-3</v>
      </c>
      <c r="BE15" s="157">
        <f>'Short-sea (HFO)'!M83</f>
        <v>0</v>
      </c>
      <c r="BF15" s="156">
        <f>'Short-sea (MGO)'!M83</f>
        <v>0</v>
      </c>
      <c r="BG15" s="156">
        <f>'Short-sea (Hydrogen)'!M83</f>
        <v>1.494188510107259E-3</v>
      </c>
      <c r="BH15" s="156">
        <f>'Short-sea (Ammonia)'!M83</f>
        <v>1.1709026309665339E-3</v>
      </c>
      <c r="BI15" s="156">
        <f>'Short-sea (Methanol)'!M83</f>
        <v>8.1126268520433087E-4</v>
      </c>
      <c r="BJ15" s="154">
        <f>'Short-sea (HFO)'!M189</f>
        <v>0</v>
      </c>
      <c r="BK15" s="156">
        <f>'Short-sea (MGO)'!M189</f>
        <v>0</v>
      </c>
      <c r="BL15" s="156">
        <f>'Short-sea (Hydrogen)'!M189</f>
        <v>1.5367922527926223E-3</v>
      </c>
      <c r="BM15" s="156">
        <f>'Short-sea (Ammonia)'!M189</f>
        <v>1.2045578659817049E-3</v>
      </c>
      <c r="BN15" s="156">
        <f>'Short-sea (Methanol)'!M189</f>
        <v>8.276260017905622E-4</v>
      </c>
      <c r="BO15" s="156">
        <f>'Short-sea (HFO)'!M297</f>
        <v>0</v>
      </c>
      <c r="BP15" s="156">
        <f>'Short-sea (MGO)'!M297</f>
        <v>0</v>
      </c>
      <c r="BQ15" s="156">
        <f>'Short-sea (Hydrogen)'!M297</f>
        <v>1.4938097214881544E-3</v>
      </c>
      <c r="BR15" s="156">
        <f>'Short-sea (Ammonia)'!M297</f>
        <v>1.1706034032650803E-3</v>
      </c>
      <c r="BS15" s="156">
        <f>'Short-sea (Methanol)'!M297</f>
        <v>8.1111719943939564E-4</v>
      </c>
      <c r="BT15" s="156">
        <f>'Short-sea (HFO)'!M406</f>
        <v>0</v>
      </c>
      <c r="BU15" s="156">
        <f>'Short-sea (MGO)'!M406</f>
        <v>0</v>
      </c>
      <c r="BV15" s="156">
        <f>'Short-sea (Hydrogen)'!M406</f>
        <v>1.4938097214881544E-3</v>
      </c>
      <c r="BW15" s="156">
        <f>'Short-sea (Ammonia)'!M406</f>
        <v>1.1706034032650803E-3</v>
      </c>
      <c r="BX15" s="156">
        <f>'Short-sea (Methanol)'!M406</f>
        <v>8.1111719943939564E-4</v>
      </c>
      <c r="BY15" s="156">
        <f>'Railway (Diesel)'!M83</f>
        <v>0</v>
      </c>
      <c r="BZ15" s="156">
        <f>'Railway (Catenary)'!M83</f>
        <v>0</v>
      </c>
      <c r="CA15" s="156">
        <f>'Railway (Battery)'!M83</f>
        <v>2.8904864119112458E-4</v>
      </c>
      <c r="CB15" s="156">
        <f>'Railway (Hydrogen)'!M83</f>
        <v>2.1209226918453804E-4</v>
      </c>
      <c r="CC15" s="156">
        <f>'Railway (Diesel)'!M189</f>
        <v>0</v>
      </c>
      <c r="CD15" s="156">
        <f>'Railway (Catenary)'!M189</f>
        <v>0</v>
      </c>
      <c r="CE15" s="156">
        <f>'Railway (Battery)'!M189</f>
        <v>2.9096929243943234E-4</v>
      </c>
      <c r="CF15" s="156">
        <f>'Railway (Hydrogen)'!M189</f>
        <v>2.1331066108176873E-4</v>
      </c>
      <c r="CG15" s="156">
        <f>'Railway (Diesel)'!M297</f>
        <v>0</v>
      </c>
      <c r="CH15" s="156">
        <f>'Railway (Catenary)'!M297</f>
        <v>0</v>
      </c>
      <c r="CI15" s="156">
        <f>'Railway (Battery)'!M297</f>
        <v>2.7494198068144481E-4</v>
      </c>
      <c r="CJ15" s="156">
        <f>'Railway (Hydrogen)'!M297</f>
        <v>2.0314351241408624E-4</v>
      </c>
      <c r="CK15" s="156">
        <f>'Railway (Diesel)'!M406</f>
        <v>0</v>
      </c>
      <c r="CL15" s="156">
        <f>'Railway (Catenary)'!M406</f>
        <v>0</v>
      </c>
      <c r="CM15" s="156">
        <f>'Railway (Battery)'!M406</f>
        <v>4.1090873380485518E-4</v>
      </c>
      <c r="CN15" s="156">
        <f>'Railway (Hydrogen)'!M406</f>
        <v>2.8939591791675781E-4</v>
      </c>
      <c r="CO15" s="156">
        <f>'Railway (Diesel)'!M511</f>
        <v>0</v>
      </c>
      <c r="CP15" s="156">
        <f>'Railway (Catenary)'!M511</f>
        <v>0</v>
      </c>
      <c r="CQ15" s="156">
        <f>'Railway (Battery)'!M511</f>
        <v>1.8150103418036918E-4</v>
      </c>
      <c r="CR15" s="156">
        <f>'Railway (Hydrogen)'!M511</f>
        <v>1.3369888709529806E-4</v>
      </c>
      <c r="CS15" s="156">
        <f>'Semi-trailer truck (Diesel)'!M83</f>
        <v>0</v>
      </c>
      <c r="CT15" s="156">
        <f>'Semi-trailer truck (Battery)'!M83</f>
        <v>8.054003272115931E-3</v>
      </c>
      <c r="CU15" s="156">
        <f>'Semi-trailer truck (Hydrogen)'!M83</f>
        <v>4.1744594293029319E-3</v>
      </c>
      <c r="CV15" s="156">
        <f>'Semi-trailer truck (Diesel)'!M189</f>
        <v>0</v>
      </c>
      <c r="CW15" s="156">
        <f>'Semi-trailer truck (Battery)'!M189</f>
        <v>4.5038312884752088E-3</v>
      </c>
      <c r="CX15" s="156">
        <f>'Semi-trailer truck (Hydrogen)'!M189</f>
        <v>2.4758327376699363E-3</v>
      </c>
      <c r="CY15" s="156">
        <f>'Semi-trailer truck (Diesel)'!M297</f>
        <v>0</v>
      </c>
      <c r="CZ15" s="156">
        <f>'Semi-trailer truck (Battery)'!M297</f>
        <v>4.5162392669286788E-3</v>
      </c>
      <c r="DA15" s="156">
        <f>'Semi-trailer truck (Hydrogen)'!M297</f>
        <v>2.4870383616679564E-3</v>
      </c>
      <c r="DB15" s="156">
        <f>'Semi-trailer truck (Diesel)'!M406</f>
        <v>0</v>
      </c>
      <c r="DC15" s="156">
        <f>'Semi-trailer truck (Battery)'!M406</f>
        <v>5.8783299503231135E-3</v>
      </c>
      <c r="DD15" s="156">
        <f>'Semi-trailer truck (Hydrogen)'!M406</f>
        <v>3.1448672633386382E-3</v>
      </c>
      <c r="DE15" s="156">
        <f>'Semi-trailer truck (Diesel)'!M511</f>
        <v>0</v>
      </c>
      <c r="DF15" s="156">
        <f>'Semi-trailer truck (Battery)'!M511</f>
        <v>5.1685123029004132E-3</v>
      </c>
      <c r="DG15" s="156">
        <f>'Semi-trailer truck (Hydrogen)'!M511</f>
        <v>2.8021682077467025E-3</v>
      </c>
      <c r="DH15" s="157">
        <f>'Short-sea (HFO)'!AC83</f>
        <v>0</v>
      </c>
      <c r="DI15" s="156">
        <f>'Short-sea (MGO)'!AC83</f>
        <v>0</v>
      </c>
      <c r="DJ15" s="156">
        <f>'Short-sea (Hydrogen)'!AC83</f>
        <v>8.094818986598834E-4</v>
      </c>
      <c r="DK15" s="156">
        <f>'Short-sea (Ammonia)'!AC83</f>
        <v>7.1707742300858301E-4</v>
      </c>
      <c r="DL15" s="156">
        <f>'Short-sea (Methanol)'!AC83</f>
        <v>5.1448859271592019E-4</v>
      </c>
      <c r="DM15" s="154">
        <f>'Short-sea (HFO)'!AC189</f>
        <v>0</v>
      </c>
      <c r="DN15" s="156">
        <f>'Short-sea (MGO)'!AC189</f>
        <v>0</v>
      </c>
      <c r="DO15" s="156">
        <f>'Short-sea (Hydrogen)'!AC189</f>
        <v>8.4378183489417294E-4</v>
      </c>
      <c r="DP15" s="156">
        <f>'Short-sea (Ammonia)'!AC189</f>
        <v>7.4671054395598381E-4</v>
      </c>
      <c r="DQ15" s="156">
        <f>'Short-sea (Methanol)'!AC189</f>
        <v>5.3085190930215326E-4</v>
      </c>
      <c r="DR15" s="156">
        <f>'Short-sea (HFO)'!AC297</f>
        <v>0</v>
      </c>
      <c r="DS15" s="156">
        <f>'Short-sea (MGO)'!AC297</f>
        <v>0</v>
      </c>
      <c r="DT15" s="156">
        <f>'Short-sea (Hydrogen)'!AC297</f>
        <v>8.0917693893891272E-4</v>
      </c>
      <c r="DU15" s="156">
        <f>'Short-sea (Ammonia)'!AC297</f>
        <v>7.1681395580462486E-4</v>
      </c>
      <c r="DV15" s="156">
        <f>'Short-sea (Methanol)'!AC297</f>
        <v>5.143431069509867E-4</v>
      </c>
      <c r="DW15" s="156">
        <f>'Short-sea (HFO)'!AC406</f>
        <v>0</v>
      </c>
      <c r="DX15" s="156">
        <f>'Short-sea (MGO)'!AC406</f>
        <v>0</v>
      </c>
      <c r="DY15" s="156">
        <f>'Short-sea (Hydrogen)'!AC406</f>
        <v>8.0917693893891272E-4</v>
      </c>
      <c r="DZ15" s="156">
        <f>'Short-sea (Ammonia)'!AC406</f>
        <v>7.1681395580462486E-4</v>
      </c>
      <c r="EA15" s="156">
        <f>'Short-sea (Methanol)'!AC406</f>
        <v>5.143431069509867E-4</v>
      </c>
      <c r="EB15" s="156">
        <f>'Railway (Diesel)'!AC83</f>
        <v>0</v>
      </c>
      <c r="EC15" s="156">
        <f>'Railway (Catenary)'!AC83</f>
        <v>0</v>
      </c>
      <c r="ED15" s="156">
        <f>'Railway (Battery)'!AC83</f>
        <v>1.58493466725005E-4</v>
      </c>
      <c r="EE15" s="156">
        <f>'Railway (Hydrogen)'!AC83</f>
        <v>1.5478010083903697E-4</v>
      </c>
      <c r="EF15" s="156">
        <f>'Railway (Diesel)'!AC189</f>
        <v>0</v>
      </c>
      <c r="EG15" s="156">
        <f>'Railway (Catenary)'!AC189</f>
        <v>0</v>
      </c>
      <c r="EH15" s="156">
        <f>'Railway (Battery)'!AC189</f>
        <v>1.5971461973468201E-4</v>
      </c>
      <c r="EI15" s="156">
        <f>'Railway (Hydrogen)'!AC189</f>
        <v>1.5599849273626766E-4</v>
      </c>
      <c r="EJ15" s="156">
        <f>'Railway (Diesel)'!AC297</f>
        <v>0</v>
      </c>
      <c r="EK15" s="156">
        <f>'Railway (Catenary)'!AC297</f>
        <v>0</v>
      </c>
      <c r="EL15" s="156">
        <f>'Railway (Battery)'!AC297</f>
        <v>1.4952443033536787E-4</v>
      </c>
      <c r="EM15" s="156">
        <f>'Railway (Hydrogen)'!AC297</f>
        <v>1.4583134406858343E-4</v>
      </c>
      <c r="EN15" s="156">
        <f>'Railway (Diesel)'!AC406</f>
        <v>0</v>
      </c>
      <c r="EO15" s="156">
        <f>'Railway (Catenary)'!AC406</f>
        <v>0</v>
      </c>
      <c r="EP15" s="156">
        <f>'Railway (Battery)'!AC406</f>
        <v>2.359723005246131E-4</v>
      </c>
      <c r="EQ15" s="156">
        <f>'Railway (Hydrogen)'!AC406</f>
        <v>2.3208374957125674E-4</v>
      </c>
      <c r="ER15" s="156">
        <f>'Railway (Diesel)'!AC511</f>
        <v>0</v>
      </c>
      <c r="ES15" s="156">
        <f>'Railway (Catenary)'!AC511</f>
        <v>0</v>
      </c>
      <c r="ET15" s="156">
        <f>'Railway (Battery)'!AC511</f>
        <v>9.9515614614340865E-5</v>
      </c>
      <c r="EU15" s="156">
        <f>'Railway (Hydrogen)'!AC511</f>
        <v>9.7151997135846296E-5</v>
      </c>
      <c r="EV15" s="156">
        <f>'Semi-trailer truck (Diesel)'!AC83</f>
        <v>0</v>
      </c>
      <c r="EW15" s="156">
        <f>'Semi-trailer truck (Battery)'!AC83</f>
        <v>4.6393566245115647E-3</v>
      </c>
      <c r="EX15" s="156">
        <f>'Semi-trailer truck (Hydrogen)'!AC83</f>
        <v>1.9546914718768515E-3</v>
      </c>
      <c r="EY15" s="156">
        <f>'Semi-trailer truck (Diesel)'!AC189</f>
        <v>0</v>
      </c>
      <c r="EZ15" s="156">
        <f>'Semi-trailer truck (Battery)'!AC189</f>
        <v>2.6088794044930377E-3</v>
      </c>
      <c r="FA15" s="156">
        <f>'Semi-trailer truck (Hydrogen)'!AC189</f>
        <v>1.1344983734424621E-3</v>
      </c>
      <c r="FB15" s="156">
        <f>'Semi-trailer truck (Diesel)'!AC297</f>
        <v>0</v>
      </c>
      <c r="FC15" s="156">
        <f>'Semi-trailer truck (Battery)'!AC297</f>
        <v>2.6094535011540812E-3</v>
      </c>
      <c r="FD15" s="156">
        <f>'Semi-trailer truck (Hydrogen)'!AC297</f>
        <v>1.1362174731464891E-3</v>
      </c>
      <c r="FE15" s="156">
        <f>'Semi-trailer truck (Diesel)'!AC406</f>
        <v>0</v>
      </c>
      <c r="FF15" s="156">
        <f>'Semi-trailer truck (Battery)'!AC406</f>
        <v>3.4041103604977863E-3</v>
      </c>
      <c r="FG15" s="156">
        <f>'Semi-trailer truck (Hydrogen)'!AC406</f>
        <v>1.4560712938035125E-3</v>
      </c>
      <c r="FH15" s="156">
        <f>'Semi-trailer truck (Diesel)'!AC511</f>
        <v>0</v>
      </c>
      <c r="FI15" s="156">
        <f>'Semi-trailer truck (Battery)'!AC511</f>
        <v>2.9898538099160307E-3</v>
      </c>
      <c r="FJ15" s="156">
        <f>'Semi-trailer truck (Hydrogen)'!AC511</f>
        <v>1.2893624417492644E-3</v>
      </c>
      <c r="FK15" s="156"/>
      <c r="FL15" s="156"/>
      <c r="FM15" s="156"/>
      <c r="FN15" s="156"/>
      <c r="FP15" s="156"/>
      <c r="FQ15" s="156"/>
      <c r="FR15" s="156"/>
    </row>
    <row r="16" spans="1:174" x14ac:dyDescent="0.25">
      <c r="A16" s="154" t="s">
        <v>458</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459</v>
      </c>
      <c r="B17" s="159">
        <f>SUM(B6:B16)</f>
        <v>6.4142656974671992E-3</v>
      </c>
      <c r="C17" s="159">
        <f t="shared" ref="C17:BN17" si="0">SUM(C6:C16)</f>
        <v>9.6329818300335598E-3</v>
      </c>
      <c r="D17" s="159">
        <f t="shared" si="0"/>
        <v>2.4923789525740158E-2</v>
      </c>
      <c r="E17" s="159">
        <f t="shared" si="0"/>
        <v>2.2998315569490169E-2</v>
      </c>
      <c r="F17" s="159">
        <f t="shared" si="0"/>
        <v>4.2129683891405201E-2</v>
      </c>
      <c r="G17" s="159">
        <f t="shared" si="0"/>
        <v>8.2399739101303247E-3</v>
      </c>
      <c r="H17" s="159">
        <f t="shared" si="0"/>
        <v>1.2057520951081122E-2</v>
      </c>
      <c r="I17" s="159">
        <f t="shared" si="0"/>
        <v>2.9910973319097162E-2</v>
      </c>
      <c r="J17" s="159">
        <f t="shared" si="0"/>
        <v>2.7704612122780282E-2</v>
      </c>
      <c r="K17" s="159">
        <f t="shared" si="0"/>
        <v>5.0400453579734043E-2</v>
      </c>
      <c r="L17" s="159">
        <f t="shared" si="0"/>
        <v>8.3854162919468761E-3</v>
      </c>
      <c r="M17" s="159">
        <f t="shared" si="0"/>
        <v>1.2594506619149039E-2</v>
      </c>
      <c r="N17" s="159">
        <f t="shared" si="0"/>
        <v>3.2051015374837219E-2</v>
      </c>
      <c r="O17" s="159">
        <f t="shared" si="0"/>
        <v>2.9676751363664457E-2</v>
      </c>
      <c r="P17" s="159">
        <f t="shared" si="0"/>
        <v>5.47327667247514E-2</v>
      </c>
      <c r="Q17" s="159">
        <f t="shared" si="0"/>
        <v>6.4091309057636167E-3</v>
      </c>
      <c r="R17" s="159">
        <f t="shared" si="0"/>
        <v>9.6278470383299765E-3</v>
      </c>
      <c r="S17" s="159">
        <f t="shared" si="0"/>
        <v>2.4918266961334933E-2</v>
      </c>
      <c r="T17" s="159">
        <f t="shared" si="0"/>
        <v>2.2992877245920678E-2</v>
      </c>
      <c r="U17" s="159">
        <f t="shared" si="0"/>
        <v>4.2124403613936684E-2</v>
      </c>
      <c r="V17" s="159">
        <f t="shared" si="0"/>
        <v>1.4673217391859582E-2</v>
      </c>
      <c r="W17" s="159">
        <f t="shared" si="0"/>
        <v>1.2515885154245758E-2</v>
      </c>
      <c r="X17" s="159">
        <f t="shared" si="0"/>
        <v>1.733080925299478E-2</v>
      </c>
      <c r="Y17" s="159">
        <f t="shared" si="0"/>
        <v>2.2041384862265825E-2</v>
      </c>
      <c r="Z17" s="159">
        <f t="shared" si="0"/>
        <v>2.2179603065261261E-2</v>
      </c>
      <c r="AA17" s="159">
        <f t="shared" si="0"/>
        <v>1.8943604708840517E-2</v>
      </c>
      <c r="AB17" s="159">
        <f t="shared" si="0"/>
        <v>2.5968273679995914E-2</v>
      </c>
      <c r="AC17" s="159">
        <f t="shared" si="0"/>
        <v>3.3105868080487003E-2</v>
      </c>
      <c r="AD17" s="159">
        <f t="shared" si="0"/>
        <v>2.0919868645195999E-2</v>
      </c>
      <c r="AE17" s="159">
        <f t="shared" si="0"/>
        <v>1.7683870288775261E-2</v>
      </c>
      <c r="AF17" s="159">
        <f t="shared" si="0"/>
        <v>2.4687970144163886E-2</v>
      </c>
      <c r="AG17" s="159">
        <f t="shared" si="0"/>
        <v>3.1835966511754063E-2</v>
      </c>
      <c r="AH17" s="159">
        <f t="shared" si="0"/>
        <v>1.8939520639606751E-2</v>
      </c>
      <c r="AI17" s="159">
        <f t="shared" si="0"/>
        <v>1.7021891983950016E-2</v>
      </c>
      <c r="AJ17" s="159">
        <f t="shared" si="0"/>
        <v>2.1502702114462001E-2</v>
      </c>
      <c r="AK17" s="159">
        <f t="shared" si="0"/>
        <v>2.5594574169206932E-2</v>
      </c>
      <c r="AL17" s="159">
        <f t="shared" si="0"/>
        <v>2.1760421369870931E-2</v>
      </c>
      <c r="AM17" s="159">
        <f t="shared" si="0"/>
        <v>1.8524423013450197E-2</v>
      </c>
      <c r="AN17" s="159">
        <f t="shared" si="0"/>
        <v>2.5397503776248789E-2</v>
      </c>
      <c r="AO17" s="159">
        <f t="shared" si="0"/>
        <v>3.259174240264022E-2</v>
      </c>
      <c r="AP17" s="159">
        <f t="shared" si="0"/>
        <v>0.16008550383733161</v>
      </c>
      <c r="AQ17" s="159">
        <f t="shared" si="0"/>
        <v>0.21637192652690349</v>
      </c>
      <c r="AR17" s="159">
        <f t="shared" si="0"/>
        <v>0.24891004870420008</v>
      </c>
      <c r="AS17" s="159">
        <f t="shared" si="0"/>
        <v>8.0027147488310843E-2</v>
      </c>
      <c r="AT17" s="159">
        <f t="shared" si="0"/>
        <v>0.10531087632523629</v>
      </c>
      <c r="AU17" s="159">
        <f t="shared" si="0"/>
        <v>0.1301849178703009</v>
      </c>
      <c r="AV17" s="159">
        <f t="shared" si="0"/>
        <v>8.4300018728238085E-2</v>
      </c>
      <c r="AW17" s="159">
        <f t="shared" si="0"/>
        <v>0.11143385784995678</v>
      </c>
      <c r="AX17" s="159">
        <f t="shared" si="0"/>
        <v>0.13776629264773832</v>
      </c>
      <c r="AY17" s="159">
        <f t="shared" si="0"/>
        <v>0.10828383175735644</v>
      </c>
      <c r="AZ17" s="159">
        <f t="shared" si="0"/>
        <v>0.14511916971521754</v>
      </c>
      <c r="BA17" s="159">
        <f t="shared" si="0"/>
        <v>0.17252924484292287</v>
      </c>
      <c r="BB17" s="159">
        <f t="shared" si="0"/>
        <v>9.1760643921659973E-2</v>
      </c>
      <c r="BC17" s="159">
        <f t="shared" si="0"/>
        <v>0.12257559398774524</v>
      </c>
      <c r="BD17" s="159">
        <f t="shared" si="0"/>
        <v>0.14817175095677115</v>
      </c>
      <c r="BE17" s="159">
        <f t="shared" si="0"/>
        <v>5.0407860100282875E-3</v>
      </c>
      <c r="BF17" s="159">
        <f t="shared" si="0"/>
        <v>6.5592529229094422E-3</v>
      </c>
      <c r="BG17" s="159">
        <f t="shared" si="0"/>
        <v>2.1735347784127789E-2</v>
      </c>
      <c r="BH17" s="159">
        <f t="shared" si="0"/>
        <v>2.1249968711118561E-2</v>
      </c>
      <c r="BI17" s="159">
        <f t="shared" si="0"/>
        <v>2.9430266740142881E-2</v>
      </c>
      <c r="BJ17" s="159">
        <f t="shared" si="0"/>
        <v>6.6109631180516146E-3</v>
      </c>
      <c r="BK17" s="159">
        <f t="shared" si="0"/>
        <v>8.4119355030967055E-3</v>
      </c>
      <c r="BL17" s="159">
        <f t="shared" si="0"/>
        <v>2.6176105056044334E-2</v>
      </c>
      <c r="BM17" s="159">
        <f t="shared" si="0"/>
        <v>2.5651620602087057E-2</v>
      </c>
      <c r="BN17" s="159">
        <f t="shared" si="0"/>
        <v>3.5403452382410175E-2</v>
      </c>
      <c r="BO17" s="159">
        <f t="shared" ref="BO17:DZ17" si="1">SUM(BO6:BO16)</f>
        <v>6.5893274699113762E-3</v>
      </c>
      <c r="BP17" s="159">
        <f t="shared" si="1"/>
        <v>8.5750149713713468E-3</v>
      </c>
      <c r="BQ17" s="159">
        <f t="shared" si="1"/>
        <v>2.7960548382774002E-2</v>
      </c>
      <c r="BR17" s="159">
        <f t="shared" si="1"/>
        <v>2.7425374041799809E-2</v>
      </c>
      <c r="BS17" s="159">
        <f t="shared" si="1"/>
        <v>3.823349903577189E-2</v>
      </c>
      <c r="BT17" s="159">
        <f t="shared" si="1"/>
        <v>5.035651218324705E-3</v>
      </c>
      <c r="BU17" s="159">
        <f t="shared" si="1"/>
        <v>6.5541181312058598E-3</v>
      </c>
      <c r="BV17" s="159">
        <f t="shared" si="1"/>
        <v>2.1729834203805101E-2</v>
      </c>
      <c r="BW17" s="159">
        <f t="shared" si="1"/>
        <v>2.1244534691713526E-2</v>
      </c>
      <c r="BX17" s="159">
        <f t="shared" si="1"/>
        <v>2.9424986462674364E-2</v>
      </c>
      <c r="BY17" s="159">
        <f t="shared" si="1"/>
        <v>1.3095815431312328E-2</v>
      </c>
      <c r="BZ17" s="159">
        <f t="shared" si="1"/>
        <v>1.2677602662583812E-2</v>
      </c>
      <c r="CA17" s="159">
        <f t="shared" si="1"/>
        <v>1.5970411683245658E-2</v>
      </c>
      <c r="CB17" s="159">
        <f t="shared" si="1"/>
        <v>1.8362459770413571E-2</v>
      </c>
      <c r="CC17" s="159">
        <f t="shared" si="1"/>
        <v>1.9813500124440376E-2</v>
      </c>
      <c r="CD17" s="159">
        <f t="shared" si="1"/>
        <v>1.9186180971347597E-2</v>
      </c>
      <c r="CE17" s="159">
        <f t="shared" si="1"/>
        <v>2.3982790832993116E-2</v>
      </c>
      <c r="CF17" s="159">
        <f t="shared" si="1"/>
        <v>2.7608638890397191E-2</v>
      </c>
      <c r="CG17" s="159">
        <f t="shared" si="1"/>
        <v>1.8553765704375114E-2</v>
      </c>
      <c r="CH17" s="159">
        <f t="shared" si="1"/>
        <v>1.7926446551282338E-2</v>
      </c>
      <c r="CI17" s="159">
        <f t="shared" si="1"/>
        <v>2.2707029101169868E-2</v>
      </c>
      <c r="CJ17" s="159">
        <f t="shared" si="1"/>
        <v>2.6338737321664259E-2</v>
      </c>
      <c r="CK17" s="159">
        <f t="shared" si="1"/>
        <v>1.7537385563564746E-2</v>
      </c>
      <c r="CL17" s="159">
        <f t="shared" si="1"/>
        <v>1.7165640880250507E-2</v>
      </c>
      <c r="CM17" s="159">
        <f t="shared" si="1"/>
        <v>2.0246558840251564E-2</v>
      </c>
      <c r="CN17" s="159">
        <f t="shared" si="1"/>
        <v>2.2319716654740793E-2</v>
      </c>
      <c r="CO17" s="159">
        <f t="shared" si="1"/>
        <v>1.939431842905005E-2</v>
      </c>
      <c r="CP17" s="159">
        <f t="shared" si="1"/>
        <v>1.8766999275957274E-2</v>
      </c>
      <c r="CQ17" s="159">
        <f t="shared" si="1"/>
        <v>2.3454140879343735E-2</v>
      </c>
      <c r="CR17" s="159">
        <f t="shared" si="1"/>
        <v>2.7109845421020403E-2</v>
      </c>
      <c r="CS17" s="159">
        <f t="shared" si="1"/>
        <v>0.15507712829099893</v>
      </c>
      <c r="CT17" s="159">
        <f t="shared" si="1"/>
        <v>0.17604400717380625</v>
      </c>
      <c r="CU17" s="159">
        <f t="shared" si="1"/>
        <v>0.19725556359642915</v>
      </c>
      <c r="CV17" s="159">
        <f t="shared" si="1"/>
        <v>7.4903410112360652E-2</v>
      </c>
      <c r="CW17" s="159">
        <f t="shared" si="1"/>
        <v>8.6186731956471668E-2</v>
      </c>
      <c r="CX17" s="159">
        <f t="shared" si="1"/>
        <v>0.10221949414527944</v>
      </c>
      <c r="CY17" s="159">
        <f t="shared" si="1"/>
        <v>7.8990350349502914E-2</v>
      </c>
      <c r="CZ17" s="159">
        <f t="shared" si="1"/>
        <v>9.075990136878348E-2</v>
      </c>
      <c r="DA17" s="159">
        <f t="shared" si="1"/>
        <v>0.10781569950851688</v>
      </c>
      <c r="DB17" s="159">
        <f t="shared" si="1"/>
        <v>0.10325471557553673</v>
      </c>
      <c r="DC17" s="159">
        <f t="shared" si="1"/>
        <v>0.11774997366588581</v>
      </c>
      <c r="DD17" s="159">
        <f t="shared" si="1"/>
        <v>0.13592149433202599</v>
      </c>
      <c r="DE17" s="159">
        <f t="shared" si="1"/>
        <v>8.680166405080067E-2</v>
      </c>
      <c r="DF17" s="159">
        <f t="shared" si="1"/>
        <v>9.9550466319943506E-2</v>
      </c>
      <c r="DG17" s="159">
        <f t="shared" si="1"/>
        <v>0.11631368968632125</v>
      </c>
      <c r="DH17" s="159">
        <f t="shared" si="1"/>
        <v>4.6215283757355171E-3</v>
      </c>
      <c r="DI17" s="159">
        <f t="shared" si="1"/>
        <v>5.5418375817325935E-3</v>
      </c>
      <c r="DJ17" s="159">
        <f t="shared" si="1"/>
        <v>1.4425422774934169E-2</v>
      </c>
      <c r="DK17" s="159">
        <f t="shared" si="1"/>
        <v>1.467861872983527E-2</v>
      </c>
      <c r="DL17" s="159">
        <f t="shared" si="1"/>
        <v>1.86591129127694E-2</v>
      </c>
      <c r="DM17" s="159">
        <f t="shared" si="1"/>
        <v>6.1137040634253043E-3</v>
      </c>
      <c r="DN17" s="159">
        <f t="shared" si="1"/>
        <v>7.205233586817187E-3</v>
      </c>
      <c r="DO17" s="159">
        <f t="shared" si="1"/>
        <v>1.7625277468725924E-2</v>
      </c>
      <c r="DP17" s="159">
        <f t="shared" si="1"/>
        <v>1.7938104362861515E-2</v>
      </c>
      <c r="DQ17" s="159">
        <f t="shared" si="1"/>
        <v>2.2683576743895276E-2</v>
      </c>
      <c r="DR17" s="159">
        <f t="shared" si="1"/>
        <v>6.0410674866054441E-3</v>
      </c>
      <c r="DS17" s="159">
        <f t="shared" si="1"/>
        <v>7.2445487559862371E-3</v>
      </c>
      <c r="DT17" s="159">
        <f t="shared" si="1"/>
        <v>1.8612168464710442E-2</v>
      </c>
      <c r="DU17" s="159">
        <f t="shared" si="1"/>
        <v>1.897174450614468E-2</v>
      </c>
      <c r="DV17" s="159">
        <f t="shared" si="1"/>
        <v>2.4239459136126077E-2</v>
      </c>
      <c r="DW17" s="159">
        <f t="shared" si="1"/>
        <v>4.6163935840319338E-3</v>
      </c>
      <c r="DX17" s="159">
        <f t="shared" si="1"/>
        <v>5.5367027900290119E-3</v>
      </c>
      <c r="DY17" s="159">
        <f t="shared" si="1"/>
        <v>1.4419983023509615E-2</v>
      </c>
      <c r="DZ17" s="159">
        <f t="shared" si="1"/>
        <v>1.4673220470927728E-2</v>
      </c>
      <c r="EA17" s="159">
        <f t="shared" ref="EA17:FJ17" si="2">SUM(EA6:EA16)</f>
        <v>1.8653832635300887E-2</v>
      </c>
      <c r="EB17" s="159">
        <f t="shared" si="2"/>
        <v>1.2642546688743159E-2</v>
      </c>
      <c r="EC17" s="159">
        <f t="shared" si="2"/>
        <v>1.2387246227158675E-2</v>
      </c>
      <c r="ED17" s="159">
        <f t="shared" si="2"/>
        <v>1.3671916904513842E-2</v>
      </c>
      <c r="EE17" s="159">
        <f t="shared" si="2"/>
        <v>1.3379883134876433E-2</v>
      </c>
      <c r="EF17" s="159">
        <f t="shared" si="2"/>
        <v>1.9133597010586624E-2</v>
      </c>
      <c r="EG17" s="159">
        <f t="shared" si="2"/>
        <v>1.8750646318209892E-2</v>
      </c>
      <c r="EH17" s="159">
        <f t="shared" si="2"/>
        <v>2.0599626753889825E-2</v>
      </c>
      <c r="EI17" s="159">
        <f t="shared" si="2"/>
        <v>2.0163430021264243E-2</v>
      </c>
      <c r="EJ17" s="159">
        <f t="shared" si="2"/>
        <v>1.7873862590521362E-2</v>
      </c>
      <c r="EK17" s="159">
        <f t="shared" si="2"/>
        <v>1.7490911898144633E-2</v>
      </c>
      <c r="EL17" s="159">
        <f t="shared" si="2"/>
        <v>1.9329702144425247E-2</v>
      </c>
      <c r="EM17" s="159">
        <f t="shared" si="2"/>
        <v>1.8893528452531304E-2</v>
      </c>
      <c r="EN17" s="159">
        <f t="shared" si="2"/>
        <v>1.7134480014614373E-2</v>
      </c>
      <c r="EO17" s="159">
        <f t="shared" si="2"/>
        <v>1.6907546270983717E-2</v>
      </c>
      <c r="EP17" s="159">
        <f t="shared" si="2"/>
        <v>1.8144564980957366E-2</v>
      </c>
      <c r="EQ17" s="159">
        <f t="shared" si="2"/>
        <v>1.7884391626669393E-2</v>
      </c>
      <c r="ER17" s="159">
        <f t="shared" si="2"/>
        <v>1.8714415315196298E-2</v>
      </c>
      <c r="ES17" s="159">
        <f t="shared" si="2"/>
        <v>1.8331464622819565E-2</v>
      </c>
      <c r="ET17" s="159">
        <f t="shared" si="2"/>
        <v>2.0120246053379153E-2</v>
      </c>
      <c r="EU17" s="159">
        <f t="shared" si="2"/>
        <v>1.9685401830273497E-2</v>
      </c>
      <c r="EV17" s="159">
        <f t="shared" si="2"/>
        <v>0.15508101886292719</v>
      </c>
      <c r="EW17" s="159">
        <f t="shared" si="2"/>
        <v>0.15970188837788224</v>
      </c>
      <c r="EX17" s="159">
        <f t="shared" si="2"/>
        <v>0.17043322555935234</v>
      </c>
      <c r="EY17" s="159">
        <f t="shared" si="2"/>
        <v>7.393658744712471E-2</v>
      </c>
      <c r="EZ17" s="159">
        <f t="shared" si="2"/>
        <v>7.8396743248474315E-2</v>
      </c>
      <c r="FA17" s="159">
        <f t="shared" si="2"/>
        <v>8.6217422559525025E-2</v>
      </c>
      <c r="FB17" s="159">
        <f t="shared" si="2"/>
        <v>7.8029701949290181E-2</v>
      </c>
      <c r="FC17" s="159">
        <f t="shared" si="2"/>
        <v>8.2480435679140041E-2</v>
      </c>
      <c r="FD17" s="159">
        <f t="shared" si="2"/>
        <v>9.0825524918120487E-2</v>
      </c>
      <c r="FE17" s="159">
        <f t="shared" si="2"/>
        <v>0.1026612051195252</v>
      </c>
      <c r="FF17" s="159">
        <f t="shared" si="2"/>
        <v>0.10721750661777942</v>
      </c>
      <c r="FG17" s="159">
        <f t="shared" si="2"/>
        <v>0.11599502780168205</v>
      </c>
      <c r="FH17" s="159">
        <f t="shared" si="2"/>
        <v>8.6050447366825461E-2</v>
      </c>
      <c r="FI17" s="159">
        <f t="shared" si="2"/>
        <v>9.0486902077712511E-2</v>
      </c>
      <c r="FJ17" s="159">
        <f t="shared" si="2"/>
        <v>9.8614255232537446E-2</v>
      </c>
    </row>
    <row r="18" spans="1:166" x14ac:dyDescent="0.25">
      <c r="A18" s="154" t="s">
        <v>399</v>
      </c>
    </row>
    <row r="19" spans="1:166" x14ac:dyDescent="0.25">
      <c r="A19" s="154" t="s">
        <v>400</v>
      </c>
      <c r="AF19" s="197"/>
      <c r="AG19" s="197"/>
      <c r="AH19" s="197"/>
      <c r="AI19" s="197"/>
      <c r="AJ19" s="197"/>
      <c r="AK19" s="197"/>
      <c r="AL19" s="197"/>
      <c r="AM19" s="197"/>
      <c r="AN19" s="197"/>
    </row>
    <row r="22" spans="1:166" x14ac:dyDescent="0.25">
      <c r="A22" s="161" t="s">
        <v>460</v>
      </c>
    </row>
    <row r="49" spans="2:13" x14ac:dyDescent="0.25">
      <c r="B49" s="197"/>
      <c r="C49" s="197"/>
      <c r="D49" s="197"/>
      <c r="E49" s="197"/>
      <c r="F49" s="197"/>
      <c r="G49" s="197"/>
      <c r="H49" s="197"/>
      <c r="I49" s="197"/>
      <c r="J49" s="197"/>
      <c r="K49" s="197"/>
      <c r="L49" s="197"/>
      <c r="M49" s="155"/>
    </row>
    <row r="200" spans="1:166" x14ac:dyDescent="0.25">
      <c r="A200" s="161" t="s">
        <v>461</v>
      </c>
    </row>
    <row r="202" spans="1:166" x14ac:dyDescent="0.25">
      <c r="B202" s="154">
        <v>2023</v>
      </c>
      <c r="BE202" s="154">
        <v>2034</v>
      </c>
      <c r="DH202" s="154">
        <v>2050</v>
      </c>
    </row>
    <row r="203" spans="1:166" x14ac:dyDescent="0.25">
      <c r="B203" s="154" t="s">
        <v>403</v>
      </c>
      <c r="C203" s="154" t="s">
        <v>404</v>
      </c>
      <c r="D203" s="154" t="s">
        <v>405</v>
      </c>
      <c r="E203" s="154" t="s">
        <v>406</v>
      </c>
      <c r="F203" s="154" t="s">
        <v>407</v>
      </c>
      <c r="G203" s="154" t="s">
        <v>408</v>
      </c>
      <c r="H203" s="154" t="s">
        <v>409</v>
      </c>
      <c r="I203" s="154" t="s">
        <v>410</v>
      </c>
      <c r="J203" s="154" t="s">
        <v>411</v>
      </c>
      <c r="K203" s="154" t="s">
        <v>412</v>
      </c>
      <c r="L203" s="154" t="s">
        <v>413</v>
      </c>
      <c r="M203" s="154" t="s">
        <v>414</v>
      </c>
      <c r="N203" s="154" t="s">
        <v>415</v>
      </c>
      <c r="O203" s="154" t="s">
        <v>416</v>
      </c>
      <c r="P203" s="154" t="s">
        <v>417</v>
      </c>
      <c r="Q203" s="154" t="s">
        <v>418</v>
      </c>
      <c r="R203" s="154" t="s">
        <v>419</v>
      </c>
      <c r="S203" s="154" t="s">
        <v>420</v>
      </c>
      <c r="T203" s="154" t="s">
        <v>421</v>
      </c>
      <c r="U203" s="154" t="s">
        <v>422</v>
      </c>
      <c r="V203" s="154" t="s">
        <v>423</v>
      </c>
      <c r="W203" s="154" t="s">
        <v>424</v>
      </c>
      <c r="X203" s="154" t="s">
        <v>425</v>
      </c>
      <c r="Y203" s="154" t="s">
        <v>426</v>
      </c>
      <c r="Z203" s="154" t="s">
        <v>427</v>
      </c>
      <c r="AA203" s="154" t="s">
        <v>428</v>
      </c>
      <c r="AB203" s="154" t="s">
        <v>429</v>
      </c>
      <c r="AC203" s="154" t="s">
        <v>430</v>
      </c>
      <c r="AD203" s="154" t="s">
        <v>431</v>
      </c>
      <c r="AE203" s="154" t="s">
        <v>432</v>
      </c>
      <c r="AF203" s="154" t="s">
        <v>433</v>
      </c>
      <c r="AG203" s="154" t="s">
        <v>434</v>
      </c>
      <c r="AH203" s="154" t="s">
        <v>435</v>
      </c>
      <c r="AI203" s="154" t="s">
        <v>436</v>
      </c>
      <c r="AJ203" s="154" t="s">
        <v>437</v>
      </c>
      <c r="AK203" s="154" t="s">
        <v>438</v>
      </c>
      <c r="AL203" s="154" t="s">
        <v>439</v>
      </c>
      <c r="AM203" s="154" t="s">
        <v>440</v>
      </c>
      <c r="AN203" s="154" t="s">
        <v>441</v>
      </c>
      <c r="AO203" s="154" t="s">
        <v>442</v>
      </c>
      <c r="AP203" s="154" t="s">
        <v>443</v>
      </c>
      <c r="AQ203" s="154" t="s">
        <v>444</v>
      </c>
      <c r="AR203" s="154" t="s">
        <v>445</v>
      </c>
      <c r="AS203" s="154" t="s">
        <v>446</v>
      </c>
      <c r="AT203" s="154" t="s">
        <v>447</v>
      </c>
      <c r="AU203" s="154" t="s">
        <v>448</v>
      </c>
      <c r="AV203" s="154" t="s">
        <v>449</v>
      </c>
      <c r="AW203" s="154" t="s">
        <v>450</v>
      </c>
      <c r="AX203" s="154" t="s">
        <v>451</v>
      </c>
      <c r="AY203" s="154" t="s">
        <v>452</v>
      </c>
      <c r="AZ203" s="154" t="s">
        <v>453</v>
      </c>
      <c r="BA203" s="154" t="s">
        <v>454</v>
      </c>
      <c r="BB203" s="154" t="s">
        <v>455</v>
      </c>
      <c r="BC203" s="154" t="s">
        <v>456</v>
      </c>
      <c r="BD203" s="154" t="s">
        <v>457</v>
      </c>
      <c r="BE203" s="154" t="s">
        <v>403</v>
      </c>
      <c r="BF203" s="154" t="s">
        <v>404</v>
      </c>
      <c r="BG203" s="154" t="s">
        <v>405</v>
      </c>
      <c r="BH203" s="154" t="s">
        <v>406</v>
      </c>
      <c r="BI203" s="154" t="s">
        <v>407</v>
      </c>
      <c r="BJ203" s="154" t="s">
        <v>408</v>
      </c>
      <c r="BK203" s="154" t="s">
        <v>409</v>
      </c>
      <c r="BL203" s="154" t="s">
        <v>410</v>
      </c>
      <c r="BM203" s="154" t="s">
        <v>411</v>
      </c>
      <c r="BN203" s="154" t="s">
        <v>412</v>
      </c>
      <c r="BO203" s="154" t="s">
        <v>413</v>
      </c>
      <c r="BP203" s="154" t="s">
        <v>414</v>
      </c>
      <c r="BQ203" s="154" t="s">
        <v>415</v>
      </c>
      <c r="BR203" s="154" t="s">
        <v>416</v>
      </c>
      <c r="BS203" s="154" t="s">
        <v>417</v>
      </c>
      <c r="BT203" s="154" t="s">
        <v>418</v>
      </c>
      <c r="BU203" s="154" t="s">
        <v>419</v>
      </c>
      <c r="BV203" s="154" t="s">
        <v>420</v>
      </c>
      <c r="BW203" s="154" t="s">
        <v>421</v>
      </c>
      <c r="BX203" s="154" t="s">
        <v>422</v>
      </c>
      <c r="BY203" s="154" t="s">
        <v>423</v>
      </c>
      <c r="BZ203" s="154" t="s">
        <v>424</v>
      </c>
      <c r="CA203" s="154" t="s">
        <v>425</v>
      </c>
      <c r="CB203" s="154" t="s">
        <v>426</v>
      </c>
      <c r="CC203" s="154" t="s">
        <v>427</v>
      </c>
      <c r="CD203" s="154" t="s">
        <v>428</v>
      </c>
      <c r="CE203" s="154" t="s">
        <v>429</v>
      </c>
      <c r="CF203" s="154" t="s">
        <v>430</v>
      </c>
      <c r="CG203" s="154" t="s">
        <v>431</v>
      </c>
      <c r="CH203" s="154" t="s">
        <v>432</v>
      </c>
      <c r="CI203" s="154" t="s">
        <v>433</v>
      </c>
      <c r="CJ203" s="154" t="s">
        <v>434</v>
      </c>
      <c r="CK203" s="154" t="s">
        <v>435</v>
      </c>
      <c r="CL203" s="154" t="s">
        <v>436</v>
      </c>
      <c r="CM203" s="154" t="s">
        <v>437</v>
      </c>
      <c r="CN203" s="154" t="s">
        <v>438</v>
      </c>
      <c r="CO203" s="154" t="s">
        <v>439</v>
      </c>
      <c r="CP203" s="154" t="s">
        <v>440</v>
      </c>
      <c r="CQ203" s="154" t="s">
        <v>441</v>
      </c>
      <c r="CR203" s="154" t="s">
        <v>442</v>
      </c>
      <c r="CS203" s="154" t="s">
        <v>443</v>
      </c>
      <c r="CT203" s="154" t="s">
        <v>444</v>
      </c>
      <c r="CU203" s="154" t="s">
        <v>445</v>
      </c>
      <c r="CV203" s="154" t="s">
        <v>446</v>
      </c>
      <c r="CW203" s="154" t="s">
        <v>447</v>
      </c>
      <c r="CX203" s="154" t="s">
        <v>448</v>
      </c>
      <c r="CY203" s="154" t="s">
        <v>449</v>
      </c>
      <c r="CZ203" s="154" t="s">
        <v>450</v>
      </c>
      <c r="DA203" s="154" t="s">
        <v>451</v>
      </c>
      <c r="DB203" s="154" t="s">
        <v>452</v>
      </c>
      <c r="DC203" s="154" t="s">
        <v>453</v>
      </c>
      <c r="DD203" s="154" t="s">
        <v>454</v>
      </c>
      <c r="DE203" s="154" t="s">
        <v>455</v>
      </c>
      <c r="DF203" s="154" t="s">
        <v>456</v>
      </c>
      <c r="DG203" s="154" t="s">
        <v>457</v>
      </c>
      <c r="DH203" s="154" t="s">
        <v>403</v>
      </c>
      <c r="DI203" s="154" t="s">
        <v>404</v>
      </c>
      <c r="DJ203" s="154" t="s">
        <v>405</v>
      </c>
      <c r="DK203" s="154" t="s">
        <v>406</v>
      </c>
      <c r="DL203" s="154" t="s">
        <v>407</v>
      </c>
      <c r="DM203" s="154" t="s">
        <v>408</v>
      </c>
      <c r="DN203" s="154" t="s">
        <v>409</v>
      </c>
      <c r="DO203" s="154" t="s">
        <v>410</v>
      </c>
      <c r="DP203" s="154" t="s">
        <v>411</v>
      </c>
      <c r="DQ203" s="154" t="s">
        <v>412</v>
      </c>
      <c r="DR203" s="154" t="s">
        <v>413</v>
      </c>
      <c r="DS203" s="154" t="s">
        <v>414</v>
      </c>
      <c r="DT203" s="154" t="s">
        <v>415</v>
      </c>
      <c r="DU203" s="154" t="s">
        <v>416</v>
      </c>
      <c r="DV203" s="154" t="s">
        <v>417</v>
      </c>
      <c r="DW203" s="154" t="s">
        <v>418</v>
      </c>
      <c r="DX203" s="154" t="s">
        <v>419</v>
      </c>
      <c r="DY203" s="154" t="s">
        <v>420</v>
      </c>
      <c r="DZ203" s="154" t="s">
        <v>421</v>
      </c>
      <c r="EA203" s="154" t="s">
        <v>422</v>
      </c>
      <c r="EB203" s="154" t="s">
        <v>423</v>
      </c>
      <c r="EC203" s="154" t="s">
        <v>424</v>
      </c>
      <c r="ED203" s="154" t="s">
        <v>425</v>
      </c>
      <c r="EE203" s="154" t="s">
        <v>426</v>
      </c>
      <c r="EF203" s="154" t="s">
        <v>427</v>
      </c>
      <c r="EG203" s="154" t="s">
        <v>428</v>
      </c>
      <c r="EH203" s="154" t="s">
        <v>429</v>
      </c>
      <c r="EI203" s="154" t="s">
        <v>430</v>
      </c>
      <c r="EJ203" s="154" t="s">
        <v>431</v>
      </c>
      <c r="EK203" s="154" t="s">
        <v>432</v>
      </c>
      <c r="EL203" s="154" t="s">
        <v>433</v>
      </c>
      <c r="EM203" s="154" t="s">
        <v>434</v>
      </c>
      <c r="EN203" s="154" t="s">
        <v>435</v>
      </c>
      <c r="EO203" s="154" t="s">
        <v>436</v>
      </c>
      <c r="EP203" s="154" t="s">
        <v>437</v>
      </c>
      <c r="EQ203" s="154" t="s">
        <v>438</v>
      </c>
      <c r="ER203" s="154" t="s">
        <v>439</v>
      </c>
      <c r="ES203" s="154" t="s">
        <v>440</v>
      </c>
      <c r="ET203" s="154" t="s">
        <v>441</v>
      </c>
      <c r="EU203" s="154" t="s">
        <v>442</v>
      </c>
      <c r="EV203" s="154" t="s">
        <v>443</v>
      </c>
      <c r="EW203" s="154" t="s">
        <v>444</v>
      </c>
      <c r="EX203" s="154" t="s">
        <v>445</v>
      </c>
      <c r="EY203" s="154" t="s">
        <v>446</v>
      </c>
      <c r="EZ203" s="154" t="s">
        <v>447</v>
      </c>
      <c r="FA203" s="154" t="s">
        <v>448</v>
      </c>
      <c r="FB203" s="154" t="s">
        <v>449</v>
      </c>
      <c r="FC203" s="154" t="s">
        <v>450</v>
      </c>
      <c r="FD203" s="154" t="s">
        <v>451</v>
      </c>
      <c r="FE203" s="154" t="s">
        <v>452</v>
      </c>
      <c r="FF203" s="154" t="s">
        <v>453</v>
      </c>
      <c r="FG203" s="154" t="s">
        <v>454</v>
      </c>
      <c r="FH203" s="154" t="s">
        <v>455</v>
      </c>
      <c r="FI203" s="154" t="s">
        <v>456</v>
      </c>
      <c r="FJ203" s="154" t="s">
        <v>457</v>
      </c>
    </row>
    <row r="204" spans="1:166" x14ac:dyDescent="0.25">
      <c r="A204" s="154" t="s">
        <v>141</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151</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137</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148</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160</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175</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199</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191</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179</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197</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458</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459</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399</v>
      </c>
    </row>
    <row r="217" spans="1:166" x14ac:dyDescent="0.25">
      <c r="A217" s="154" t="s">
        <v>400</v>
      </c>
    </row>
    <row r="219" spans="1:166" x14ac:dyDescent="0.25">
      <c r="A219" s="161" t="s">
        <v>462</v>
      </c>
    </row>
    <row r="220" spans="1:166" x14ac:dyDescent="0.25">
      <c r="C220" s="154" t="s">
        <v>141</v>
      </c>
      <c r="D220" s="154" t="s">
        <v>151</v>
      </c>
      <c r="E220" s="154" t="s">
        <v>137</v>
      </c>
      <c r="F220" s="154" t="s">
        <v>148</v>
      </c>
      <c r="G220" s="154" t="s">
        <v>160</v>
      </c>
      <c r="H220" s="154" t="s">
        <v>175</v>
      </c>
      <c r="I220" s="154" t="s">
        <v>199</v>
      </c>
      <c r="J220" s="154" t="s">
        <v>191</v>
      </c>
      <c r="K220" s="154" t="s">
        <v>179</v>
      </c>
      <c r="L220" s="154" t="s">
        <v>197</v>
      </c>
      <c r="M220" s="154" t="s">
        <v>458</v>
      </c>
      <c r="N220" s="154" t="s">
        <v>459</v>
      </c>
      <c r="O220" s="154" t="s">
        <v>399</v>
      </c>
      <c r="P220" s="154" t="s">
        <v>400</v>
      </c>
      <c r="AI220" s="154" t="s">
        <v>399</v>
      </c>
      <c r="AJ220" s="154" t="s">
        <v>400</v>
      </c>
    </row>
    <row r="221" spans="1:166" x14ac:dyDescent="0.25">
      <c r="A221" s="155" t="s">
        <v>463</v>
      </c>
      <c r="B221" s="154" t="s">
        <v>464</v>
      </c>
      <c r="C221" s="154" t="s">
        <v>465</v>
      </c>
      <c r="D221" s="154" t="s">
        <v>466</v>
      </c>
      <c r="E221" s="154" t="s">
        <v>467</v>
      </c>
      <c r="F221" s="154" t="s">
        <v>468</v>
      </c>
      <c r="G221" s="154" t="s">
        <v>469</v>
      </c>
      <c r="H221" s="154" t="s">
        <v>470</v>
      </c>
      <c r="I221" s="154" t="s">
        <v>471</v>
      </c>
      <c r="J221" s="154" t="s">
        <v>472</v>
      </c>
      <c r="K221" s="154" t="s">
        <v>473</v>
      </c>
      <c r="L221" s="154" t="s">
        <v>474</v>
      </c>
      <c r="M221" s="154" t="s">
        <v>475</v>
      </c>
      <c r="N221" s="154" t="s">
        <v>476</v>
      </c>
    </row>
    <row r="222" spans="1:166" x14ac:dyDescent="0.25">
      <c r="A222" s="155">
        <v>2023</v>
      </c>
      <c r="B222" s="154" t="s">
        <v>418</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403</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424</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408</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419</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404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413</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141</v>
      </c>
      <c r="S228" s="154" t="s">
        <v>151</v>
      </c>
      <c r="T228" s="154" t="s">
        <v>137</v>
      </c>
      <c r="U228" s="154" t="s">
        <v>148</v>
      </c>
      <c r="V228" s="154" t="s">
        <v>160</v>
      </c>
      <c r="W228" s="154" t="s">
        <v>175</v>
      </c>
      <c r="X228" s="154" t="s">
        <v>199</v>
      </c>
      <c r="Y228" s="154" t="s">
        <v>191</v>
      </c>
      <c r="Z228" s="154" t="s">
        <v>179</v>
      </c>
      <c r="AA228" s="154" t="s">
        <v>197</v>
      </c>
      <c r="AB228" s="154" t="s">
        <v>458</v>
      </c>
    </row>
    <row r="229" spans="1:28" x14ac:dyDescent="0.25">
      <c r="A229" s="155"/>
      <c r="B229" s="154" t="s">
        <v>409</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7">
        <v>2023</v>
      </c>
      <c r="Q229" s="154" t="s">
        <v>408</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414</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7"/>
      <c r="Q230" s="154" t="s">
        <v>409</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436</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7"/>
      <c r="Q231" s="154" t="s">
        <v>432</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425</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7"/>
      <c r="Q232" s="154" t="s">
        <v>433</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423</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7"/>
      <c r="Q233" s="154" t="s">
        <v>431</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432</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7"/>
      <c r="Q234" s="154" t="s">
        <v>411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440</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7"/>
      <c r="Q235" s="154" t="s">
        <v>434</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428</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7"/>
      <c r="Q236" s="154" t="s">
        <v>410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437</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7"/>
      <c r="Q237" s="154" t="s">
        <v>412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435</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7"/>
      <c r="Q238" s="154" t="s">
        <v>449</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426</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7"/>
      <c r="Q239" s="154" t="s">
        <v>450</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421</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7"/>
      <c r="Q240" s="154" t="s">
        <v>451</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406</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7">
        <v>2034</v>
      </c>
      <c r="Q241" s="154" t="s">
        <v>408</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433</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7"/>
      <c r="Q242" s="154" t="s">
        <v>409</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431</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7"/>
      <c r="Q243" s="154" t="s">
        <v>432</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441</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7"/>
      <c r="Q244" s="154" t="s">
        <v>433</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438</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7"/>
      <c r="Q245" s="154" t="s">
        <v>434</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429</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7"/>
      <c r="Q246" s="154" t="s">
        <v>431</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439</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7"/>
      <c r="Q247" s="154" t="s">
        <v>411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427</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7"/>
      <c r="Q248" s="154" t="s">
        <v>410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420</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7"/>
      <c r="Q249" s="154" t="s">
        <v>412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405</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7"/>
      <c r="Q250" s="154" t="s">
        <v>450</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411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7"/>
      <c r="Q251" s="154" t="s">
        <v>449</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434</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7"/>
      <c r="Q252" s="154" t="s">
        <v>451</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416</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7">
        <v>2050</v>
      </c>
      <c r="Q253" s="154" t="s">
        <v>410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410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7"/>
      <c r="Q254" s="154" t="s">
        <v>411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442</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7"/>
      <c r="Q255" s="154" t="s">
        <v>432</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430</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7"/>
      <c r="Q256" s="154" t="s">
        <v>412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415</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7"/>
      <c r="Q257" s="154" t="s">
        <v>434</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422</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7"/>
      <c r="Q258" s="154" t="s">
        <v>433</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407</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7"/>
      <c r="Q259" s="154" t="s">
        <v>408</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412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7"/>
      <c r="Q260" s="154" t="s">
        <v>409</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417</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7"/>
      <c r="Q261" s="154" t="s">
        <v>431</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446</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7"/>
      <c r="Q262" s="154" t="s">
        <v>450</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449</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7"/>
      <c r="Q263" s="154" t="s">
        <v>451</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455</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7"/>
      <c r="Q264" s="154" t="s">
        <v>449</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447</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450</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456</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452</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448</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451</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453</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457</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443</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454</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444</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445</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463</v>
      </c>
      <c r="B277" s="154" t="s">
        <v>464</v>
      </c>
      <c r="C277" s="154" t="s">
        <v>465</v>
      </c>
      <c r="D277" s="154" t="s">
        <v>466</v>
      </c>
      <c r="E277" s="154" t="s">
        <v>467</v>
      </c>
      <c r="F277" s="154" t="s">
        <v>468</v>
      </c>
      <c r="G277" s="154" t="s">
        <v>469</v>
      </c>
      <c r="H277" s="154" t="s">
        <v>470</v>
      </c>
      <c r="I277" s="154" t="s">
        <v>471</v>
      </c>
      <c r="J277" s="154" t="s">
        <v>472</v>
      </c>
      <c r="K277" s="154" t="s">
        <v>473</v>
      </c>
      <c r="L277" s="154" t="s">
        <v>474</v>
      </c>
      <c r="M277" s="154" t="s">
        <v>475</v>
      </c>
      <c r="N277" s="154" t="s">
        <v>476</v>
      </c>
    </row>
    <row r="278" spans="1:28" x14ac:dyDescent="0.25">
      <c r="A278" s="155">
        <v>2034</v>
      </c>
      <c r="B278" s="154" t="s">
        <v>418</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403</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141</v>
      </c>
      <c r="S279" s="154" t="s">
        <v>151</v>
      </c>
      <c r="T279" s="154" t="s">
        <v>137</v>
      </c>
      <c r="U279" s="154" t="s">
        <v>148</v>
      </c>
      <c r="V279" s="154" t="s">
        <v>160</v>
      </c>
      <c r="W279" s="154" t="s">
        <v>175</v>
      </c>
      <c r="X279" s="154" t="s">
        <v>199</v>
      </c>
      <c r="Y279" s="154" t="s">
        <v>191</v>
      </c>
      <c r="Z279" s="154" t="s">
        <v>179</v>
      </c>
      <c r="AA279" s="154" t="s">
        <v>197</v>
      </c>
      <c r="AB279" s="154" t="s">
        <v>458</v>
      </c>
    </row>
    <row r="280" spans="1:28" x14ac:dyDescent="0.25">
      <c r="A280" s="155"/>
      <c r="B280" s="154" t="s">
        <v>424</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7">
        <v>2023</v>
      </c>
      <c r="Q280" s="154" t="s">
        <v>409</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408</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7"/>
      <c r="Q281" s="154" t="s">
        <v>411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419</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7"/>
      <c r="Q282" s="154" t="s">
        <v>410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404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7"/>
      <c r="Q283" s="154" t="s">
        <v>412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413</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7">
        <v>2034</v>
      </c>
      <c r="Q284" s="154" t="s">
        <v>409</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425</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7"/>
      <c r="Q285" s="154" t="s">
        <v>411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409</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7"/>
      <c r="Q286" s="154" t="s">
        <v>410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436</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7"/>
      <c r="Q287" s="154" t="s">
        <v>412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432</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7">
        <v>2050</v>
      </c>
      <c r="Q288" s="154" t="s">
        <v>410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414</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7"/>
      <c r="Q289" s="154" t="s">
        <v>411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426</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7"/>
      <c r="Q290" s="154" t="s">
        <v>412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423</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7"/>
      <c r="Q291" s="154" t="s">
        <v>409</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440</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428</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437</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438</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435</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433</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441</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421</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406</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429</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141</v>
      </c>
      <c r="S301" s="154" t="s">
        <v>151</v>
      </c>
      <c r="T301" s="154" t="s">
        <v>137</v>
      </c>
      <c r="U301" s="154" t="s">
        <v>148</v>
      </c>
      <c r="V301" s="154" t="s">
        <v>160</v>
      </c>
      <c r="W301" s="154" t="s">
        <v>175</v>
      </c>
      <c r="X301" s="154" t="s">
        <v>199</v>
      </c>
      <c r="Y301" s="154" t="s">
        <v>191</v>
      </c>
      <c r="Z301" s="154" t="s">
        <v>179</v>
      </c>
      <c r="AA301" s="154" t="s">
        <v>197</v>
      </c>
      <c r="AB301" s="154" t="s">
        <v>458</v>
      </c>
    </row>
    <row r="302" spans="1:28" x14ac:dyDescent="0.25">
      <c r="A302" s="155"/>
      <c r="B302" s="154" t="s">
        <v>420</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7">
        <v>2023</v>
      </c>
      <c r="Q302" s="154" t="s">
        <v>408</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405</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7"/>
      <c r="Q303" s="154" t="s">
        <v>409</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434</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7"/>
      <c r="Q304" s="154" t="s">
        <v>431</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431</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7"/>
      <c r="Q305" s="154" t="s">
        <v>449</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442</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7"/>
    </row>
    <row r="307" spans="1:28" x14ac:dyDescent="0.25">
      <c r="A307" s="155"/>
      <c r="B307" s="154" t="s">
        <v>439</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7"/>
    </row>
    <row r="308" spans="1:28" x14ac:dyDescent="0.25">
      <c r="A308" s="155"/>
      <c r="B308" s="154" t="s">
        <v>430</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7"/>
    </row>
    <row r="309" spans="1:28" x14ac:dyDescent="0.25">
      <c r="A309" s="155"/>
      <c r="B309" s="154" t="s">
        <v>427</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7"/>
    </row>
    <row r="310" spans="1:28" x14ac:dyDescent="0.25">
      <c r="A310" s="155"/>
      <c r="B310" s="154" t="s">
        <v>411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7"/>
    </row>
    <row r="311" spans="1:28" x14ac:dyDescent="0.25">
      <c r="A311" s="155"/>
      <c r="B311" s="154" t="s">
        <v>416</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7"/>
    </row>
    <row r="312" spans="1:28" x14ac:dyDescent="0.25">
      <c r="A312" s="155"/>
      <c r="B312" s="154" t="s">
        <v>410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7"/>
    </row>
    <row r="313" spans="1:28" x14ac:dyDescent="0.25">
      <c r="A313" s="155"/>
      <c r="B313" s="154" t="s">
        <v>415</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7"/>
    </row>
    <row r="314" spans="1:28" x14ac:dyDescent="0.25">
      <c r="A314" s="155"/>
      <c r="B314" s="154" t="s">
        <v>422</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407</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412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417</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447</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450</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446</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456</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449</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455</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448</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451</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453</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457</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452</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454</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444</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443</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445</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463</v>
      </c>
      <c r="B333" s="154" t="s">
        <v>464</v>
      </c>
      <c r="C333" s="154" t="s">
        <v>465</v>
      </c>
      <c r="D333" s="154" t="s">
        <v>466</v>
      </c>
      <c r="E333" s="154" t="s">
        <v>467</v>
      </c>
      <c r="F333" s="154" t="s">
        <v>468</v>
      </c>
      <c r="G333" s="154" t="s">
        <v>469</v>
      </c>
      <c r="H333" s="154" t="s">
        <v>470</v>
      </c>
      <c r="I333" s="154" t="s">
        <v>471</v>
      </c>
      <c r="J333" s="154" t="s">
        <v>472</v>
      </c>
      <c r="K333" s="154" t="s">
        <v>473</v>
      </c>
      <c r="L333" s="154" t="s">
        <v>474</v>
      </c>
      <c r="M333" s="154" t="s">
        <v>475</v>
      </c>
      <c r="N333" s="154" t="s">
        <v>476</v>
      </c>
    </row>
    <row r="334" spans="1:14" x14ac:dyDescent="0.25">
      <c r="A334" s="155">
        <v>2050</v>
      </c>
      <c r="B334" s="154" t="s">
        <v>424</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426</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420</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405</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421</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406</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425</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422</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407</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410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411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418</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403</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415</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436</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416</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432</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438</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412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434</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440</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437</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428</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417</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419</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404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442</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433</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430</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441</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408</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429</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423</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413</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409</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414</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435</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431</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439</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427</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447</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450</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448</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451</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456</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457</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446</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455</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449</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453</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454</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452</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444</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445</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443</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477</v>
      </c>
    </row>
    <row r="397" spans="1:14" x14ac:dyDescent="0.25">
      <c r="C397" s="154" t="s">
        <v>141</v>
      </c>
      <c r="D397" s="154" t="s">
        <v>151</v>
      </c>
      <c r="E397" s="154" t="s">
        <v>137</v>
      </c>
      <c r="F397" s="154" t="s">
        <v>148</v>
      </c>
      <c r="G397" s="154" t="s">
        <v>160</v>
      </c>
      <c r="H397" s="154" t="s">
        <v>175</v>
      </c>
      <c r="I397" s="154" t="s">
        <v>199</v>
      </c>
      <c r="J397" s="154" t="s">
        <v>191</v>
      </c>
      <c r="K397" s="154" t="s">
        <v>179</v>
      </c>
      <c r="L397" s="154" t="s">
        <v>197</v>
      </c>
      <c r="M397" s="154" t="s">
        <v>458</v>
      </c>
      <c r="N397" s="154" t="s">
        <v>459</v>
      </c>
    </row>
    <row r="398" spans="1:14" x14ac:dyDescent="0.25">
      <c r="A398" s="197">
        <v>2023</v>
      </c>
      <c r="B398" s="154" t="s">
        <v>418</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7"/>
      <c r="B399" s="154" t="s">
        <v>403</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7"/>
      <c r="B400" s="154" t="s">
        <v>424</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7"/>
      <c r="B401" s="154" t="s">
        <v>408</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7"/>
      <c r="B402" s="154" t="s">
        <v>419</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7"/>
      <c r="B403" s="154" t="s">
        <v>404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7"/>
      <c r="B404" s="154" t="s">
        <v>413</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7"/>
      <c r="B405" s="154" t="s">
        <v>409</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7"/>
      <c r="B406" s="154" t="s">
        <v>414</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7"/>
      <c r="B407" s="154" t="s">
        <v>436</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7"/>
      <c r="B408" s="154" t="s">
        <v>425</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7"/>
      <c r="B409" s="154" t="s">
        <v>423</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7"/>
      <c r="B410" s="154" t="s">
        <v>432</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7"/>
      <c r="B411" s="154" t="s">
        <v>440</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7"/>
      <c r="B412" s="154" t="s">
        <v>428</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7"/>
      <c r="B413" s="154" t="s">
        <v>437</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7"/>
      <c r="B414" s="154" t="s">
        <v>435</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7"/>
      <c r="B415" s="154" t="s">
        <v>426</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7"/>
      <c r="B416" s="154" t="s">
        <v>421</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7"/>
      <c r="B417" s="154" t="s">
        <v>406</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7"/>
      <c r="B418" s="154" t="s">
        <v>433</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7"/>
      <c r="B419" s="154" t="s">
        <v>431</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7"/>
      <c r="B420" s="154" t="s">
        <v>441</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7"/>
      <c r="B421" s="154" t="s">
        <v>438</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7"/>
      <c r="B422" s="154" t="s">
        <v>429</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7"/>
      <c r="B423" s="154" t="s">
        <v>439</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7"/>
      <c r="B424" s="154" t="s">
        <v>427</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7"/>
      <c r="B425" s="154" t="s">
        <v>420</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7"/>
      <c r="B426" s="154" t="s">
        <v>405</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7"/>
      <c r="B427" s="154" t="s">
        <v>411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7"/>
      <c r="B428" s="154" t="s">
        <v>434</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7"/>
      <c r="B429" s="154" t="s">
        <v>416</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7"/>
      <c r="B430" s="154" t="s">
        <v>410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7"/>
      <c r="B431" s="154" t="s">
        <v>442</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7"/>
      <c r="B432" s="154" t="s">
        <v>430</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7"/>
      <c r="B433" s="154" t="s">
        <v>415</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7"/>
      <c r="B434" s="154" t="s">
        <v>422</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7"/>
      <c r="B435" s="154" t="s">
        <v>407</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7"/>
      <c r="B436" s="154" t="s">
        <v>412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7"/>
      <c r="B437" s="154" t="s">
        <v>417</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7"/>
      <c r="B438" s="154" t="s">
        <v>446</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7"/>
      <c r="B439" s="154" t="s">
        <v>449</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7"/>
      <c r="B440" s="154" t="s">
        <v>455</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7"/>
      <c r="B441" s="154" t="s">
        <v>447</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7"/>
      <c r="B442" s="154" t="s">
        <v>450</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7"/>
      <c r="B443" s="154" t="s">
        <v>456</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7"/>
      <c r="B444" s="154" t="s">
        <v>452</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7"/>
      <c r="B445" s="154" t="s">
        <v>448</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7"/>
      <c r="B446" s="154" t="s">
        <v>451</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7"/>
      <c r="B447" s="154" t="s">
        <v>453</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7"/>
      <c r="B448" s="154" t="s">
        <v>457</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7"/>
      <c r="B449" s="154" t="s">
        <v>443</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7"/>
      <c r="B450" s="154" t="s">
        <v>454</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7"/>
      <c r="B451" s="154" t="s">
        <v>444</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7"/>
      <c r="B452" s="154" t="s">
        <v>445</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7">
        <v>2034</v>
      </c>
      <c r="B453" s="154" t="s">
        <v>418</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7"/>
      <c r="B454" s="154" t="s">
        <v>403</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7"/>
      <c r="B455" s="154" t="s">
        <v>424</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7"/>
      <c r="B456" s="154" t="s">
        <v>408</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7"/>
      <c r="B457" s="154" t="s">
        <v>419</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7"/>
      <c r="B458" s="154" t="s">
        <v>404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7"/>
      <c r="B459" s="154" t="s">
        <v>413</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7"/>
      <c r="B460" s="154" t="s">
        <v>425</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7"/>
      <c r="B461" s="154" t="s">
        <v>409</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7"/>
      <c r="B462" s="154" t="s">
        <v>436</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7"/>
      <c r="B463" s="154" t="s">
        <v>432</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7"/>
      <c r="B464" s="154" t="s">
        <v>414</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7"/>
      <c r="B465" s="154" t="s">
        <v>426</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7"/>
      <c r="B466" s="154" t="s">
        <v>423</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7"/>
      <c r="B467" s="154" t="s">
        <v>440</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7"/>
      <c r="B468" s="154" t="s">
        <v>428</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7"/>
      <c r="B469" s="154" t="s">
        <v>437</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7"/>
      <c r="B470" s="154" t="s">
        <v>438</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7"/>
      <c r="B471" s="154" t="s">
        <v>435</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7"/>
      <c r="B472" s="154" t="s">
        <v>433</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7"/>
      <c r="B473" s="154" t="s">
        <v>441</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7"/>
      <c r="B474" s="154" t="s">
        <v>421</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7"/>
      <c r="B475" s="154" t="s">
        <v>406</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7"/>
      <c r="B476" s="154" t="s">
        <v>429</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7"/>
      <c r="B477" s="154" t="s">
        <v>420</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7"/>
      <c r="B478" s="154" t="s">
        <v>405</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7"/>
      <c r="B479" s="154" t="s">
        <v>434</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7"/>
      <c r="B480" s="154" t="s">
        <v>431</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7"/>
      <c r="B481" s="154" t="s">
        <v>442</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7"/>
      <c r="B482" s="154" t="s">
        <v>439</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7"/>
      <c r="B483" s="154" t="s">
        <v>430</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7"/>
      <c r="B484" s="154" t="s">
        <v>427</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7"/>
      <c r="B485" s="154" t="s">
        <v>411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7"/>
      <c r="B486" s="154" t="s">
        <v>416</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7"/>
      <c r="B487" s="154" t="s">
        <v>410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7"/>
      <c r="B488" s="154" t="s">
        <v>415</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7"/>
      <c r="B489" s="154" t="s">
        <v>422</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7"/>
      <c r="B490" s="154" t="s">
        <v>407</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7"/>
      <c r="B491" s="154" t="s">
        <v>412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7"/>
      <c r="B492" s="154" t="s">
        <v>417</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7"/>
      <c r="B493" s="154" t="s">
        <v>447</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7"/>
      <c r="B494" s="154" t="s">
        <v>450</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7"/>
      <c r="B495" s="154" t="s">
        <v>446</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7"/>
      <c r="B496" s="154" t="s">
        <v>456</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7"/>
      <c r="B497" s="154" t="s">
        <v>449</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7"/>
      <c r="B498" s="154" t="s">
        <v>455</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7"/>
      <c r="B499" s="154" t="s">
        <v>448</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7"/>
      <c r="B500" s="154" t="s">
        <v>451</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7"/>
      <c r="B501" s="154" t="s">
        <v>453</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7"/>
      <c r="B502" s="154" t="s">
        <v>457</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7"/>
      <c r="B503" s="154" t="s">
        <v>452</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7"/>
      <c r="B504" s="154" t="s">
        <v>454</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7"/>
      <c r="B505" s="154" t="s">
        <v>444</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7"/>
      <c r="B506" s="154" t="s">
        <v>443</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8"/>
      <c r="B507" s="160" t="s">
        <v>445</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199">
        <v>2050</v>
      </c>
      <c r="B508" s="154" t="s">
        <v>424</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7"/>
      <c r="B509" s="154" t="s">
        <v>426</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7"/>
      <c r="B510" s="154" t="s">
        <v>420</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7"/>
      <c r="B511" s="154" t="s">
        <v>405</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7"/>
      <c r="B512" s="154" t="s">
        <v>421</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7"/>
      <c r="B513" s="154" t="s">
        <v>406</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7"/>
      <c r="B514" s="154" t="s">
        <v>425</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7"/>
      <c r="B515" s="154" t="s">
        <v>422</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7"/>
      <c r="B516" s="154" t="s">
        <v>407</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7"/>
      <c r="B517" s="154" t="s">
        <v>410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7"/>
      <c r="B518" s="154" t="s">
        <v>411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7"/>
      <c r="B519" s="154" t="s">
        <v>418</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7"/>
      <c r="B520" s="154" t="s">
        <v>403</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7"/>
      <c r="B521" s="154" t="s">
        <v>415</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7"/>
      <c r="B522" s="154" t="s">
        <v>436</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7"/>
      <c r="B523" s="154" t="s">
        <v>416</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7"/>
      <c r="B524" s="154" t="s">
        <v>432</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7"/>
      <c r="B525" s="154" t="s">
        <v>438</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7"/>
      <c r="B526" s="154" t="s">
        <v>412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7"/>
      <c r="B527" s="154" t="s">
        <v>434</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7"/>
      <c r="B528" s="154" t="s">
        <v>440</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7"/>
      <c r="B529" s="154" t="s">
        <v>437</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7"/>
      <c r="B530" s="154" t="s">
        <v>428</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7"/>
      <c r="B531" s="154" t="s">
        <v>417</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7"/>
      <c r="B532" s="154" t="s">
        <v>419</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7"/>
      <c r="B533" s="154" t="s">
        <v>404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7"/>
      <c r="B534" s="154" t="s">
        <v>442</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7"/>
      <c r="B535" s="154" t="s">
        <v>433</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7"/>
      <c r="B536" s="154" t="s">
        <v>430</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7"/>
      <c r="B537" s="154" t="s">
        <v>441</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7"/>
      <c r="B538" s="154" t="s">
        <v>408</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7"/>
      <c r="B539" s="154" t="s">
        <v>429</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7"/>
      <c r="B540" s="154" t="s">
        <v>423</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7"/>
      <c r="B541" s="154" t="s">
        <v>413</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7"/>
      <c r="B542" s="154" t="s">
        <v>409</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7"/>
      <c r="B543" s="154" t="s">
        <v>414</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7"/>
      <c r="B544" s="154" t="s">
        <v>435</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7"/>
      <c r="B545" s="154" t="s">
        <v>431</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7"/>
      <c r="B546" s="154" t="s">
        <v>439</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7"/>
      <c r="B547" s="154" t="s">
        <v>427</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7"/>
      <c r="B548" s="154" t="s">
        <v>447</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7"/>
      <c r="B549" s="154" t="s">
        <v>450</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7"/>
      <c r="B550" s="154" t="s">
        <v>448</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7"/>
      <c r="B551" s="154" t="s">
        <v>451</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7"/>
      <c r="B552" s="154" t="s">
        <v>456</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7"/>
      <c r="B553" s="154" t="s">
        <v>457</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7"/>
      <c r="B554" s="154" t="s">
        <v>446</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7"/>
      <c r="B555" s="154" t="s">
        <v>455</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7"/>
      <c r="B556" s="154" t="s">
        <v>449</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7"/>
      <c r="B557" s="154" t="s">
        <v>453</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7"/>
      <c r="B558" s="154" t="s">
        <v>454</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7"/>
      <c r="B559" s="154" t="s">
        <v>452</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7"/>
      <c r="B560" s="154" t="s">
        <v>444</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7"/>
      <c r="B561" s="154" t="s">
        <v>445</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8"/>
      <c r="B562" s="160" t="s">
        <v>443</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1</v>
      </c>
      <c r="B1" s="125" t="s">
        <v>26</v>
      </c>
      <c r="C1" s="125" t="s">
        <v>381</v>
      </c>
      <c r="D1" s="125" t="s">
        <v>2</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18</v>
      </c>
      <c r="C2" t="s">
        <v>100</v>
      </c>
      <c r="D2" t="s">
        <v>13</v>
      </c>
      <c r="E2" s="126">
        <f>'Semi-trailer truck (Diesel)'!B$85</f>
        <v>0.16008550383733161</v>
      </c>
      <c r="F2" s="126">
        <f>'Semi-trailer truck (Diesel)'!C$85</f>
        <v>0.15927108242717111</v>
      </c>
      <c r="G2" s="126">
        <f>'Semi-trailer truck (Diesel)'!D$85</f>
        <v>0.15846347095000207</v>
      </c>
      <c r="H2" s="126">
        <f>'Semi-trailer truck (Diesel)'!E$85</f>
        <v>0.15766588881698124</v>
      </c>
      <c r="I2" s="126">
        <f>'Semi-trailer truck (Diesel)'!F$85</f>
        <v>0.15688288706980683</v>
      </c>
      <c r="J2" s="126">
        <f>'Semi-trailer truck (Diesel)'!G$85</f>
        <v>0.15612070653913285</v>
      </c>
      <c r="K2" s="126">
        <f>'Semi-trailer truck (Diesel)'!H$85</f>
        <v>0.15538752305214107</v>
      </c>
      <c r="L2" s="126">
        <f>'Semi-trailer truck (Diesel)'!I$85</f>
        <v>0.1546933151546464</v>
      </c>
      <c r="M2" s="126">
        <f>'Semi-trailer truck (Diesel)'!J$85</f>
        <v>0.15472683430967626</v>
      </c>
      <c r="N2" s="126">
        <f>'Semi-trailer truck (Diesel)'!K$85</f>
        <v>0.15480341556753688</v>
      </c>
      <c r="O2" s="126">
        <f>'Semi-trailer truck (Diesel)'!L$85</f>
        <v>0.15492277051636621</v>
      </c>
      <c r="P2" s="126">
        <f>'Semi-trailer truck (Diesel)'!M$85</f>
        <v>0.15507712829099893</v>
      </c>
      <c r="Q2" s="126">
        <f>'Semi-trailer truck (Diesel)'!N$85</f>
        <v>0.15525072016905569</v>
      </c>
      <c r="R2" s="126">
        <f>'Semi-trailer truck (Diesel)'!O$85</f>
        <v>0.15542273860212891</v>
      </c>
      <c r="S2" s="126">
        <f>'Semi-trailer truck (Diesel)'!P$85</f>
        <v>0.15557300618592901</v>
      </c>
      <c r="T2" s="126">
        <f>'Semi-trailer truck (Diesel)'!Q$85</f>
        <v>0.15568733639311333</v>
      </c>
      <c r="U2" s="126">
        <f>'Semi-trailer truck (Diesel)'!R$85</f>
        <v>0.15575980251134675</v>
      </c>
      <c r="V2" s="126">
        <f>'Semi-trailer truck (Diesel)'!S$85</f>
        <v>0.15579160428280986</v>
      </c>
      <c r="W2" s="126">
        <f>'Semi-trailer truck (Diesel)'!T$85</f>
        <v>0.1557882315999338</v>
      </c>
      <c r="X2" s="126">
        <f>'Semi-trailer truck (Diesel)'!U$85</f>
        <v>0.15575673153295702</v>
      </c>
      <c r="Y2" s="126">
        <f>'Semi-trailer truck (Diesel)'!V$85</f>
        <v>0.15570392132084804</v>
      </c>
      <c r="Z2" s="126">
        <f>'Semi-trailer truck (Diesel)'!W$85</f>
        <v>0.15563555380521404</v>
      </c>
      <c r="AA2" s="126">
        <f>'Semi-trailer truck (Diesel)'!X$85</f>
        <v>0.15555611337024963</v>
      </c>
      <c r="AB2" s="126">
        <f>'Semi-trailer truck (Diesel)'!Y$85</f>
        <v>0.15546892677318974</v>
      </c>
      <c r="AC2" s="126">
        <f>'Semi-trailer truck (Diesel)'!Z$85</f>
        <v>0.15537638441206875</v>
      </c>
      <c r="AD2" s="126">
        <f>'Semi-trailer truck (Diesel)'!AA$85</f>
        <v>0.15528016827275887</v>
      </c>
      <c r="AE2" s="126">
        <f>'Semi-trailer truck (Diesel)'!AB$85</f>
        <v>0.15518144557317454</v>
      </c>
      <c r="AF2" s="126">
        <f>'Semi-trailer truck (Diesel)'!AC$85</f>
        <v>0.15508101886292719</v>
      </c>
    </row>
    <row r="3" spans="1:32" x14ac:dyDescent="0.25">
      <c r="A3">
        <v>2</v>
      </c>
      <c r="B3" t="s">
        <v>18</v>
      </c>
      <c r="C3" t="s">
        <v>100</v>
      </c>
      <c r="D3" t="s">
        <v>20</v>
      </c>
      <c r="E3" s="126">
        <f>'Semi-trailer truck (Diesel)'!B$191</f>
        <v>8.0027147488310843E-2</v>
      </c>
      <c r="F3" s="126">
        <f>'Semi-trailer truck (Diesel)'!C$191</f>
        <v>7.9304701671896294E-2</v>
      </c>
      <c r="G3" s="126">
        <f>'Semi-trailer truck (Diesel)'!D$191</f>
        <v>7.8584088580919059E-2</v>
      </c>
      <c r="H3" s="126">
        <f>'Semi-trailer truck (Diesel)'!E$191</f>
        <v>7.7866482921337937E-2</v>
      </c>
      <c r="I3" s="126">
        <f>'Semi-trailer truck (Diesel)'!F$191</f>
        <v>7.7153668052726138E-2</v>
      </c>
      <c r="J3" s="126">
        <f>'Semi-trailer truck (Diesel)'!G$191</f>
        <v>7.6448263244838277E-2</v>
      </c>
      <c r="K3" s="126">
        <f>'Semi-trailer truck (Diesel)'!H$191</f>
        <v>7.5753949961385805E-2</v>
      </c>
      <c r="L3" s="126">
        <f>'Semi-trailer truck (Diesel)'!I$191</f>
        <v>7.5075590434253298E-2</v>
      </c>
      <c r="M3" s="126">
        <f>'Semi-trailer truck (Diesel)'!J$191</f>
        <v>7.501220359750671E-2</v>
      </c>
      <c r="N3" s="126">
        <f>'Semi-trailer truck (Diesel)'!K$191</f>
        <v>7.4962451944516797E-2</v>
      </c>
      <c r="O3" s="126">
        <f>'Semi-trailer truck (Diesel)'!L$191</f>
        <v>7.492677857200454E-2</v>
      </c>
      <c r="P3" s="126">
        <f>'Semi-trailer truck (Diesel)'!M$191</f>
        <v>7.4903410112360652E-2</v>
      </c>
      <c r="Q3" s="126">
        <f>'Semi-trailer truck (Diesel)'!N$191</f>
        <v>7.4888047507997629E-2</v>
      </c>
      <c r="R3" s="126">
        <f>'Semi-trailer truck (Diesel)'!O$191</f>
        <v>7.4874599414625348E-2</v>
      </c>
      <c r="S3" s="126">
        <f>'Semi-trailer truck (Diesel)'!P$191</f>
        <v>7.4856823543913917E-2</v>
      </c>
      <c r="T3" s="126">
        <f>'Semi-trailer truck (Diesel)'!Q$191</f>
        <v>7.4830012724677847E-2</v>
      </c>
      <c r="U3" s="126">
        <f>'Semi-trailer truck (Diesel)'!R$191</f>
        <v>7.4791836645466875E-2</v>
      </c>
      <c r="V3" s="126">
        <f>'Semi-trailer truck (Diesel)'!S$191</f>
        <v>7.4742150146256847E-2</v>
      </c>
      <c r="W3" s="126">
        <f>'Semi-trailer truck (Diesel)'!T$191</f>
        <v>7.4682220740993205E-2</v>
      </c>
      <c r="X3" s="126">
        <f>'Semi-trailer truck (Diesel)'!U$191</f>
        <v>7.4613919516635402E-2</v>
      </c>
      <c r="Y3" s="126">
        <f>'Semi-trailer truck (Diesel)'!V$191</f>
        <v>7.4539158792619048E-2</v>
      </c>
      <c r="Z3" s="126">
        <f>'Semi-trailer truck (Diesel)'!W$191</f>
        <v>7.4459606175710291E-2</v>
      </c>
      <c r="AA3" s="126">
        <f>'Semi-trailer truck (Diesel)'!X$191</f>
        <v>7.437659286071012E-2</v>
      </c>
      <c r="AB3" s="126">
        <f>'Semi-trailer truck (Diesel)'!Y$191</f>
        <v>7.4291125534346331E-2</v>
      </c>
      <c r="AC3" s="126">
        <f>'Semi-trailer truck (Diesel)'!Z$191</f>
        <v>7.4203939604705782E-2</v>
      </c>
      <c r="AD3" s="126">
        <f>'Semi-trailer truck (Diesel)'!AA$191</f>
        <v>7.4115560290400034E-2</v>
      </c>
      <c r="AE3" s="126">
        <f>'Semi-trailer truck (Diesel)'!AB$191</f>
        <v>7.4026357111548702E-2</v>
      </c>
      <c r="AF3" s="126">
        <f>'Semi-trailer truck (Diesel)'!AC$191</f>
        <v>7.393658744712471E-2</v>
      </c>
    </row>
    <row r="4" spans="1:32" x14ac:dyDescent="0.25">
      <c r="A4">
        <v>3</v>
      </c>
      <c r="B4" t="s">
        <v>18</v>
      </c>
      <c r="C4" t="s">
        <v>100</v>
      </c>
      <c r="D4" t="s">
        <v>21</v>
      </c>
      <c r="E4" s="126">
        <f>'Semi-trailer truck (Diesel)'!B$299</f>
        <v>8.4300018728238085E-2</v>
      </c>
      <c r="F4" s="126">
        <f>'Semi-trailer truck (Diesel)'!C$299</f>
        <v>8.3546650526390556E-2</v>
      </c>
      <c r="G4" s="126">
        <f>'Semi-trailer truck (Diesel)'!D$299</f>
        <v>8.2795399750635656E-2</v>
      </c>
      <c r="H4" s="126">
        <f>'Semi-trailer truck (Diesel)'!E$299</f>
        <v>8.204757378501995E-2</v>
      </c>
      <c r="I4" s="126">
        <f>'Semi-trailer truck (Diesel)'!F$299</f>
        <v>8.1305142783727385E-2</v>
      </c>
      <c r="J4" s="126">
        <f>'Semi-trailer truck (Diesel)'!G$299</f>
        <v>8.0570981088219445E-2</v>
      </c>
      <c r="K4" s="126">
        <f>'Semi-trailer truck (Diesel)'!H$299</f>
        <v>7.9849102766720442E-2</v>
      </c>
      <c r="L4" s="126">
        <f>'Semi-trailer truck (Diesel)'!I$299</f>
        <v>7.9144773700734944E-2</v>
      </c>
      <c r="M4" s="126">
        <f>'Semi-trailer truck (Diesel)'!J$299</f>
        <v>7.9083237925615418E-2</v>
      </c>
      <c r="N4" s="126">
        <f>'Semi-trailer truck (Diesel)'!K$299</f>
        <v>7.9037124909010659E-2</v>
      </c>
      <c r="O4" s="126">
        <f>'Semi-trailer truck (Diesel)'!L$299</f>
        <v>7.9006862455842028E-2</v>
      </c>
      <c r="P4" s="126">
        <f>'Semi-trailer truck (Diesel)'!M$299</f>
        <v>7.8990350349502914E-2</v>
      </c>
      <c r="Q4" s="126">
        <f>'Semi-trailer truck (Diesel)'!N$299</f>
        <v>7.8982630638001761E-2</v>
      </c>
      <c r="R4" s="126">
        <f>'Semi-trailer truck (Diesel)'!O$299</f>
        <v>7.8976745135467291E-2</v>
      </c>
      <c r="S4" s="126">
        <f>'Semi-trailer truck (Diesel)'!P$299</f>
        <v>7.8965613047099398E-2</v>
      </c>
      <c r="T4" s="126">
        <f>'Semi-trailer truck (Diesel)'!Q$299</f>
        <v>7.8943939633264126E-2</v>
      </c>
      <c r="U4" s="126">
        <f>'Semi-trailer truck (Diesel)'!R$299</f>
        <v>7.890915137335032E-2</v>
      </c>
      <c r="V4" s="126">
        <f>'Semi-trailer truck (Diesel)'!S$299</f>
        <v>7.8861156171652416E-2</v>
      </c>
      <c r="W4" s="126">
        <f>'Semi-trailer truck (Diesel)'!T$299</f>
        <v>7.8801452360333701E-2</v>
      </c>
      <c r="X4" s="126">
        <f>'Semi-trailer truck (Diesel)'!U$299</f>
        <v>7.8732205799053656E-2</v>
      </c>
      <c r="Y4" s="126">
        <f>'Semi-trailer truck (Diesel)'!V$299</f>
        <v>7.8655613331181734E-2</v>
      </c>
      <c r="Z4" s="126">
        <f>'Semi-trailer truck (Diesel)'!W$299</f>
        <v>7.8573582329226205E-2</v>
      </c>
      <c r="AA4" s="126">
        <f>'Semi-trailer truck (Diesel)'!X$299</f>
        <v>7.8487630692923249E-2</v>
      </c>
      <c r="AB4" s="126">
        <f>'Semi-trailer truck (Diesel)'!Y$299</f>
        <v>7.839890349790693E-2</v>
      </c>
      <c r="AC4" s="126">
        <f>'Semi-trailer truck (Diesel)'!Z$299</f>
        <v>7.830823551486138E-2</v>
      </c>
      <c r="AD4" s="126">
        <f>'Semi-trailer truck (Diesel)'!AA$299</f>
        <v>7.8216221829991273E-2</v>
      </c>
      <c r="AE4" s="126">
        <f>'Semi-trailer truck (Diesel)'!AB$299</f>
        <v>7.8123280416865143E-2</v>
      </c>
      <c r="AF4" s="126">
        <f>'Semi-trailer truck (Diesel)'!AC$299</f>
        <v>7.8029701949290181E-2</v>
      </c>
    </row>
    <row r="5" spans="1:32" x14ac:dyDescent="0.25">
      <c r="A5">
        <v>4</v>
      </c>
      <c r="B5" t="s">
        <v>18</v>
      </c>
      <c r="C5" t="s">
        <v>100</v>
      </c>
      <c r="D5" t="s">
        <v>22</v>
      </c>
      <c r="E5" s="126">
        <f>'Semi-trailer truck (Diesel)'!B$408</f>
        <v>0.10828383175735644</v>
      </c>
      <c r="F5" s="126">
        <f>'Semi-trailer truck (Diesel)'!C$408</f>
        <v>0.10753418216485393</v>
      </c>
      <c r="G5" s="126">
        <f>'Semi-trailer truck (Diesel)'!D$408</f>
        <v>0.10678821128129962</v>
      </c>
      <c r="H5" s="126">
        <f>'Semi-trailer truck (Diesel)'!E$408</f>
        <v>0.10604784793594421</v>
      </c>
      <c r="I5" s="126">
        <f>'Semi-trailer truck (Diesel)'!F$408</f>
        <v>0.10531589431886025</v>
      </c>
      <c r="J5" s="126">
        <f>'Semi-trailer truck (Diesel)'!G$408</f>
        <v>0.10459629999081058</v>
      </c>
      <c r="K5" s="126">
        <f>'Semi-trailer truck (Diesel)'!H$408</f>
        <v>0.10389439298513055</v>
      </c>
      <c r="L5" s="126">
        <f>'Semi-trailer truck (Diesel)'!I$408</f>
        <v>0.10321690322756603</v>
      </c>
      <c r="M5" s="126">
        <f>'Semi-trailer truck (Diesel)'!J$408</f>
        <v>0.10319045161352582</v>
      </c>
      <c r="N5" s="126">
        <f>'Semi-trailer truck (Diesel)'!K$408</f>
        <v>0.10318852116780756</v>
      </c>
      <c r="O5" s="126">
        <f>'Semi-trailer truck (Diesel)'!L$408</f>
        <v>0.10321127653144178</v>
      </c>
      <c r="P5" s="126">
        <f>'Semi-trailer truck (Diesel)'!M$408</f>
        <v>0.10325471557553673</v>
      </c>
      <c r="Q5" s="126">
        <f>'Semi-trailer truck (Diesel)'!N$408</f>
        <v>0.1033102860475754</v>
      </c>
      <c r="R5" s="126">
        <f>'Semi-trailer truck (Diesel)'!O$408</f>
        <v>0.10336644529614965</v>
      </c>
      <c r="S5" s="126">
        <f>'Semi-trailer truck (Diesel)'!P$408</f>
        <v>0.10341179382181756</v>
      </c>
      <c r="T5" s="126">
        <f>'Semi-trailer truck (Diesel)'!Q$408</f>
        <v>0.1034381208869186</v>
      </c>
      <c r="U5" s="126">
        <f>'Semi-trailer truck (Diesel)'!R$408</f>
        <v>0.10344177241423405</v>
      </c>
      <c r="V5" s="126">
        <f>'Semi-trailer truck (Diesel)'!S$408</f>
        <v>0.10342310847627158</v>
      </c>
      <c r="W5" s="126">
        <f>'Semi-trailer truck (Diesel)'!T$408</f>
        <v>0.10338496549616917</v>
      </c>
      <c r="X5" s="126">
        <f>'Semi-trailer truck (Diesel)'!U$408</f>
        <v>0.10333113461729546</v>
      </c>
      <c r="Y5" s="126">
        <f>'Semi-trailer truck (Diesel)'!V$408</f>
        <v>0.10326534626620777</v>
      </c>
      <c r="Z5" s="126">
        <f>'Semi-trailer truck (Diesel)'!W$408</f>
        <v>0.10319078157302311</v>
      </c>
      <c r="AA5" s="126">
        <f>'Semi-trailer truck (Diesel)'!X$408</f>
        <v>0.10310993950387246</v>
      </c>
      <c r="AB5" s="126">
        <f>'Semi-trailer truck (Diesel)'!Y$408</f>
        <v>0.10302468570145892</v>
      </c>
      <c r="AC5" s="126">
        <f>'Semi-trailer truck (Diesel)'!Z$408</f>
        <v>0.10293636812453781</v>
      </c>
      <c r="AD5" s="126">
        <f>'Semi-trailer truck (Diesel)'!AA$408</f>
        <v>0.10284594002609314</v>
      </c>
      <c r="AE5" s="126">
        <f>'Semi-trailer truck (Diesel)'!AB$408</f>
        <v>0.10275406602187209</v>
      </c>
      <c r="AF5" s="126">
        <f>'Semi-trailer truck (Diesel)'!AC$408</f>
        <v>0.1026612051195252</v>
      </c>
    </row>
    <row r="6" spans="1:32" x14ac:dyDescent="0.25">
      <c r="A6">
        <v>5</v>
      </c>
      <c r="B6" t="s">
        <v>18</v>
      </c>
      <c r="C6" t="s">
        <v>100</v>
      </c>
      <c r="D6" t="s">
        <v>23</v>
      </c>
      <c r="E6" s="126">
        <f>'Semi-trailer truck (Diesel)'!B$513</f>
        <v>9.1760643921659973E-2</v>
      </c>
      <c r="F6" s="126">
        <f>'Semi-trailer truck (Diesel)'!C$513</f>
        <v>9.1040381901361891E-2</v>
      </c>
      <c r="G6" s="126">
        <f>'Semi-trailer truck (Diesel)'!D$513</f>
        <v>9.0322869487818952E-2</v>
      </c>
      <c r="H6" s="126">
        <f>'Semi-trailer truck (Diesel)'!E$513</f>
        <v>9.0666397123993658E-2</v>
      </c>
      <c r="I6" s="126">
        <f>'Semi-trailer truck (Diesel)'!F$513</f>
        <v>8.9959735219789477E-2</v>
      </c>
      <c r="J6" s="126">
        <f>'Semi-trailer truck (Diesel)'!G$513</f>
        <v>8.9262885266023412E-2</v>
      </c>
      <c r="K6" s="126">
        <f>'Semi-trailer truck (Diesel)'!H$513</f>
        <v>8.8580300367534198E-2</v>
      </c>
      <c r="L6" s="126">
        <f>'Semi-trailer truck (Diesel)'!I$513</f>
        <v>8.7917702533029413E-2</v>
      </c>
      <c r="M6" s="126">
        <f>'Semi-trailer truck (Diesel)'!J$513</f>
        <v>8.7874919273482316E-2</v>
      </c>
      <c r="N6" s="126">
        <f>'Semi-trailer truck (Diesel)'!K$513</f>
        <v>8.785111434351861E-2</v>
      </c>
      <c r="O6" s="126">
        <f>'Semi-trailer truck (Diesel)'!L$513</f>
        <v>8.7846576293836992E-2</v>
      </c>
      <c r="P6" s="126">
        <f>'Semi-trailer truck (Diesel)'!M$513</f>
        <v>8.785841483695922E-2</v>
      </c>
      <c r="Q6" s="126">
        <f>'Semi-trailer truck (Diesel)'!N$513</f>
        <v>8.7880220120965691E-2</v>
      </c>
      <c r="R6" s="126">
        <f>'Semi-trailer truck (Diesel)'!O$513</f>
        <v>8.7903208521440374E-2</v>
      </c>
      <c r="S6" s="126">
        <f>'Semi-trailer truck (Diesel)'!P$513</f>
        <v>8.7918601541070396E-2</v>
      </c>
      <c r="T6" s="126">
        <f>'Semi-trailer truck (Diesel)'!Q$513</f>
        <v>8.7919979555283731E-2</v>
      </c>
      <c r="U6" s="126">
        <f>'Semi-trailer truck (Diesel)'!R$513</f>
        <v>8.7904377683331703E-2</v>
      </c>
      <c r="V6" s="126">
        <f>'Semi-trailer truck (Diesel)'!S$513</f>
        <v>8.7871916306175052E-2</v>
      </c>
      <c r="W6" s="126">
        <f>'Semi-trailer truck (Diesel)'!T$513</f>
        <v>8.7824648747077447E-2</v>
      </c>
      <c r="X6" s="126">
        <f>'Semi-trailer truck (Diesel)'!U$513</f>
        <v>8.7765400559553661E-2</v>
      </c>
      <c r="Y6" s="126">
        <f>'Semi-trailer truck (Diesel)'!V$513</f>
        <v>8.7696984677408649E-2</v>
      </c>
      <c r="Z6" s="126">
        <f>'Semi-trailer truck (Diesel)'!W$513</f>
        <v>8.7621816736217439E-2</v>
      </c>
      <c r="AA6" s="126">
        <f>'Semi-trailer truck (Diesel)'!X$513</f>
        <v>8.7541804073307555E-2</v>
      </c>
      <c r="AB6" s="126">
        <f>'Semi-trailer truck (Diesel)'!Y$513</f>
        <v>8.7458376536707419E-2</v>
      </c>
      <c r="AC6" s="126">
        <f>'Semi-trailer truck (Diesel)'!Z$513</f>
        <v>8.7372570910102365E-2</v>
      </c>
      <c r="AD6" s="126">
        <f>'Semi-trailer truck (Diesel)'!AA$513</f>
        <v>8.7285122749665406E-2</v>
      </c>
      <c r="AE6" s="126">
        <f>'Semi-trailer truck (Diesel)'!AB$513</f>
        <v>8.7196546418972981E-2</v>
      </c>
      <c r="AF6" s="126">
        <f>'Semi-trailer truck (Diesel)'!AC$513</f>
        <v>8.7107198152983983E-2</v>
      </c>
    </row>
    <row r="7" spans="1:32" x14ac:dyDescent="0.25">
      <c r="A7">
        <v>6</v>
      </c>
      <c r="B7" t="s">
        <v>18</v>
      </c>
      <c r="C7" t="s">
        <v>299</v>
      </c>
      <c r="D7" t="s">
        <v>13</v>
      </c>
      <c r="E7" s="126">
        <f>'Semi-trailer truck (Battery)'!B$85</f>
        <v>0.21637192652690349</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25">
      <c r="A8">
        <v>7</v>
      </c>
      <c r="B8" t="s">
        <v>18</v>
      </c>
      <c r="C8" t="s">
        <v>299</v>
      </c>
      <c r="D8" t="s">
        <v>20</v>
      </c>
      <c r="E8" s="126">
        <f>'Semi-trailer truck (Battery)'!B$191</f>
        <v>0.10531087632523629</v>
      </c>
      <c r="F8" s="126">
        <f>'Semi-trailer truck (Battery)'!C$191</f>
        <v>0.10473550749037042</v>
      </c>
      <c r="G8" s="126">
        <f>'Semi-trailer truck (Battery)'!D$191</f>
        <v>0.10394602256673009</v>
      </c>
      <c r="H8" s="126">
        <f>'Semi-trailer truck (Battery)'!E$191</f>
        <v>0.10288364693717506</v>
      </c>
      <c r="I8" s="126">
        <f>'Semi-trailer truck (Battery)'!F$191</f>
        <v>0.10149212680225049</v>
      </c>
      <c r="J8" s="126">
        <f>'Semi-trailer truck (Battery)'!G$191</f>
        <v>9.9734359914276746E-2</v>
      </c>
      <c r="K8" s="126">
        <f>'Semi-trailer truck (Battery)'!H$191</f>
        <v>9.7615210533501584E-2</v>
      </c>
      <c r="L8" s="126">
        <f>'Semi-trailer truck (Battery)'!I$191</f>
        <v>9.5201916568160655E-2</v>
      </c>
      <c r="M8" s="126">
        <f>'Semi-trailer truck (Battery)'!J$191</f>
        <v>9.2788149275787823E-2</v>
      </c>
      <c r="N8" s="126">
        <f>'Semi-trailer truck (Battery)'!K$191</f>
        <v>9.0376503661637492E-2</v>
      </c>
      <c r="O8" s="126">
        <f>'Semi-trailer truck (Battery)'!L$191</f>
        <v>8.8135330503506748E-2</v>
      </c>
      <c r="P8" s="126">
        <f>'Semi-trailer truck (Battery)'!M$191</f>
        <v>8.6186731956471668E-2</v>
      </c>
      <c r="Q8" s="126">
        <f>'Semi-trailer truck (Battery)'!N$191</f>
        <v>8.4589344089089913E-2</v>
      </c>
      <c r="R8" s="126">
        <f>'Semi-trailer truck (Battery)'!O$191</f>
        <v>8.3125683351075508E-2</v>
      </c>
      <c r="S8" s="126">
        <f>'Semi-trailer truck (Battery)'!P$191</f>
        <v>8.1989256124135684E-2</v>
      </c>
      <c r="T8" s="126">
        <f>'Semi-trailer truck (Battery)'!Q$191</f>
        <v>8.1127336728427979E-2</v>
      </c>
      <c r="U8" s="126">
        <f>'Semi-trailer truck (Battery)'!R$191</f>
        <v>8.0483529458206887E-2</v>
      </c>
      <c r="V8" s="126">
        <f>'Semi-trailer truck (Battery)'!S$191</f>
        <v>8.0005740978412787E-2</v>
      </c>
      <c r="W8" s="126">
        <f>'Semi-trailer truck (Battery)'!T$191</f>
        <v>7.9650080607777923E-2</v>
      </c>
      <c r="X8" s="126">
        <f>'Semi-trailer truck (Battery)'!U$191</f>
        <v>7.9381912832722501E-2</v>
      </c>
      <c r="Y8" s="126">
        <f>'Semi-trailer truck (Battery)'!V$191</f>
        <v>7.9175189423155379E-2</v>
      </c>
      <c r="Z8" s="126">
        <f>'Semi-trailer truck (Battery)'!W$191</f>
        <v>7.9010995375950868E-2</v>
      </c>
      <c r="AA8" s="126">
        <f>'Semi-trailer truck (Battery)'!X$191</f>
        <v>7.8875935933557129E-2</v>
      </c>
      <c r="AB8" s="126">
        <f>'Semi-trailer truck (Battery)'!Y$191</f>
        <v>7.8760691477223227E-2</v>
      </c>
      <c r="AC8" s="126">
        <f>'Semi-trailer truck (Battery)'!Z$191</f>
        <v>7.8658856604441774E-2</v>
      </c>
      <c r="AD8" s="126">
        <f>'Semi-trailer truck (Battery)'!AA$191</f>
        <v>7.8566065680302416E-2</v>
      </c>
      <c r="AE8" s="126">
        <f>'Semi-trailer truck (Battery)'!AB$191</f>
        <v>7.8479360256866859E-2</v>
      </c>
      <c r="AF8" s="126">
        <f>'Semi-trailer truck (Battery)'!AC$191</f>
        <v>7.8396743248474315E-2</v>
      </c>
    </row>
    <row r="9" spans="1:32" x14ac:dyDescent="0.25">
      <c r="A9">
        <v>8</v>
      </c>
      <c r="B9" t="s">
        <v>18</v>
      </c>
      <c r="C9" t="s">
        <v>299</v>
      </c>
      <c r="D9" t="s">
        <v>21</v>
      </c>
      <c r="E9" s="126">
        <f>'Semi-trailer truck (Battery)'!B$299</f>
        <v>0.11143385784995678</v>
      </c>
      <c r="F9" s="126">
        <f>'Semi-trailer truck (Battery)'!C$299</f>
        <v>0.11081095282621557</v>
      </c>
      <c r="G9" s="126">
        <f>'Semi-trailer truck (Battery)'!D$299</f>
        <v>0.10995630396229884</v>
      </c>
      <c r="H9" s="126">
        <f>'Semi-trailer truck (Battery)'!E$299</f>
        <v>0.10880636662538078</v>
      </c>
      <c r="I9" s="126">
        <f>'Semi-trailer truck (Battery)'!F$299</f>
        <v>0.10730040704478783</v>
      </c>
      <c r="J9" s="126">
        <f>'Semi-trailer truck (Battery)'!G$299</f>
        <v>0.10539855825130365</v>
      </c>
      <c r="K9" s="126">
        <f>'Semi-trailer truck (Battery)'!H$299</f>
        <v>0.10310657226399533</v>
      </c>
      <c r="L9" s="126">
        <f>'Semi-trailer truck (Battery)'!I$299</f>
        <v>0.10049792810826105</v>
      </c>
      <c r="M9" s="126">
        <f>'Semi-trailer truck (Battery)'!J$299</f>
        <v>9.7884643466625093E-2</v>
      </c>
      <c r="N9" s="126">
        <f>'Semi-trailer truck (Battery)'!K$299</f>
        <v>9.527735972632409E-2</v>
      </c>
      <c r="O9" s="126">
        <f>'Semi-trailer truck (Battery)'!L$299</f>
        <v>9.2858559747352021E-2</v>
      </c>
      <c r="P9" s="126">
        <f>'Semi-trailer truck (Battery)'!M$299</f>
        <v>9.075990136878348E-2</v>
      </c>
      <c r="Q9" s="126">
        <f>'Semi-trailer truck (Battery)'!N$299</f>
        <v>8.9043567823607478E-2</v>
      </c>
      <c r="R9" s="126">
        <f>'Semi-trailer truck (Battery)'!O$299</f>
        <v>8.748143616237751E-2</v>
      </c>
      <c r="S9" s="126">
        <f>'Semi-trailer truck (Battery)'!P$299</f>
        <v>8.6271980782402891E-2</v>
      </c>
      <c r="T9" s="126">
        <f>'Semi-trailer truck (Battery)'!Q$299</f>
        <v>8.5357082205755164E-2</v>
      </c>
      <c r="U9" s="126">
        <f>'Semi-trailer truck (Battery)'!R$299</f>
        <v>8.4675288663069601E-2</v>
      </c>
      <c r="V9" s="126">
        <f>'Semi-trailer truck (Battery)'!S$299</f>
        <v>8.4170330767590215E-2</v>
      </c>
      <c r="W9" s="126">
        <f>'Semi-trailer truck (Battery)'!T$299</f>
        <v>8.3795117230171745E-2</v>
      </c>
      <c r="X9" s="126">
        <f>'Semi-trailer truck (Battery)'!U$299</f>
        <v>8.3512671697669696E-2</v>
      </c>
      <c r="Y9" s="126">
        <f>'Semi-trailer truck (Battery)'!V$299</f>
        <v>8.329528456981633E-2</v>
      </c>
      <c r="Z9" s="126">
        <f>'Semi-trailer truck (Battery)'!W$299</f>
        <v>8.3122884522398771E-2</v>
      </c>
      <c r="AA9" s="126">
        <f>'Semi-trailer truck (Battery)'!X$299</f>
        <v>8.2981282236199341E-2</v>
      </c>
      <c r="AB9" s="126">
        <f>'Semi-trailer truck (Battery)'!Y$299</f>
        <v>8.286061670692918E-2</v>
      </c>
      <c r="AC9" s="126">
        <f>'Semi-trailer truck (Battery)'!Z$299</f>
        <v>8.2754115711758003E-2</v>
      </c>
      <c r="AD9" s="126">
        <f>'Semi-trailer truck (Battery)'!AA$299</f>
        <v>8.2657165997467724E-2</v>
      </c>
      <c r="AE9" s="126">
        <f>'Semi-trailer truck (Battery)'!AB$299</f>
        <v>8.2566642378348293E-2</v>
      </c>
      <c r="AF9" s="126">
        <f>'Semi-trailer truck (Battery)'!AC$299</f>
        <v>8.2480435679140041E-2</v>
      </c>
    </row>
    <row r="10" spans="1:32" x14ac:dyDescent="0.25">
      <c r="A10">
        <v>9</v>
      </c>
      <c r="B10" t="s">
        <v>18</v>
      </c>
      <c r="C10" t="s">
        <v>299</v>
      </c>
      <c r="D10" t="s">
        <v>22</v>
      </c>
      <c r="E10" s="126">
        <f>'Semi-trailer truck (Battery)'!B$408</f>
        <v>0.14511916971521754</v>
      </c>
      <c r="F10" s="126">
        <f>'Semi-trailer truck (Battery)'!C$408</f>
        <v>0.14430014442718125</v>
      </c>
      <c r="G10" s="126">
        <f>'Semi-trailer truck (Battery)'!D$408</f>
        <v>0.14317642122701657</v>
      </c>
      <c r="H10" s="126">
        <f>'Semi-trailer truck (Battery)'!E$408</f>
        <v>0.14166446214625897</v>
      </c>
      <c r="I10" s="126">
        <f>'Semi-trailer truck (Battery)'!F$408</f>
        <v>0.13968443775973252</v>
      </c>
      <c r="J10" s="126">
        <f>'Semi-trailer truck (Battery)'!G$408</f>
        <v>0.13718397574133306</v>
      </c>
      <c r="K10" s="126">
        <f>'Semi-trailer truck (Battery)'!H$408</f>
        <v>0.13417071394529606</v>
      </c>
      <c r="L10" s="126">
        <f>'Semi-trailer truck (Battery)'!I$408</f>
        <v>0.13074137088167351</v>
      </c>
      <c r="M10" s="126">
        <f>'Semi-trailer truck (Battery)'!J$408</f>
        <v>0.12725355111517206</v>
      </c>
      <c r="N10" s="126">
        <f>'Semi-trailer truck (Battery)'!K$408</f>
        <v>0.12377714971472829</v>
      </c>
      <c r="O10" s="126">
        <f>'Semi-trailer truck (Battery)'!L$408</f>
        <v>0.12055181456586964</v>
      </c>
      <c r="P10" s="126">
        <f>'Semi-trailer truck (Battery)'!M$408</f>
        <v>0.11774997366588581</v>
      </c>
      <c r="Q10" s="126">
        <f>'Semi-trailer truck (Battery)'!N$408</f>
        <v>0.11545250167603095</v>
      </c>
      <c r="R10" s="126">
        <f>'Semi-trailer truck (Battery)'!O$408</f>
        <v>0.11343091783136794</v>
      </c>
      <c r="S10" s="126">
        <f>'Semi-trailer truck (Battery)'!P$408</f>
        <v>0.11187122203646577</v>
      </c>
      <c r="T10" s="126">
        <f>'Semi-trailer truck (Battery)'!Q$408</f>
        <v>0.11069724807240844</v>
      </c>
      <c r="U10" s="126">
        <f>'Semi-trailer truck (Battery)'!R$408</f>
        <v>0.10982848304796937</v>
      </c>
      <c r="V10" s="126">
        <f>'Semi-trailer truck (Battery)'!S$408</f>
        <v>0.10919123007674041</v>
      </c>
      <c r="W10" s="126">
        <f>'Semi-trailer truck (Battery)'!T$408</f>
        <v>0.10872383164959933</v>
      </c>
      <c r="X10" s="126">
        <f>'Semi-trailer truck (Battery)'!U$408</f>
        <v>0.10837788356049714</v>
      </c>
      <c r="Y10" s="126">
        <f>'Semi-trailer truck (Battery)'!V$408</f>
        <v>0.10811711568691768</v>
      </c>
      <c r="Z10" s="126">
        <f>'Semi-trailer truck (Battery)'!W$408</f>
        <v>0.10791525603325183</v>
      </c>
      <c r="AA10" s="126">
        <f>'Semi-trailer truck (Battery)'!X$408</f>
        <v>0.10775373056591699</v>
      </c>
      <c r="AB10" s="126">
        <f>'Semi-trailer truck (Battery)'!Y$408</f>
        <v>0.1076196296270502</v>
      </c>
      <c r="AC10" s="126">
        <f>'Semi-trailer truck (Battery)'!Z$408</f>
        <v>0.10750408597060701</v>
      </c>
      <c r="AD10" s="126">
        <f>'Semi-trailer truck (Battery)'!AA$408</f>
        <v>0.10740105817449599</v>
      </c>
      <c r="AE10" s="126">
        <f>'Semi-trailer truck (Battery)'!AB$408</f>
        <v>0.10730645279080381</v>
      </c>
      <c r="AF10" s="126">
        <f>'Semi-trailer truck (Battery)'!AC$408</f>
        <v>0.10721750661777942</v>
      </c>
    </row>
    <row r="11" spans="1:32" x14ac:dyDescent="0.25">
      <c r="A11">
        <v>10</v>
      </c>
      <c r="B11" t="s">
        <v>18</v>
      </c>
      <c r="C11" t="s">
        <v>299</v>
      </c>
      <c r="D11" t="s">
        <v>23</v>
      </c>
      <c r="E11" s="126">
        <f>'Semi-trailer truck (Battery)'!B$513</f>
        <v>0.12257559398774524</v>
      </c>
      <c r="F11" s="126">
        <f>'Semi-trailer truck (Battery)'!C$513</f>
        <v>0.12188527051856508</v>
      </c>
      <c r="G11" s="126">
        <f>'Semi-trailer truck (Battery)'!D$513</f>
        <v>0.12093809750947351</v>
      </c>
      <c r="H11" s="126">
        <f>'Semi-trailer truck (Battery)'!E$513</f>
        <v>0.11966361938964454</v>
      </c>
      <c r="I11" s="126">
        <f>'Semi-trailer truck (Battery)'!F$513</f>
        <v>0.11799446290725628</v>
      </c>
      <c r="J11" s="126">
        <f>'Semi-trailer truck (Battery)'!G$513</f>
        <v>0.11588632588093746</v>
      </c>
      <c r="K11" s="126">
        <f>'Semi-trailer truck (Battery)'!H$513</f>
        <v>0.11334538564086004</v>
      </c>
      <c r="L11" s="126">
        <f>'Semi-trailer truck (Battery)'!I$513</f>
        <v>0.11045279156137923</v>
      </c>
      <c r="M11" s="126">
        <f>'Semi-trailer truck (Battery)'!J$513</f>
        <v>0.10752927013752651</v>
      </c>
      <c r="N11" s="126">
        <f>'Semi-trailer truck (Battery)'!K$513</f>
        <v>0.10461243177478609</v>
      </c>
      <c r="O11" s="126">
        <f>'Semi-trailer truck (Battery)'!L$513</f>
        <v>0.10190423158797018</v>
      </c>
      <c r="P11" s="126">
        <f>'Semi-trailer truck (Battery)'!M$513</f>
        <v>9.9550466319943506E-2</v>
      </c>
      <c r="Q11" s="126">
        <f>'Semi-trailer truck (Battery)'!N$513</f>
        <v>9.7620215868248636E-2</v>
      </c>
      <c r="R11" s="126">
        <f>'Semi-trailer truck (Battery)'!O$513</f>
        <v>9.5895094669613379E-2</v>
      </c>
      <c r="S11" s="126">
        <f>'Semi-trailer truck (Battery)'!P$513</f>
        <v>9.456063625383973E-2</v>
      </c>
      <c r="T11" s="126">
        <f>'Semi-trailer truck (Battery)'!Q$513</f>
        <v>9.3553084839918421E-2</v>
      </c>
      <c r="U11" s="126">
        <f>'Semi-trailer truck (Battery)'!R$513</f>
        <v>9.2804690153400746E-2</v>
      </c>
      <c r="V11" s="126">
        <f>'Semi-trailer truck (Battery)'!S$513</f>
        <v>9.225318374920706E-2</v>
      </c>
      <c r="W11" s="126">
        <f>'Semi-trailer truck (Battery)'!T$513</f>
        <v>9.184630429930829E-2</v>
      </c>
      <c r="X11" s="126">
        <f>'Semi-trailer truck (Battery)'!U$513</f>
        <v>9.1542927709465538E-2</v>
      </c>
      <c r="Y11" s="126">
        <f>'Semi-trailer truck (Battery)'!V$513</f>
        <v>9.1312187667579786E-2</v>
      </c>
      <c r="Z11" s="126">
        <f>'Semi-trailer truck (Battery)'!W$513</f>
        <v>9.1131700906401603E-2</v>
      </c>
      <c r="AA11" s="126">
        <f>'Semi-trailer truck (Battery)'!X$513</f>
        <v>9.0985630714093435E-2</v>
      </c>
      <c r="AB11" s="126">
        <f>'Semi-trailer truck (Battery)'!Y$513</f>
        <v>9.0862964633204688E-2</v>
      </c>
      <c r="AC11" s="126">
        <f>'Semi-trailer truck (Battery)'!Z$513</f>
        <v>9.0756136297087897E-2</v>
      </c>
      <c r="AD11" s="126">
        <f>'Semi-trailer truck (Battery)'!AA$513</f>
        <v>9.0659989728664903E-2</v>
      </c>
      <c r="AE11" s="126">
        <f>'Semi-trailer truck (Battery)'!AB$513</f>
        <v>9.0571031142839237E-2</v>
      </c>
      <c r="AF11" s="126">
        <f>'Semi-trailer truck (Battery)'!AC$513</f>
        <v>9.0486902077712511E-2</v>
      </c>
    </row>
    <row r="12" spans="1:32" x14ac:dyDescent="0.25">
      <c r="A12">
        <v>11</v>
      </c>
      <c r="B12" t="s">
        <v>18</v>
      </c>
      <c r="C12" t="s">
        <v>95</v>
      </c>
      <c r="D12" t="s">
        <v>13</v>
      </c>
      <c r="E12" s="126">
        <f>'Semi-trailer truck (Hydrogen)'!B$85</f>
        <v>0.24891004870420008</v>
      </c>
      <c r="F12" s="126">
        <f>'Semi-trailer truck (Hydrogen)'!C$85</f>
        <v>0.24686948965581962</v>
      </c>
      <c r="G12" s="126">
        <f>'Semi-trailer truck (Hydrogen)'!D$85</f>
        <v>0.24441003081780699</v>
      </c>
      <c r="H12" s="126">
        <f>'Semi-trailer truck (Hydrogen)'!E$85</f>
        <v>0.24167883382739944</v>
      </c>
      <c r="I12" s="126">
        <f>'Semi-trailer truck (Hydrogen)'!F$85</f>
        <v>0.23824376249588991</v>
      </c>
      <c r="J12" s="126">
        <f>'Semi-trailer truck (Hydrogen)'!G$85</f>
        <v>0.23396617162270528</v>
      </c>
      <c r="K12" s="126">
        <f>'Semi-trailer truck (Hydrogen)'!H$85</f>
        <v>0.22876151197232558</v>
      </c>
      <c r="L12" s="126">
        <f>'Semi-trailer truck (Hydrogen)'!I$85</f>
        <v>0.22265915905493006</v>
      </c>
      <c r="M12" s="126">
        <f>'Semi-trailer truck (Hydrogen)'!J$85</f>
        <v>0.21640668673553104</v>
      </c>
      <c r="N12" s="126">
        <f>'Semi-trailer truck (Hydrogen)'!K$85</f>
        <v>0.20978098994427952</v>
      </c>
      <c r="O12" s="126">
        <f>'Semi-trailer truck (Hydrogen)'!L$85</f>
        <v>0.20324865822433011</v>
      </c>
      <c r="P12" s="126">
        <f>'Semi-trailer truck (Hydrogen)'!M$85</f>
        <v>0.19725556359642915</v>
      </c>
      <c r="Q12" s="126">
        <f>'Semi-trailer truck (Hydrogen)'!N$85</f>
        <v>0.19211175280138088</v>
      </c>
      <c r="R12" s="126">
        <f>'Semi-trailer truck (Hydrogen)'!O$85</f>
        <v>0.18745385698996528</v>
      </c>
      <c r="S12" s="126">
        <f>'Semi-trailer truck (Hydrogen)'!P$85</f>
        <v>0.18376212454975488</v>
      </c>
      <c r="T12" s="126">
        <f>'Semi-trailer truck (Hydrogen)'!Q$85</f>
        <v>0.18090469799572684</v>
      </c>
      <c r="U12" s="126">
        <f>'Semi-trailer truck (Hydrogen)'!R$85</f>
        <v>0.17871521279562419</v>
      </c>
      <c r="V12" s="126">
        <f>'Semi-trailer truck (Hydrogen)'!S$85</f>
        <v>0.17703247540625017</v>
      </c>
      <c r="W12" s="126">
        <f>'Semi-trailer truck (Hydrogen)'!T$85</f>
        <v>0.17575436316080051</v>
      </c>
      <c r="X12" s="126">
        <f>'Semi-trailer truck (Hydrogen)'!U$85</f>
        <v>0.17473885551398066</v>
      </c>
      <c r="Y12" s="126">
        <f>'Semi-trailer truck (Hydrogen)'!V$85</f>
        <v>0.17390641684161318</v>
      </c>
      <c r="Z12" s="126">
        <f>'Semi-trailer truck (Hydrogen)'!W$85</f>
        <v>0.17319990683756836</v>
      </c>
      <c r="AA12" s="126">
        <f>'Semi-trailer truck (Hydrogen)'!X$85</f>
        <v>0.17257922567859729</v>
      </c>
      <c r="AB12" s="126">
        <f>'Semi-trailer truck (Hydrogen)'!Y$85</f>
        <v>0.17209349498333115</v>
      </c>
      <c r="AC12" s="126">
        <f>'Semi-trailer truck (Hydrogen)'!Z$85</f>
        <v>0.17164688796190419</v>
      </c>
      <c r="AD12" s="126">
        <f>'Semi-trailer truck (Hydrogen)'!AA$85</f>
        <v>0.17122660175811061</v>
      </c>
      <c r="AE12" s="126">
        <f>'Semi-trailer truck (Hydrogen)'!AB$85</f>
        <v>0.17082398839061927</v>
      </c>
      <c r="AF12" s="126">
        <f>'Semi-trailer truck (Hydrogen)'!AC$85</f>
        <v>0.17043322555935234</v>
      </c>
    </row>
    <row r="13" spans="1:32" x14ac:dyDescent="0.25">
      <c r="A13">
        <v>12</v>
      </c>
      <c r="B13" t="s">
        <v>18</v>
      </c>
      <c r="C13" t="s">
        <v>95</v>
      </c>
      <c r="D13" t="s">
        <v>20</v>
      </c>
      <c r="E13" s="126">
        <f>'Semi-trailer truck (Hydrogen)'!B$191</f>
        <v>0.1301849178703009</v>
      </c>
      <c r="F13" s="126">
        <f>'Semi-trailer truck (Hydrogen)'!C$191</f>
        <v>0.12879834045908395</v>
      </c>
      <c r="G13" s="126">
        <f>'Semi-trailer truck (Hydrogen)'!D$191</f>
        <v>0.12720241092968354</v>
      </c>
      <c r="H13" s="126">
        <f>'Semi-trailer truck (Hydrogen)'!E$191</f>
        <v>0.12557750088189429</v>
      </c>
      <c r="I13" s="126">
        <f>'Semi-trailer truck (Hydrogen)'!F$191</f>
        <v>0.12360103478153095</v>
      </c>
      <c r="J13" s="126">
        <f>'Semi-trailer truck (Hydrogen)'!G$191</f>
        <v>0.12120519100478705</v>
      </c>
      <c r="K13" s="126">
        <f>'Semi-trailer truck (Hydrogen)'!H$191</f>
        <v>0.11834985053087776</v>
      </c>
      <c r="L13" s="126">
        <f>'Semi-trailer truck (Hydrogen)'!I$191</f>
        <v>0.11505230804518336</v>
      </c>
      <c r="M13" s="126">
        <f>'Semi-trailer truck (Hydrogen)'!J$191</f>
        <v>0.11189766374969658</v>
      </c>
      <c r="N13" s="126">
        <f>'Semi-trailer truck (Hydrogen)'!K$191</f>
        <v>0.10855308080160889</v>
      </c>
      <c r="O13" s="126">
        <f>'Semi-trailer truck (Hydrogen)'!L$191</f>
        <v>0.10525235821296482</v>
      </c>
      <c r="P13" s="126">
        <f>'Semi-trailer truck (Hydrogen)'!M$191</f>
        <v>0.10221949414527944</v>
      </c>
      <c r="Q13" s="126">
        <f>'Semi-trailer truck (Hydrogen)'!N$191</f>
        <v>9.9611083648628335E-2</v>
      </c>
      <c r="R13" s="126">
        <f>'Semi-trailer truck (Hydrogen)'!O$191</f>
        <v>9.7062053349601468E-2</v>
      </c>
      <c r="S13" s="126">
        <f>'Semi-trailer truck (Hydrogen)'!P$191</f>
        <v>9.5006421683778361E-2</v>
      </c>
      <c r="T13" s="126">
        <f>'Semi-trailer truck (Hydrogen)'!Q$191</f>
        <v>9.3376459396151718E-2</v>
      </c>
      <c r="U13" s="126">
        <f>'Semi-trailer truck (Hydrogen)'!R$191</f>
        <v>9.2087164722839704E-2</v>
      </c>
      <c r="V13" s="126">
        <f>'Semi-trailer truck (Hydrogen)'!S$191</f>
        <v>9.1056244713108817E-2</v>
      </c>
      <c r="W13" s="126">
        <f>'Semi-trailer truck (Hydrogen)'!T$191</f>
        <v>9.0244234548353897E-2</v>
      </c>
      <c r="X13" s="126">
        <f>'Semi-trailer truck (Hydrogen)'!U$191</f>
        <v>8.9565833713513232E-2</v>
      </c>
      <c r="Y13" s="126">
        <f>'Semi-trailer truck (Hydrogen)'!V$191</f>
        <v>8.8980478708406044E-2</v>
      </c>
      <c r="Z13" s="126">
        <f>'Semi-trailer truck (Hydrogen)'!W$191</f>
        <v>8.8459042007557886E-2</v>
      </c>
      <c r="AA13" s="126">
        <f>'Semi-trailer truck (Hydrogen)'!X$191</f>
        <v>8.798110134314481E-2</v>
      </c>
      <c r="AB13" s="126">
        <f>'Semi-trailer truck (Hydrogen)'!Y$191</f>
        <v>8.7599895946824213E-2</v>
      </c>
      <c r="AC13" s="126">
        <f>'Semi-trailer truck (Hydrogen)'!Z$191</f>
        <v>8.7238414974134398E-2</v>
      </c>
      <c r="AD13" s="126">
        <f>'Semi-trailer truck (Hydrogen)'!AA$191</f>
        <v>8.6890182362002549E-2</v>
      </c>
      <c r="AE13" s="126">
        <f>'Semi-trailer truck (Hydrogen)'!AB$191</f>
        <v>8.6550830228324771E-2</v>
      </c>
      <c r="AF13" s="126">
        <f>'Semi-trailer truck (Hydrogen)'!AC$191</f>
        <v>8.6217422559525025E-2</v>
      </c>
    </row>
    <row r="14" spans="1:32" x14ac:dyDescent="0.25">
      <c r="A14">
        <v>13</v>
      </c>
      <c r="B14" t="s">
        <v>18</v>
      </c>
      <c r="C14" t="s">
        <v>95</v>
      </c>
      <c r="D14" t="s">
        <v>21</v>
      </c>
      <c r="E14" s="126">
        <f>'Semi-trailer truck (Hydrogen)'!B$299</f>
        <v>0.13776629264773832</v>
      </c>
      <c r="F14" s="126">
        <f>'Semi-trailer truck (Hydrogen)'!C$299</f>
        <v>0.13630207043029938</v>
      </c>
      <c r="G14" s="126">
        <f>'Semi-trailer truck (Hydrogen)'!D$299</f>
        <v>0.1346121540729979</v>
      </c>
      <c r="H14" s="126">
        <f>'Semi-trailer truck (Hydrogen)'!E$299</f>
        <v>0.13288209983528232</v>
      </c>
      <c r="I14" s="126">
        <f>'Semi-trailer truck (Hydrogen)'!F$299</f>
        <v>0.13077309136067969</v>
      </c>
      <c r="J14" s="126">
        <f>'Semi-trailer truck (Hydrogen)'!G$299</f>
        <v>0.12821197599246581</v>
      </c>
      <c r="K14" s="126">
        <f>'Semi-trailer truck (Hydrogen)'!H$299</f>
        <v>0.12515548073309263</v>
      </c>
      <c r="L14" s="126">
        <f>'Semi-trailer truck (Hydrogen)'!I$299</f>
        <v>0.12162228161438476</v>
      </c>
      <c r="M14" s="126">
        <f>'Semi-trailer truck (Hydrogen)'!J$299</f>
        <v>0.11822590456848113</v>
      </c>
      <c r="N14" s="126">
        <f>'Semi-trailer truck (Hydrogen)'!K$299</f>
        <v>0.1146263380955117</v>
      </c>
      <c r="O14" s="126">
        <f>'Semi-trailer truck (Hydrogen)'!L$299</f>
        <v>0.11107582386819879</v>
      </c>
      <c r="P14" s="126">
        <f>'Semi-trailer truck (Hydrogen)'!M$299</f>
        <v>0.10781569950851688</v>
      </c>
      <c r="Q14" s="126">
        <f>'Semi-trailer truck (Hydrogen)'!N$299</f>
        <v>0.10501422727718901</v>
      </c>
      <c r="R14" s="126">
        <f>'Semi-trailer truck (Hydrogen)'!O$299</f>
        <v>0.10229225794444202</v>
      </c>
      <c r="S14" s="126">
        <f>'Semi-trailer truck (Hydrogen)'!P$299</f>
        <v>0.10010090757764012</v>
      </c>
      <c r="T14" s="126">
        <f>'Semi-trailer truck (Hydrogen)'!Q$299</f>
        <v>9.8366768196476412E-2</v>
      </c>
      <c r="U14" s="126">
        <f>'Semi-trailer truck (Hydrogen)'!R$299</f>
        <v>9.6998101415976465E-2</v>
      </c>
      <c r="V14" s="126">
        <f>'Semi-trailer truck (Hydrogen)'!S$299</f>
        <v>9.5906332915231179E-2</v>
      </c>
      <c r="W14" s="126">
        <f>'Semi-trailer truck (Hydrogen)'!T$299</f>
        <v>9.5048124455288707E-2</v>
      </c>
      <c r="X14" s="126">
        <f>'Semi-trailer truck (Hydrogen)'!U$299</f>
        <v>9.4332904730400541E-2</v>
      </c>
      <c r="Y14" s="126">
        <f>'Semi-trailer truck (Hydrogen)'!V$299</f>
        <v>9.3717220104064969E-2</v>
      </c>
      <c r="Z14" s="126">
        <f>'Semi-trailer truck (Hydrogen)'!W$299</f>
        <v>9.31698933665219E-2</v>
      </c>
      <c r="AA14" s="126">
        <f>'Semi-trailer truck (Hydrogen)'!X$299</f>
        <v>9.2669077060665364E-2</v>
      </c>
      <c r="AB14" s="126">
        <f>'Semi-trailer truck (Hydrogen)'!Y$299</f>
        <v>9.2269921260751175E-2</v>
      </c>
      <c r="AC14" s="126">
        <f>'Semi-trailer truck (Hydrogen)'!Z$299</f>
        <v>9.1891858154688949E-2</v>
      </c>
      <c r="AD14" s="126">
        <f>'Semi-trailer truck (Hydrogen)'!AA$299</f>
        <v>9.1527962854660749E-2</v>
      </c>
      <c r="AE14" s="126">
        <f>'Semi-trailer truck (Hydrogen)'!AB$299</f>
        <v>9.117356492248134E-2</v>
      </c>
      <c r="AF14" s="126">
        <f>'Semi-trailer truck (Hydrogen)'!AC$299</f>
        <v>9.0825524918120487E-2</v>
      </c>
    </row>
    <row r="15" spans="1:32" x14ac:dyDescent="0.25">
      <c r="A15">
        <v>14</v>
      </c>
      <c r="B15" t="s">
        <v>18</v>
      </c>
      <c r="C15" t="s">
        <v>95</v>
      </c>
      <c r="D15" t="s">
        <v>22</v>
      </c>
      <c r="E15" s="126">
        <f>'Semi-trailer truck (Hydrogen)'!B$408</f>
        <v>0.17252924484292287</v>
      </c>
      <c r="F15" s="126">
        <f>'Semi-trailer truck (Hydrogen)'!C$408</f>
        <v>0.17091032336708489</v>
      </c>
      <c r="G15" s="126">
        <f>'Semi-trailer truck (Hydrogen)'!D$408</f>
        <v>0.16900526195180893</v>
      </c>
      <c r="H15" s="126">
        <f>'Semi-trailer truck (Hydrogen)'!E$408</f>
        <v>0.16698013112799293</v>
      </c>
      <c r="I15" s="126">
        <f>'Semi-trailer truck (Hydrogen)'!F$408</f>
        <v>0.16447432149925922</v>
      </c>
      <c r="J15" s="126">
        <f>'Semi-trailer truck (Hydrogen)'!G$408</f>
        <v>0.16139401049450558</v>
      </c>
      <c r="K15" s="126">
        <f>'Semi-trailer truck (Hydrogen)'!H$408</f>
        <v>0.1576827197400098</v>
      </c>
      <c r="L15" s="126">
        <f>'Semi-trailer truck (Hydrogen)'!I$408</f>
        <v>0.15336205956783835</v>
      </c>
      <c r="M15" s="126">
        <f>'Semi-trailer truck (Hydrogen)'!J$408</f>
        <v>0.14907235491728138</v>
      </c>
      <c r="N15" s="126">
        <f>'Semi-trailer truck (Hydrogen)'!K$408</f>
        <v>0.14452530077083922</v>
      </c>
      <c r="O15" s="126">
        <f>'Semi-trailer truck (Hydrogen)'!L$408</f>
        <v>0.14003991993108283</v>
      </c>
      <c r="P15" s="126">
        <f>'Semi-trailer truck (Hydrogen)'!M$408</f>
        <v>0.13592149433202599</v>
      </c>
      <c r="Q15" s="126">
        <f>'Semi-trailer truck (Hydrogen)'!N$408</f>
        <v>0.13238291593755463</v>
      </c>
      <c r="R15" s="126">
        <f>'Semi-trailer truck (Hydrogen)'!O$408</f>
        <v>0.12906361601375047</v>
      </c>
      <c r="S15" s="126">
        <f>'Semi-trailer truck (Hydrogen)'!P$408</f>
        <v>0.12641083871291386</v>
      </c>
      <c r="T15" s="126">
        <f>'Semi-trailer truck (Hydrogen)'!Q$408</f>
        <v>0.12433353405757167</v>
      </c>
      <c r="U15" s="126">
        <f>'Semi-trailer truck (Hydrogen)'!R$408</f>
        <v>0.12271699168525739</v>
      </c>
      <c r="V15" s="126">
        <f>'Semi-trailer truck (Hydrogen)'!S$408</f>
        <v>0.12145004416266796</v>
      </c>
      <c r="W15" s="126">
        <f>'Semi-trailer truck (Hydrogen)'!T$408</f>
        <v>0.12046999301948033</v>
      </c>
      <c r="X15" s="126">
        <f>'Semi-trailer truck (Hydrogen)'!U$408</f>
        <v>0.11967099055836475</v>
      </c>
      <c r="Y15" s="126">
        <f>'Semi-trailer truck (Hydrogen)'!V$408</f>
        <v>0.11899815571272986</v>
      </c>
      <c r="Z15" s="126">
        <f>'Semi-trailer truck (Hydrogen)'!W$408</f>
        <v>0.11841206237321535</v>
      </c>
      <c r="AA15" s="126">
        <f>'Semi-trailer truck (Hydrogen)'!X$408</f>
        <v>0.11788505020207485</v>
      </c>
      <c r="AB15" s="126">
        <f>'Semi-trailer truck (Hydrogen)'!Y$408</f>
        <v>0.11746823919993211</v>
      </c>
      <c r="AC15" s="126">
        <f>'Semi-trailer truck (Hydrogen)'!Z$408</f>
        <v>0.11707829810589941</v>
      </c>
      <c r="AD15" s="126">
        <f>'Semi-trailer truck (Hydrogen)'!AA$408</f>
        <v>0.11670642115047182</v>
      </c>
      <c r="AE15" s="126">
        <f>'Semi-trailer truck (Hydrogen)'!AB$408</f>
        <v>0.11634666410964255</v>
      </c>
      <c r="AF15" s="126">
        <f>'Semi-trailer truck (Hydrogen)'!AC$408</f>
        <v>0.11599502780168205</v>
      </c>
    </row>
    <row r="16" spans="1:32" x14ac:dyDescent="0.25">
      <c r="A16">
        <v>15</v>
      </c>
      <c r="B16" t="s">
        <v>18</v>
      </c>
      <c r="C16" t="s">
        <v>95</v>
      </c>
      <c r="D16" t="s">
        <v>23</v>
      </c>
      <c r="E16" s="126">
        <f>'Semi-trailer truck (Hydrogen)'!B$513</f>
        <v>0.14817175095677115</v>
      </c>
      <c r="F16" s="126">
        <f>'Semi-trailer truck (Hydrogen)'!C$513</f>
        <v>0.1466944819922564</v>
      </c>
      <c r="G16" s="126">
        <f>'Semi-trailer truck (Hydrogen)'!D$513</f>
        <v>0.14497243428625065</v>
      </c>
      <c r="H16" s="126">
        <f>'Semi-trailer truck (Hydrogen)'!E$513</f>
        <v>0.14317456918899765</v>
      </c>
      <c r="I16" s="126">
        <f>'Semi-trailer truck (Hydrogen)'!F$513</f>
        <v>0.14096556145076633</v>
      </c>
      <c r="J16" s="126">
        <f>'Semi-trailer truck (Hydrogen)'!G$513</f>
        <v>0.13826552094813155</v>
      </c>
      <c r="K16" s="126">
        <f>'Semi-trailer truck (Hydrogen)'!H$513</f>
        <v>0.1350266711424577</v>
      </c>
      <c r="L16" s="126">
        <f>'Semi-trailer truck (Hydrogen)'!I$513</f>
        <v>0.13126815529680835</v>
      </c>
      <c r="M16" s="126">
        <f>'Semi-trailer truck (Hydrogen)'!J$513</f>
        <v>0.12759095150867014</v>
      </c>
      <c r="N16" s="126">
        <f>'Semi-trailer truck (Hydrogen)'!K$513</f>
        <v>0.12369270568523892</v>
      </c>
      <c r="O16" s="126">
        <f>'Semi-trailer truck (Hydrogen)'!L$513</f>
        <v>0.11984647026895449</v>
      </c>
      <c r="P16" s="126">
        <f>'Semi-trailer truck (Hydrogen)'!M$513</f>
        <v>0.11631368968632125</v>
      </c>
      <c r="Q16" s="126">
        <f>'Semi-trailer truck (Hydrogen)'!N$513</f>
        <v>0.1132769054634926</v>
      </c>
      <c r="R16" s="126">
        <f>'Semi-trailer truck (Hydrogen)'!O$513</f>
        <v>0.1103815926600997</v>
      </c>
      <c r="S16" s="126">
        <f>'Semi-trailer truck (Hydrogen)'!P$513</f>
        <v>0.1080591412889777</v>
      </c>
      <c r="T16" s="126">
        <f>'Semi-trailer truck (Hydrogen)'!Q$513</f>
        <v>0.10623121465901968</v>
      </c>
      <c r="U16" s="126">
        <f>'Semi-trailer truck (Hydrogen)'!R$513</f>
        <v>0.10479921973459989</v>
      </c>
      <c r="V16" s="126">
        <f>'Semi-trailer truck (Hydrogen)'!S$513</f>
        <v>0.10366761807530456</v>
      </c>
      <c r="W16" s="126">
        <f>'Semi-trailer truck (Hydrogen)'!T$513</f>
        <v>0.10278566999173805</v>
      </c>
      <c r="X16" s="126">
        <f>'Semi-trailer truck (Hydrogen)'!U$513</f>
        <v>0.10205922302919926</v>
      </c>
      <c r="Y16" s="126">
        <f>'Semi-trailer truck (Hydrogen)'!V$513</f>
        <v>0.10144111673048425</v>
      </c>
      <c r="Z16" s="126">
        <f>'Semi-trailer truck (Hydrogen)'!W$513</f>
        <v>0.10089747442995581</v>
      </c>
      <c r="AA16" s="126">
        <f>'Semi-trailer truck (Hydrogen)'!X$513</f>
        <v>0.10040453362885955</v>
      </c>
      <c r="AB16" s="126">
        <f>'Semi-trailer truck (Hydrogen)'!Y$513</f>
        <v>0.10001322087235465</v>
      </c>
      <c r="AC16" s="126">
        <f>'Semi-trailer truck (Hydrogen)'!Z$513</f>
        <v>9.9644940952193353E-2</v>
      </c>
      <c r="AD16" s="126">
        <f>'Semi-trailer truck (Hydrogen)'!AA$513</f>
        <v>9.9292140120731467E-2</v>
      </c>
      <c r="AE16" s="126">
        <f>'Semi-trailer truck (Hydrogen)'!AB$513</f>
        <v>9.8949720969302449E-2</v>
      </c>
      <c r="AF16" s="126">
        <f>'Semi-trailer truck (Hydrogen)'!AC$513</f>
        <v>9.8614255232537446E-2</v>
      </c>
    </row>
    <row r="17" spans="1:32" x14ac:dyDescent="0.25">
      <c r="A17">
        <v>16</v>
      </c>
      <c r="B17" t="s">
        <v>16</v>
      </c>
      <c r="C17" t="s">
        <v>100</v>
      </c>
      <c r="D17" t="s">
        <v>13</v>
      </c>
      <c r="E17" s="126">
        <f>'Railway (Diesel)'!B$85</f>
        <v>1.4673217391859582E-2</v>
      </c>
      <c r="F17" s="126">
        <f>'Railway (Diesel)'!C$85</f>
        <v>1.4459848262810002E-2</v>
      </c>
      <c r="G17" s="126">
        <f>'Railway (Diesel)'!D$85</f>
        <v>1.4246762144737796E-2</v>
      </c>
      <c r="H17" s="126">
        <f>'Railway (Diesel)'!E$85</f>
        <v>1.4034071685914194E-2</v>
      </c>
      <c r="I17" s="126">
        <f>'Railway (Diesel)'!F$85</f>
        <v>1.3821927708010757E-2</v>
      </c>
      <c r="J17" s="126">
        <f>'Railway (Diesel)'!G$85</f>
        <v>1.3610525114125438E-2</v>
      </c>
      <c r="K17" s="126">
        <f>'Railway (Diesel)'!H$85</f>
        <v>1.3400102084386198E-2</v>
      </c>
      <c r="L17" s="126">
        <f>'Railway (Diesel)'!I$85</f>
        <v>1.3190924003499058E-2</v>
      </c>
      <c r="M17" s="126">
        <f>'Railway (Diesel)'!J$85</f>
        <v>1.3164794948017814E-2</v>
      </c>
      <c r="N17" s="126">
        <f>'Railway (Diesel)'!K$85</f>
        <v>1.3140315145164195E-2</v>
      </c>
      <c r="O17" s="126">
        <f>'Railway (Diesel)'!L$85</f>
        <v>1.3117436891685916E-2</v>
      </c>
      <c r="P17" s="126">
        <f>'Railway (Diesel)'!M$85</f>
        <v>1.3095815431312328E-2</v>
      </c>
      <c r="Q17" s="126">
        <f>'Railway (Diesel)'!N$85</f>
        <v>1.3074799231554624E-2</v>
      </c>
      <c r="R17" s="126">
        <f>'Railway (Diesel)'!O$85</f>
        <v>1.3053557274466459E-2</v>
      </c>
      <c r="S17" s="126">
        <f>'Railway (Diesel)'!P$85</f>
        <v>1.3031306716108132E-2</v>
      </c>
      <c r="T17" s="126">
        <f>'Railway (Diesel)'!Q$85</f>
        <v>1.3007518978683156E-2</v>
      </c>
      <c r="U17" s="126">
        <f>'Railway (Diesel)'!R$85</f>
        <v>1.2981998191609516E-2</v>
      </c>
      <c r="V17" s="126">
        <f>'Railway (Diesel)'!S$85</f>
        <v>1.2954826318618195E-2</v>
      </c>
      <c r="W17" s="126">
        <f>'Railway (Diesel)'!T$85</f>
        <v>1.29262459130897E-2</v>
      </c>
      <c r="X17" s="126">
        <f>'Railway (Diesel)'!U$85</f>
        <v>1.2896551587322757E-2</v>
      </c>
      <c r="Y17" s="126">
        <f>'Railway (Diesel)'!V$85</f>
        <v>1.2866021331225035E-2</v>
      </c>
      <c r="Z17" s="126">
        <f>'Railway (Diesel)'!W$85</f>
        <v>1.2834886036581755E-2</v>
      </c>
      <c r="AA17" s="126">
        <f>'Railway (Diesel)'!X$85</f>
        <v>1.2803323539560334E-2</v>
      </c>
      <c r="AB17" s="126">
        <f>'Railway (Diesel)'!Y$85</f>
        <v>1.2771464456076846E-2</v>
      </c>
      <c r="AC17" s="126">
        <f>'Railway (Diesel)'!Z$85</f>
        <v>1.2739401810823845E-2</v>
      </c>
      <c r="AD17" s="126">
        <f>'Railway (Diesel)'!AA$85</f>
        <v>1.2707200528058904E-2</v>
      </c>
      <c r="AE17" s="126">
        <f>'Railway (Diesel)'!AB$85</f>
        <v>1.2674905316172814E-2</v>
      </c>
      <c r="AF17" s="126">
        <f>'Railway (Diesel)'!AC$85</f>
        <v>1.2642546688743159E-2</v>
      </c>
    </row>
    <row r="18" spans="1:32" x14ac:dyDescent="0.25">
      <c r="A18">
        <v>17</v>
      </c>
      <c r="B18" t="s">
        <v>16</v>
      </c>
      <c r="C18" t="s">
        <v>100</v>
      </c>
      <c r="D18" t="s">
        <v>20</v>
      </c>
      <c r="E18" s="126">
        <f>'Railway (Diesel)'!B$191</f>
        <v>2.2179603065261261E-2</v>
      </c>
      <c r="F18" s="126">
        <f>'Railway (Diesel)'!C$191</f>
        <v>2.1859549371686889E-2</v>
      </c>
      <c r="G18" s="126">
        <f>'Railway (Diesel)'!D$191</f>
        <v>2.1539920194578573E-2</v>
      </c>
      <c r="H18" s="126">
        <f>'Railway (Diesel)'!E$191</f>
        <v>2.1220884506343171E-2</v>
      </c>
      <c r="I18" s="126">
        <f>'Railway (Diesel)'!F$191</f>
        <v>2.0902668539488016E-2</v>
      </c>
      <c r="J18" s="126">
        <f>'Railway (Diesel)'!G$191</f>
        <v>2.0585564648660043E-2</v>
      </c>
      <c r="K18" s="126">
        <f>'Railway (Diesel)'!H$191</f>
        <v>2.0269930104051179E-2</v>
      </c>
      <c r="L18" s="126">
        <f>'Railway (Diesel)'!I$191</f>
        <v>1.9956162982720467E-2</v>
      </c>
      <c r="M18" s="126">
        <f>'Railway (Diesel)'!J$191</f>
        <v>1.9916969399498604E-2</v>
      </c>
      <c r="N18" s="126">
        <f>'Railway (Diesel)'!K$191</f>
        <v>1.9880249695218174E-2</v>
      </c>
      <c r="O18" s="126">
        <f>'Railway (Diesel)'!L$191</f>
        <v>1.9845932315000751E-2</v>
      </c>
      <c r="P18" s="126">
        <f>'Railway (Diesel)'!M$191</f>
        <v>1.9813500124440376E-2</v>
      </c>
      <c r="Q18" s="126">
        <f>'Railway (Diesel)'!N$191</f>
        <v>1.9781975824803823E-2</v>
      </c>
      <c r="R18" s="126">
        <f>'Railway (Diesel)'!O$191</f>
        <v>1.975011288917157E-2</v>
      </c>
      <c r="S18" s="126">
        <f>'Railway (Diesel)'!P$191</f>
        <v>1.971673705163408E-2</v>
      </c>
      <c r="T18" s="126">
        <f>'Railway (Diesel)'!Q$191</f>
        <v>1.9681055445496618E-2</v>
      </c>
      <c r="U18" s="126">
        <f>'Railway (Diesel)'!R$191</f>
        <v>1.964277426488616E-2</v>
      </c>
      <c r="V18" s="126">
        <f>'Railway (Diesel)'!S$191</f>
        <v>1.9602016455399177E-2</v>
      </c>
      <c r="W18" s="126">
        <f>'Railway (Diesel)'!T$191</f>
        <v>1.9559145847106434E-2</v>
      </c>
      <c r="X18" s="126">
        <f>'Railway (Diesel)'!U$191</f>
        <v>1.951460435845602E-2</v>
      </c>
      <c r="Y18" s="126">
        <f>'Railway (Diesel)'!V$191</f>
        <v>1.9468808974309436E-2</v>
      </c>
      <c r="Z18" s="126">
        <f>'Railway (Diesel)'!W$191</f>
        <v>1.9422106032344521E-2</v>
      </c>
      <c r="AA18" s="126">
        <f>'Railway (Diesel)'!X$191</f>
        <v>1.937476228681238E-2</v>
      </c>
      <c r="AB18" s="126">
        <f>'Railway (Diesel)'!Y$191</f>
        <v>1.9326973661587157E-2</v>
      </c>
      <c r="AC18" s="126">
        <f>'Railway (Diesel)'!Z$191</f>
        <v>1.9278879693707653E-2</v>
      </c>
      <c r="AD18" s="126">
        <f>'Railway (Diesel)'!AA$191</f>
        <v>1.9230577769560237E-2</v>
      </c>
      <c r="AE18" s="126">
        <f>'Railway (Diesel)'!AB$191</f>
        <v>1.9182134951731104E-2</v>
      </c>
      <c r="AF18" s="126">
        <f>'Railway (Diesel)'!AC$191</f>
        <v>1.9133597010586624E-2</v>
      </c>
    </row>
    <row r="19" spans="1:32" x14ac:dyDescent="0.25">
      <c r="A19">
        <v>18</v>
      </c>
      <c r="B19" t="s">
        <v>16</v>
      </c>
      <c r="C19" t="s">
        <v>100</v>
      </c>
      <c r="D19" t="s">
        <v>21</v>
      </c>
      <c r="E19" s="126">
        <f>'Railway (Diesel)'!B$299</f>
        <v>2.0919868645195999E-2</v>
      </c>
      <c r="F19" s="126">
        <f>'Railway (Diesel)'!C$299</f>
        <v>2.0599814951621626E-2</v>
      </c>
      <c r="G19" s="126">
        <f>'Railway (Diesel)'!D$299</f>
        <v>2.0280185774513314E-2</v>
      </c>
      <c r="H19" s="126">
        <f>'Railway (Diesel)'!E$299</f>
        <v>1.9961150086277912E-2</v>
      </c>
      <c r="I19" s="126">
        <f>'Railway (Diesel)'!F$299</f>
        <v>1.9642934119422761E-2</v>
      </c>
      <c r="J19" s="126">
        <f>'Railway (Diesel)'!G$299</f>
        <v>1.9325830228594781E-2</v>
      </c>
      <c r="K19" s="126">
        <f>'Railway (Diesel)'!H$299</f>
        <v>1.9010195683985921E-2</v>
      </c>
      <c r="L19" s="126">
        <f>'Railway (Diesel)'!I$299</f>
        <v>1.8696428562655212E-2</v>
      </c>
      <c r="M19" s="126">
        <f>'Railway (Diesel)'!J$299</f>
        <v>1.8657234979433345E-2</v>
      </c>
      <c r="N19" s="126">
        <f>'Railway (Diesel)'!K$299</f>
        <v>1.8620515275152915E-2</v>
      </c>
      <c r="O19" s="126">
        <f>'Railway (Diesel)'!L$299</f>
        <v>1.8586197894935493E-2</v>
      </c>
      <c r="P19" s="126">
        <f>'Railway (Diesel)'!M$299</f>
        <v>1.8553765704375114E-2</v>
      </c>
      <c r="Q19" s="126">
        <f>'Railway (Diesel)'!N$299</f>
        <v>1.852224140473856E-2</v>
      </c>
      <c r="R19" s="126">
        <f>'Railway (Diesel)'!O$299</f>
        <v>1.8490378469106311E-2</v>
      </c>
      <c r="S19" s="126">
        <f>'Railway (Diesel)'!P$299</f>
        <v>1.8457002631568822E-2</v>
      </c>
      <c r="T19" s="126">
        <f>'Railway (Diesel)'!Q$299</f>
        <v>1.8421321025431356E-2</v>
      </c>
      <c r="U19" s="126">
        <f>'Railway (Diesel)'!R$299</f>
        <v>1.8383039844820898E-2</v>
      </c>
      <c r="V19" s="126">
        <f>'Railway (Diesel)'!S$299</f>
        <v>1.8342282035333918E-2</v>
      </c>
      <c r="W19" s="126">
        <f>'Railway (Diesel)'!T$299</f>
        <v>1.8299411427041175E-2</v>
      </c>
      <c r="X19" s="126">
        <f>'Railway (Diesel)'!U$299</f>
        <v>1.8254869938390757E-2</v>
      </c>
      <c r="Y19" s="126">
        <f>'Railway (Diesel)'!V$299</f>
        <v>1.8209074554244177E-2</v>
      </c>
      <c r="Z19" s="126">
        <f>'Railway (Diesel)'!W$299</f>
        <v>1.8162371612279259E-2</v>
      </c>
      <c r="AA19" s="126">
        <f>'Railway (Diesel)'!X$299</f>
        <v>1.8115027866747121E-2</v>
      </c>
      <c r="AB19" s="126">
        <f>'Railway (Diesel)'!Y$299</f>
        <v>1.8067239241521899E-2</v>
      </c>
      <c r="AC19" s="126">
        <f>'Railway (Diesel)'!Z$299</f>
        <v>1.8019145273642387E-2</v>
      </c>
      <c r="AD19" s="126">
        <f>'Railway (Diesel)'!AA$299</f>
        <v>1.7970843349494978E-2</v>
      </c>
      <c r="AE19" s="126">
        <f>'Railway (Diesel)'!AB$299</f>
        <v>1.7922400531665845E-2</v>
      </c>
      <c r="AF19" s="126">
        <f>'Railway (Diesel)'!AC$299</f>
        <v>1.7873862590521362E-2</v>
      </c>
    </row>
    <row r="20" spans="1:32" x14ac:dyDescent="0.25">
      <c r="A20">
        <v>19</v>
      </c>
      <c r="B20" t="s">
        <v>16</v>
      </c>
      <c r="C20" t="s">
        <v>100</v>
      </c>
      <c r="D20" t="s">
        <v>22</v>
      </c>
      <c r="E20" s="126">
        <f>'Railway (Diesel)'!B$408</f>
        <v>1.8939520639606751E-2</v>
      </c>
      <c r="F20" s="126">
        <f>'Railway (Diesel)'!C$408</f>
        <v>1.8749859191562676E-2</v>
      </c>
      <c r="G20" s="126">
        <f>'Railway (Diesel)'!D$408</f>
        <v>1.8560449308831824E-2</v>
      </c>
      <c r="H20" s="126">
        <f>'Railway (Diesel)'!E$408</f>
        <v>1.8371391123210845E-2</v>
      </c>
      <c r="I20" s="126">
        <f>'Railway (Diesel)'!F$408</f>
        <v>1.8182818698407793E-2</v>
      </c>
      <c r="J20" s="126">
        <f>'Railway (Diesel)'!G$408</f>
        <v>1.7994905281620843E-2</v>
      </c>
      <c r="K20" s="126">
        <f>'Railway (Diesel)'!H$408</f>
        <v>1.7807862588519296E-2</v>
      </c>
      <c r="L20" s="126">
        <f>'Railway (Diesel)'!I$408</f>
        <v>1.7621926516619611E-2</v>
      </c>
      <c r="M20" s="126">
        <f>'Railway (Diesel)'!J$408</f>
        <v>1.7598700689525175E-2</v>
      </c>
      <c r="N20" s="126">
        <f>'Railway (Diesel)'!K$408</f>
        <v>1.7576940864766404E-2</v>
      </c>
      <c r="O20" s="126">
        <f>'Railway (Diesel)'!L$408</f>
        <v>1.7556604639452376E-2</v>
      </c>
      <c r="P20" s="126">
        <f>'Railway (Diesel)'!M$408</f>
        <v>1.7537385563564746E-2</v>
      </c>
      <c r="Q20" s="126">
        <f>'Railway (Diesel)'!N$408</f>
        <v>1.7518704497113451E-2</v>
      </c>
      <c r="R20" s="126">
        <f>'Railway (Diesel)'!O$408</f>
        <v>1.7499822757479529E-2</v>
      </c>
      <c r="S20" s="126">
        <f>'Railway (Diesel)'!P$408</f>
        <v>1.748004448338324E-2</v>
      </c>
      <c r="T20" s="126">
        <f>'Railway (Diesel)'!Q$408</f>
        <v>1.7458899827894371E-2</v>
      </c>
      <c r="U20" s="126">
        <f>'Railway (Diesel)'!R$408</f>
        <v>1.7436214683828909E-2</v>
      </c>
      <c r="V20" s="126">
        <f>'Railway (Diesel)'!S$408</f>
        <v>1.7412061907836625E-2</v>
      </c>
      <c r="W20" s="126">
        <f>'Railway (Diesel)'!T$408</f>
        <v>1.7386657102922413E-2</v>
      </c>
      <c r="X20" s="126">
        <f>'Railway (Diesel)'!U$408</f>
        <v>1.7360262146685124E-2</v>
      </c>
      <c r="Y20" s="126">
        <f>'Railway (Diesel)'!V$408</f>
        <v>1.7333124141264929E-2</v>
      </c>
      <c r="Z20" s="126">
        <f>'Railway (Diesel)'!W$408</f>
        <v>1.7305448323804238E-2</v>
      </c>
      <c r="AA20" s="126">
        <f>'Railway (Diesel)'!X$408</f>
        <v>1.7277392770896301E-2</v>
      </c>
      <c r="AB20" s="126">
        <f>'Railway (Diesel)'!Y$408</f>
        <v>1.7249073585577653E-2</v>
      </c>
      <c r="AC20" s="126">
        <f>'Railway (Diesel)'!Z$408</f>
        <v>1.722057345646387E-2</v>
      </c>
      <c r="AD20" s="126">
        <f>'Railway (Diesel)'!AA$408</f>
        <v>1.7191950094006148E-2</v>
      </c>
      <c r="AE20" s="126">
        <f>'Railway (Diesel)'!AB$408</f>
        <v>1.7163243238996286E-2</v>
      </c>
      <c r="AF20" s="126">
        <f>'Railway (Diesel)'!AC$408</f>
        <v>1.7134480014614373E-2</v>
      </c>
    </row>
    <row r="21" spans="1:32" x14ac:dyDescent="0.25">
      <c r="A21">
        <v>20</v>
      </c>
      <c r="B21" t="s">
        <v>16</v>
      </c>
      <c r="C21" t="s">
        <v>100</v>
      </c>
      <c r="D21" t="s">
        <v>23</v>
      </c>
      <c r="E21" s="126">
        <f>'Railway (Diesel)'!B$513</f>
        <v>2.1760421369870931E-2</v>
      </c>
      <c r="F21" s="126">
        <f>'Railway (Diesel)'!C$513</f>
        <v>2.1440367676296562E-2</v>
      </c>
      <c r="G21" s="126">
        <f>'Railway (Diesel)'!D$513</f>
        <v>2.1120738499188246E-2</v>
      </c>
      <c r="H21" s="126">
        <f>'Railway (Diesel)'!E$513</f>
        <v>2.0801702810952848E-2</v>
      </c>
      <c r="I21" s="126">
        <f>'Railway (Diesel)'!F$513</f>
        <v>2.0483486844097697E-2</v>
      </c>
      <c r="J21" s="126">
        <f>'Railway (Diesel)'!G$513</f>
        <v>2.0166382953269717E-2</v>
      </c>
      <c r="K21" s="126">
        <f>'Railway (Diesel)'!H$513</f>
        <v>1.9850748408660857E-2</v>
      </c>
      <c r="L21" s="126">
        <f>'Railway (Diesel)'!I$513</f>
        <v>1.9536981287330144E-2</v>
      </c>
      <c r="M21" s="126">
        <f>'Railway (Diesel)'!J$513</f>
        <v>1.9497787704108281E-2</v>
      </c>
      <c r="N21" s="126">
        <f>'Railway (Diesel)'!K$513</f>
        <v>1.9461067999827851E-2</v>
      </c>
      <c r="O21" s="126">
        <f>'Railway (Diesel)'!L$513</f>
        <v>1.9426750619610432E-2</v>
      </c>
      <c r="P21" s="126">
        <f>'Railway (Diesel)'!M$513</f>
        <v>1.939431842905005E-2</v>
      </c>
      <c r="Q21" s="126">
        <f>'Railway (Diesel)'!N$513</f>
        <v>1.9362794129413496E-2</v>
      </c>
      <c r="R21" s="126">
        <f>'Railway (Diesel)'!O$513</f>
        <v>1.9330931193781251E-2</v>
      </c>
      <c r="S21" s="126">
        <f>'Railway (Diesel)'!P$513</f>
        <v>1.9297555356243758E-2</v>
      </c>
      <c r="T21" s="126">
        <f>'Railway (Diesel)'!Q$513</f>
        <v>1.9261873750106295E-2</v>
      </c>
      <c r="U21" s="126">
        <f>'Railway (Diesel)'!R$513</f>
        <v>1.9223592569495834E-2</v>
      </c>
      <c r="V21" s="126">
        <f>'Railway (Diesel)'!S$513</f>
        <v>1.9182834760008854E-2</v>
      </c>
      <c r="W21" s="126">
        <f>'Railway (Diesel)'!T$513</f>
        <v>1.9139964151716114E-2</v>
      </c>
      <c r="X21" s="126">
        <f>'Railway (Diesel)'!U$513</f>
        <v>1.9095422663065693E-2</v>
      </c>
      <c r="Y21" s="126">
        <f>'Railway (Diesel)'!V$513</f>
        <v>1.9049627278919113E-2</v>
      </c>
      <c r="Z21" s="126">
        <f>'Railway (Diesel)'!W$513</f>
        <v>1.9002924336954191E-2</v>
      </c>
      <c r="AA21" s="126">
        <f>'Railway (Diesel)'!X$513</f>
        <v>1.895558059142206E-2</v>
      </c>
      <c r="AB21" s="126">
        <f>'Railway (Diesel)'!Y$513</f>
        <v>1.8907791966196831E-2</v>
      </c>
      <c r="AC21" s="126">
        <f>'Railway (Diesel)'!Z$513</f>
        <v>1.8859697998317326E-2</v>
      </c>
      <c r="AD21" s="126">
        <f>'Railway (Diesel)'!AA$513</f>
        <v>1.8811396074169914E-2</v>
      </c>
      <c r="AE21" s="126">
        <f>'Railway (Diesel)'!AB$513</f>
        <v>1.8762953256340781E-2</v>
      </c>
      <c r="AF21" s="126">
        <f>'Railway (Diesel)'!AC$513</f>
        <v>1.8714415315196298E-2</v>
      </c>
    </row>
    <row r="22" spans="1:32" x14ac:dyDescent="0.25">
      <c r="A22">
        <v>21</v>
      </c>
      <c r="B22" t="s">
        <v>16</v>
      </c>
      <c r="C22" t="s">
        <v>285</v>
      </c>
      <c r="D22" t="s">
        <v>13</v>
      </c>
      <c r="E22" s="126">
        <f>'Railway (Catenary)'!B$85</f>
        <v>1.2515885154245758E-2</v>
      </c>
      <c r="F22" s="126">
        <f>'Railway (Catenary)'!C$85</f>
        <v>1.2515885154245758E-2</v>
      </c>
      <c r="G22" s="126">
        <f>'Railway (Catenary)'!D$85</f>
        <v>1.2515885154245758E-2</v>
      </c>
      <c r="H22" s="126">
        <f>'Railway (Catenary)'!E$85</f>
        <v>1.2515885154245758E-2</v>
      </c>
      <c r="I22" s="126">
        <f>'Railway (Catenary)'!F$85</f>
        <v>1.2515885154245758E-2</v>
      </c>
      <c r="J22" s="126">
        <f>'Railway (Catenary)'!G$85</f>
        <v>1.2515885154245758E-2</v>
      </c>
      <c r="K22" s="126">
        <f>'Railway (Catenary)'!H$85</f>
        <v>1.2515885154245758E-2</v>
      </c>
      <c r="L22" s="126">
        <f>'Railway (Catenary)'!I$85</f>
        <v>1.2515885154245758E-2</v>
      </c>
      <c r="M22" s="126">
        <f>'Railway (Catenary)'!J$85</f>
        <v>1.2556314531330272E-2</v>
      </c>
      <c r="N22" s="126">
        <f>'Railway (Catenary)'!K$85</f>
        <v>1.2596743908414785E-2</v>
      </c>
      <c r="O22" s="126">
        <f>'Railway (Catenary)'!L$85</f>
        <v>1.2637173285499299E-2</v>
      </c>
      <c r="P22" s="126">
        <f>'Railway (Catenary)'!M$85</f>
        <v>1.2677602662583812E-2</v>
      </c>
      <c r="Q22" s="126">
        <f>'Railway (Catenary)'!N$85</f>
        <v>1.2718032039668323E-2</v>
      </c>
      <c r="R22" s="126">
        <f>'Railway (Catenary)'!O$85</f>
        <v>1.2695979652167681E-2</v>
      </c>
      <c r="S22" s="126">
        <f>'Railway (Catenary)'!P$85</f>
        <v>1.2673927264667038E-2</v>
      </c>
      <c r="T22" s="126">
        <f>'Railway (Catenary)'!Q$85</f>
        <v>1.2651874877166392E-2</v>
      </c>
      <c r="U22" s="126">
        <f>'Railway (Catenary)'!R$85</f>
        <v>1.262982248966575E-2</v>
      </c>
      <c r="V22" s="126">
        <f>'Railway (Catenary)'!S$85</f>
        <v>1.2607770102165107E-2</v>
      </c>
      <c r="W22" s="126">
        <f>'Railway (Catenary)'!T$85</f>
        <v>1.2585717714664463E-2</v>
      </c>
      <c r="X22" s="126">
        <f>'Railway (Catenary)'!U$85</f>
        <v>1.2563665327163819E-2</v>
      </c>
      <c r="Y22" s="126">
        <f>'Railway (Catenary)'!V$85</f>
        <v>1.2541612939663176E-2</v>
      </c>
      <c r="Z22" s="126">
        <f>'Railway (Catenary)'!W$85</f>
        <v>1.2519560552162532E-2</v>
      </c>
      <c r="AA22" s="126">
        <f>'Railway (Catenary)'!X$85</f>
        <v>1.2497508164661891E-2</v>
      </c>
      <c r="AB22" s="126">
        <f>'Railway (Catenary)'!Y$85</f>
        <v>1.2475455777161245E-2</v>
      </c>
      <c r="AC22" s="126">
        <f>'Railway (Catenary)'!Z$85</f>
        <v>1.2453403389660602E-2</v>
      </c>
      <c r="AD22" s="126">
        <f>'Railway (Catenary)'!AA$85</f>
        <v>1.243135100215996E-2</v>
      </c>
      <c r="AE22" s="126">
        <f>'Railway (Catenary)'!AB$85</f>
        <v>1.2409298614659314E-2</v>
      </c>
      <c r="AF22" s="126">
        <f>'Railway (Catenary)'!AC$85</f>
        <v>1.2387246227158675E-2</v>
      </c>
    </row>
    <row r="23" spans="1:32" x14ac:dyDescent="0.25">
      <c r="A23">
        <v>22</v>
      </c>
      <c r="B23" t="s">
        <v>16</v>
      </c>
      <c r="C23" t="s">
        <v>285</v>
      </c>
      <c r="D23" t="s">
        <v>20</v>
      </c>
      <c r="E23" s="126">
        <f>'Railway (Catenary)'!B$191</f>
        <v>1.8943604708840517E-2</v>
      </c>
      <c r="F23" s="126">
        <f>'Railway (Catenary)'!C$191</f>
        <v>1.8943604708840517E-2</v>
      </c>
      <c r="G23" s="126">
        <f>'Railway (Catenary)'!D$191</f>
        <v>1.8943604708840517E-2</v>
      </c>
      <c r="H23" s="126">
        <f>'Railway (Catenary)'!E$191</f>
        <v>1.8943604708840517E-2</v>
      </c>
      <c r="I23" s="126">
        <f>'Railway (Catenary)'!F$191</f>
        <v>1.8943604708840517E-2</v>
      </c>
      <c r="J23" s="126">
        <f>'Railway (Catenary)'!G$191</f>
        <v>1.8943604708840517E-2</v>
      </c>
      <c r="K23" s="126">
        <f>'Railway (Catenary)'!H$191</f>
        <v>1.8943604708840517E-2</v>
      </c>
      <c r="L23" s="126">
        <f>'Railway (Catenary)'!I$191</f>
        <v>1.8943604708840517E-2</v>
      </c>
      <c r="M23" s="126">
        <f>'Railway (Catenary)'!J$191</f>
        <v>1.900424877446729E-2</v>
      </c>
      <c r="N23" s="126">
        <f>'Railway (Catenary)'!K$191</f>
        <v>1.9064892840094057E-2</v>
      </c>
      <c r="O23" s="126">
        <f>'Railway (Catenary)'!L$191</f>
        <v>1.912553690572083E-2</v>
      </c>
      <c r="P23" s="126">
        <f>'Railway (Catenary)'!M$191</f>
        <v>1.9186180971347597E-2</v>
      </c>
      <c r="Q23" s="126">
        <f>'Railway (Catenary)'!N$191</f>
        <v>1.924682503697437E-2</v>
      </c>
      <c r="R23" s="126">
        <f>'Railway (Catenary)'!O$191</f>
        <v>1.92137464557234E-2</v>
      </c>
      <c r="S23" s="126">
        <f>'Railway (Catenary)'!P$191</f>
        <v>1.9180667874472437E-2</v>
      </c>
      <c r="T23" s="126">
        <f>'Railway (Catenary)'!Q$191</f>
        <v>1.9147589293221468E-2</v>
      </c>
      <c r="U23" s="126">
        <f>'Railway (Catenary)'!R$191</f>
        <v>1.9114510711970505E-2</v>
      </c>
      <c r="V23" s="126">
        <f>'Railway (Catenary)'!S$191</f>
        <v>1.9081432130719542E-2</v>
      </c>
      <c r="W23" s="126">
        <f>'Railway (Catenary)'!T$191</f>
        <v>1.9048353549468579E-2</v>
      </c>
      <c r="X23" s="126">
        <f>'Railway (Catenary)'!U$191</f>
        <v>1.9015274968217609E-2</v>
      </c>
      <c r="Y23" s="126">
        <f>'Railway (Catenary)'!V$191</f>
        <v>1.8982196386966646E-2</v>
      </c>
      <c r="Z23" s="126">
        <f>'Railway (Catenary)'!W$191</f>
        <v>1.894911780571568E-2</v>
      </c>
      <c r="AA23" s="126">
        <f>'Railway (Catenary)'!X$191</f>
        <v>1.891603922446472E-2</v>
      </c>
      <c r="AB23" s="126">
        <f>'Railway (Catenary)'!Y$191</f>
        <v>1.888296064321375E-2</v>
      </c>
      <c r="AC23" s="126">
        <f>'Railway (Catenary)'!Z$191</f>
        <v>1.8849882061962787E-2</v>
      </c>
      <c r="AD23" s="126">
        <f>'Railway (Catenary)'!AA$191</f>
        <v>1.8816803480711821E-2</v>
      </c>
      <c r="AE23" s="126">
        <f>'Railway (Catenary)'!AB$191</f>
        <v>1.8783724899460855E-2</v>
      </c>
      <c r="AF23" s="126">
        <f>'Railway (Catenary)'!AC$191</f>
        <v>1.8750646318209892E-2</v>
      </c>
    </row>
    <row r="24" spans="1:32" x14ac:dyDescent="0.25">
      <c r="A24">
        <v>23</v>
      </c>
      <c r="B24" t="s">
        <v>16</v>
      </c>
      <c r="C24" t="s">
        <v>285</v>
      </c>
      <c r="D24" t="s">
        <v>21</v>
      </c>
      <c r="E24" s="126">
        <f>'Railway (Catenary)'!B$299</f>
        <v>1.7683870288775261E-2</v>
      </c>
      <c r="F24" s="126">
        <f>'Railway (Catenary)'!C$299</f>
        <v>1.7683870288775261E-2</v>
      </c>
      <c r="G24" s="126">
        <f>'Railway (Catenary)'!D$299</f>
        <v>1.7683870288775261E-2</v>
      </c>
      <c r="H24" s="126">
        <f>'Railway (Catenary)'!E$299</f>
        <v>1.7683870288775261E-2</v>
      </c>
      <c r="I24" s="126">
        <f>'Railway (Catenary)'!F$299</f>
        <v>1.7683870288775261E-2</v>
      </c>
      <c r="J24" s="126">
        <f>'Railway (Catenary)'!G$299</f>
        <v>1.7683870288775261E-2</v>
      </c>
      <c r="K24" s="126">
        <f>'Railway (Catenary)'!H$299</f>
        <v>1.7683870288775261E-2</v>
      </c>
      <c r="L24" s="126">
        <f>'Railway (Catenary)'!I$299</f>
        <v>1.7683870288775261E-2</v>
      </c>
      <c r="M24" s="126">
        <f>'Railway (Catenary)'!J$299</f>
        <v>1.7744514354402031E-2</v>
      </c>
      <c r="N24" s="126">
        <f>'Railway (Catenary)'!K$299</f>
        <v>1.7805158420028801E-2</v>
      </c>
      <c r="O24" s="126">
        <f>'Railway (Catenary)'!L$299</f>
        <v>1.7865802485655564E-2</v>
      </c>
      <c r="P24" s="126">
        <f>'Railway (Catenary)'!M$299</f>
        <v>1.7926446551282338E-2</v>
      </c>
      <c r="Q24" s="126">
        <f>'Railway (Catenary)'!N$299</f>
        <v>1.7987090616909104E-2</v>
      </c>
      <c r="R24" s="126">
        <f>'Railway (Catenary)'!O$299</f>
        <v>1.7954012035658141E-2</v>
      </c>
      <c r="S24" s="126">
        <f>'Railway (Catenary)'!P$299</f>
        <v>1.7920933454407175E-2</v>
      </c>
      <c r="T24" s="126">
        <f>'Railway (Catenary)'!Q$299</f>
        <v>1.7887854873156212E-2</v>
      </c>
      <c r="U24" s="126">
        <f>'Railway (Catenary)'!R$299</f>
        <v>1.7854776291905246E-2</v>
      </c>
      <c r="V24" s="126">
        <f>'Railway (Catenary)'!S$299</f>
        <v>1.7821697710654279E-2</v>
      </c>
      <c r="W24" s="126">
        <f>'Railway (Catenary)'!T$299</f>
        <v>1.7788619129403316E-2</v>
      </c>
      <c r="X24" s="126">
        <f>'Railway (Catenary)'!U$299</f>
        <v>1.7755540548152354E-2</v>
      </c>
      <c r="Y24" s="126">
        <f>'Railway (Catenary)'!V$299</f>
        <v>1.7722461966901384E-2</v>
      </c>
      <c r="Z24" s="126">
        <f>'Railway (Catenary)'!W$299</f>
        <v>1.7689383385650421E-2</v>
      </c>
      <c r="AA24" s="126">
        <f>'Railway (Catenary)'!X$299</f>
        <v>1.7656304804399454E-2</v>
      </c>
      <c r="AB24" s="126">
        <f>'Railway (Catenary)'!Y$299</f>
        <v>1.7623226223148492E-2</v>
      </c>
      <c r="AC24" s="126">
        <f>'Railway (Catenary)'!Z$299</f>
        <v>1.7590147641897525E-2</v>
      </c>
      <c r="AD24" s="126">
        <f>'Railway (Catenary)'!AA$299</f>
        <v>1.7557069060646559E-2</v>
      </c>
      <c r="AE24" s="126">
        <f>'Railway (Catenary)'!AB$299</f>
        <v>1.7523990479395596E-2</v>
      </c>
      <c r="AF24" s="126">
        <f>'Railway (Catenary)'!AC$299</f>
        <v>1.7490911898144633E-2</v>
      </c>
    </row>
    <row r="25" spans="1:32" x14ac:dyDescent="0.25">
      <c r="A25">
        <v>24</v>
      </c>
      <c r="B25" t="s">
        <v>16</v>
      </c>
      <c r="C25" t="s">
        <v>285</v>
      </c>
      <c r="D25" t="s">
        <v>22</v>
      </c>
      <c r="E25" s="126">
        <f>'Railway (Catenary)'!B$408</f>
        <v>1.7021891983950016E-2</v>
      </c>
      <c r="F25" s="126">
        <f>'Railway (Catenary)'!C$408</f>
        <v>1.7021891983950016E-2</v>
      </c>
      <c r="G25" s="126">
        <f>'Railway (Catenary)'!D$408</f>
        <v>1.7021891983950016E-2</v>
      </c>
      <c r="H25" s="126">
        <f>'Railway (Catenary)'!E$408</f>
        <v>1.7021891983950016E-2</v>
      </c>
      <c r="I25" s="126">
        <f>'Railway (Catenary)'!F$408</f>
        <v>1.7021891983950016E-2</v>
      </c>
      <c r="J25" s="126">
        <f>'Railway (Catenary)'!G$408</f>
        <v>1.7021891983950016E-2</v>
      </c>
      <c r="K25" s="126">
        <f>'Railway (Catenary)'!H$408</f>
        <v>1.7021891983950016E-2</v>
      </c>
      <c r="L25" s="126">
        <f>'Railway (Catenary)'!I$408</f>
        <v>1.7021891983950016E-2</v>
      </c>
      <c r="M25" s="126">
        <f>'Railway (Catenary)'!J$408</f>
        <v>1.7057829208025139E-2</v>
      </c>
      <c r="N25" s="126">
        <f>'Railway (Catenary)'!K$408</f>
        <v>1.7093766432100262E-2</v>
      </c>
      <c r="O25" s="126">
        <f>'Railway (Catenary)'!L$408</f>
        <v>1.7129703656175388E-2</v>
      </c>
      <c r="P25" s="126">
        <f>'Railway (Catenary)'!M$408</f>
        <v>1.7165640880250507E-2</v>
      </c>
      <c r="Q25" s="126">
        <f>'Railway (Catenary)'!N$408</f>
        <v>1.7201578104325634E-2</v>
      </c>
      <c r="R25" s="126">
        <f>'Railway (Catenary)'!O$408</f>
        <v>1.7181975982102832E-2</v>
      </c>
      <c r="S25" s="126">
        <f>'Railway (Catenary)'!P$408</f>
        <v>1.7162373859880044E-2</v>
      </c>
      <c r="T25" s="126">
        <f>'Railway (Catenary)'!Q$408</f>
        <v>1.7142771737657249E-2</v>
      </c>
      <c r="U25" s="126">
        <f>'Railway (Catenary)'!R$408</f>
        <v>1.7123169615434454E-2</v>
      </c>
      <c r="V25" s="126">
        <f>'Railway (Catenary)'!S$408</f>
        <v>1.7103567493211659E-2</v>
      </c>
      <c r="W25" s="126">
        <f>'Railway (Catenary)'!T$408</f>
        <v>1.7083965370988864E-2</v>
      </c>
      <c r="X25" s="126">
        <f>'Railway (Catenary)'!U$408</f>
        <v>1.7064363248766069E-2</v>
      </c>
      <c r="Y25" s="126">
        <f>'Railway (Catenary)'!V$408</f>
        <v>1.7044761126543274E-2</v>
      </c>
      <c r="Z25" s="126">
        <f>'Railway (Catenary)'!W$408</f>
        <v>1.7025159004320483E-2</v>
      </c>
      <c r="AA25" s="126">
        <f>'Railway (Catenary)'!X$408</f>
        <v>1.7005556882097685E-2</v>
      </c>
      <c r="AB25" s="126">
        <f>'Railway (Catenary)'!Y$408</f>
        <v>1.6985954759874897E-2</v>
      </c>
      <c r="AC25" s="126">
        <f>'Railway (Catenary)'!Z$408</f>
        <v>1.6966352637652102E-2</v>
      </c>
      <c r="AD25" s="126">
        <f>'Railway (Catenary)'!AA$408</f>
        <v>1.6946750515429307E-2</v>
      </c>
      <c r="AE25" s="126">
        <f>'Railway (Catenary)'!AB$408</f>
        <v>1.6927148393206512E-2</v>
      </c>
      <c r="AF25" s="126">
        <f>'Railway (Catenary)'!AC$408</f>
        <v>1.6907546270983717E-2</v>
      </c>
    </row>
    <row r="26" spans="1:32" x14ac:dyDescent="0.25">
      <c r="A26">
        <v>25</v>
      </c>
      <c r="B26" t="s">
        <v>16</v>
      </c>
      <c r="C26" t="s">
        <v>285</v>
      </c>
      <c r="D26" t="s">
        <v>23</v>
      </c>
      <c r="E26" s="126">
        <f>'Railway (Catenary)'!B$513</f>
        <v>1.8524423013450197E-2</v>
      </c>
      <c r="F26" s="126">
        <f>'Railway (Catenary)'!C$513</f>
        <v>1.8524423013450197E-2</v>
      </c>
      <c r="G26" s="126">
        <f>'Railway (Catenary)'!D$513</f>
        <v>1.8524423013450197E-2</v>
      </c>
      <c r="H26" s="126">
        <f>'Railway (Catenary)'!E$513</f>
        <v>1.8524423013450197E-2</v>
      </c>
      <c r="I26" s="126">
        <f>'Railway (Catenary)'!F$513</f>
        <v>1.8524423013450197E-2</v>
      </c>
      <c r="J26" s="126">
        <f>'Railway (Catenary)'!G$513</f>
        <v>1.8524423013450197E-2</v>
      </c>
      <c r="K26" s="126">
        <f>'Railway (Catenary)'!H$513</f>
        <v>1.8524423013450197E-2</v>
      </c>
      <c r="L26" s="126">
        <f>'Railway (Catenary)'!I$513</f>
        <v>1.8524423013450197E-2</v>
      </c>
      <c r="M26" s="126">
        <f>'Railway (Catenary)'!J$513</f>
        <v>1.8585067079076967E-2</v>
      </c>
      <c r="N26" s="126">
        <f>'Railway (Catenary)'!K$513</f>
        <v>1.8645711144703737E-2</v>
      </c>
      <c r="O26" s="126">
        <f>'Railway (Catenary)'!L$513</f>
        <v>1.8706355210330504E-2</v>
      </c>
      <c r="P26" s="126">
        <f>'Railway (Catenary)'!M$513</f>
        <v>1.8766999275957274E-2</v>
      </c>
      <c r="Q26" s="126">
        <f>'Railway (Catenary)'!N$513</f>
        <v>1.8827643341584044E-2</v>
      </c>
      <c r="R26" s="126">
        <f>'Railway (Catenary)'!O$513</f>
        <v>1.8794564760333081E-2</v>
      </c>
      <c r="S26" s="126">
        <f>'Railway (Catenary)'!P$513</f>
        <v>1.8761486179082111E-2</v>
      </c>
      <c r="T26" s="126">
        <f>'Railway (Catenary)'!Q$513</f>
        <v>1.8728407597831148E-2</v>
      </c>
      <c r="U26" s="126">
        <f>'Railway (Catenary)'!R$513</f>
        <v>1.8695329016580185E-2</v>
      </c>
      <c r="V26" s="126">
        <f>'Railway (Catenary)'!S$513</f>
        <v>1.8662250435329219E-2</v>
      </c>
      <c r="W26" s="126">
        <f>'Railway (Catenary)'!T$513</f>
        <v>1.8629171854078252E-2</v>
      </c>
      <c r="X26" s="126">
        <f>'Railway (Catenary)'!U$513</f>
        <v>1.859609327282729E-2</v>
      </c>
      <c r="Y26" s="126">
        <f>'Railway (Catenary)'!V$513</f>
        <v>1.8563014691576323E-2</v>
      </c>
      <c r="Z26" s="126">
        <f>'Railway (Catenary)'!W$513</f>
        <v>1.852993611032536E-2</v>
      </c>
      <c r="AA26" s="126">
        <f>'Railway (Catenary)'!X$513</f>
        <v>1.8496857529074394E-2</v>
      </c>
      <c r="AB26" s="126">
        <f>'Railway (Catenary)'!Y$513</f>
        <v>1.8463778947823431E-2</v>
      </c>
      <c r="AC26" s="126">
        <f>'Railway (Catenary)'!Z$513</f>
        <v>1.8430700366572468E-2</v>
      </c>
      <c r="AD26" s="126">
        <f>'Railway (Catenary)'!AA$513</f>
        <v>1.8397621785321498E-2</v>
      </c>
      <c r="AE26" s="126">
        <f>'Railway (Catenary)'!AB$513</f>
        <v>1.8364543204070535E-2</v>
      </c>
      <c r="AF26" s="126">
        <f>'Railway (Catenary)'!AC$513</f>
        <v>1.8331464622819565E-2</v>
      </c>
    </row>
    <row r="27" spans="1:32" x14ac:dyDescent="0.25">
      <c r="A27">
        <v>26</v>
      </c>
      <c r="B27" t="s">
        <v>16</v>
      </c>
      <c r="C27" t="s">
        <v>299</v>
      </c>
      <c r="D27" t="s">
        <v>13</v>
      </c>
      <c r="E27" s="126">
        <f>'Railway (Battery)'!B$85</f>
        <v>1.733080925299478E-2</v>
      </c>
      <c r="F27" s="126">
        <f>'Railway (Battery)'!C$85</f>
        <v>1.7310352749506382E-2</v>
      </c>
      <c r="G27" s="126">
        <f>'Railway (Battery)'!D$85</f>
        <v>1.7281312363546224E-2</v>
      </c>
      <c r="H27" s="126">
        <f>'Railway (Battery)'!E$85</f>
        <v>1.7240276404346045E-2</v>
      </c>
      <c r="I27" s="126">
        <f>'Railway (Battery)'!F$85</f>
        <v>1.7182682087087495E-2</v>
      </c>
      <c r="J27" s="126">
        <f>'Railway (Battery)'!G$85</f>
        <v>1.7102642755878597E-2</v>
      </c>
      <c r="K27" s="126">
        <f>'Railway (Battery)'!H$85</f>
        <v>1.6992982971883966E-2</v>
      </c>
      <c r="L27" s="126">
        <f>'Railway (Battery)'!I$85</f>
        <v>1.6845741332136243E-2</v>
      </c>
      <c r="M27" s="126">
        <f>'Railway (Battery)'!J$85</f>
        <v>1.6697360059426493E-2</v>
      </c>
      <c r="N27" s="126">
        <f>'Railway (Battery)'!K$85</f>
        <v>1.6499410775137627E-2</v>
      </c>
      <c r="O27" s="126">
        <f>'Railway (Battery)'!L$85</f>
        <v>1.6253553678021081E-2</v>
      </c>
      <c r="P27" s="126">
        <f>'Railway (Battery)'!M$85</f>
        <v>1.5970411683245658E-2</v>
      </c>
      <c r="Q27" s="126">
        <f>'Railway (Battery)'!N$85</f>
        <v>1.5669752747350177E-2</v>
      </c>
      <c r="R27" s="126">
        <f>'Railway (Battery)'!O$85</f>
        <v>1.5309103140169622E-2</v>
      </c>
      <c r="S27" s="126">
        <f>'Railway (Battery)'!P$85</f>
        <v>1.4979380264861031E-2</v>
      </c>
      <c r="T27" s="126">
        <f>'Railway (Battery)'!Q$85</f>
        <v>1.46961328982962E-2</v>
      </c>
      <c r="U27" s="126">
        <f>'Railway (Battery)'!R$85</f>
        <v>1.4464932157283242E-2</v>
      </c>
      <c r="V27" s="126">
        <f>'Railway (Battery)'!S$85</f>
        <v>1.4283110630502752E-2</v>
      </c>
      <c r="W27" s="126">
        <f>'Railway (Battery)'!T$85</f>
        <v>1.4143296362620975E-2</v>
      </c>
      <c r="X27" s="126">
        <f>'Railway (Battery)'!U$85</f>
        <v>1.4036638637300956E-2</v>
      </c>
      <c r="Y27" s="126">
        <f>'Railway (Battery)'!V$85</f>
        <v>1.3954829232215828E-2</v>
      </c>
      <c r="Z27" s="126">
        <f>'Railway (Battery)'!W$85</f>
        <v>1.3890987721672203E-2</v>
      </c>
      <c r="AA27" s="126">
        <f>'Railway (Battery)'!X$85</f>
        <v>1.3839824365067713E-2</v>
      </c>
      <c r="AB27" s="126">
        <f>'Railway (Battery)'!Y$85</f>
        <v>1.3797458623386652E-2</v>
      </c>
      <c r="AC27" s="126">
        <f>'Railway (Battery)'!Z$85</f>
        <v>1.3761129000392745E-2</v>
      </c>
      <c r="AD27" s="126">
        <f>'Railway (Battery)'!AA$85</f>
        <v>1.3728909253217401E-2</v>
      </c>
      <c r="AE27" s="126">
        <f>'Railway (Battery)'!AB$85</f>
        <v>1.3699473450737468E-2</v>
      </c>
      <c r="AF27" s="126">
        <f>'Railway (Battery)'!AC$85</f>
        <v>1.3671916904513842E-2</v>
      </c>
    </row>
    <row r="28" spans="1:32" x14ac:dyDescent="0.25">
      <c r="A28">
        <v>27</v>
      </c>
      <c r="B28" t="s">
        <v>16</v>
      </c>
      <c r="C28" t="s">
        <v>299</v>
      </c>
      <c r="D28" t="s">
        <v>20</v>
      </c>
      <c r="E28" s="126">
        <f>'Railway (Battery)'!B$191</f>
        <v>2.5968273679995914E-2</v>
      </c>
      <c r="F28" s="126">
        <f>'Railway (Battery)'!C$191</f>
        <v>2.593839312458121E-2</v>
      </c>
      <c r="G28" s="126">
        <f>'Railway (Battery)'!D$191</f>
        <v>2.5895971938453964E-2</v>
      </c>
      <c r="H28" s="126">
        <f>'Railway (Battery)'!E$191</f>
        <v>2.5836023509259044E-2</v>
      </c>
      <c r="I28" s="126">
        <f>'Railway (Battery)'!F$191</f>
        <v>2.5751876435665517E-2</v>
      </c>
      <c r="J28" s="126">
        <f>'Railway (Battery)'!G$191</f>
        <v>2.5634919154230967E-2</v>
      </c>
      <c r="K28" s="126">
        <f>'Railway (Battery)'!H$191</f>
        <v>2.5474646279400454E-2</v>
      </c>
      <c r="L28" s="126">
        <f>'Railway (Battery)'!I$191</f>
        <v>2.5259386137815573E-2</v>
      </c>
      <c r="M28" s="126">
        <f>'Railway (Battery)'!J$191</f>
        <v>2.5043569768212433E-2</v>
      </c>
      <c r="N28" s="126">
        <f>'Railway (Battery)'!K$191</f>
        <v>2.4755127629695312E-2</v>
      </c>
      <c r="O28" s="126">
        <f>'Railway (Battery)'!L$191</f>
        <v>2.4396386979861233E-2</v>
      </c>
      <c r="P28" s="126">
        <f>'Railway (Battery)'!M$191</f>
        <v>2.3982790832993116E-2</v>
      </c>
      <c r="Q28" s="126">
        <f>'Railway (Battery)'!N$191</f>
        <v>2.3543216160743952E-2</v>
      </c>
      <c r="R28" s="126">
        <f>'Railway (Battery)'!O$191</f>
        <v>2.301361404635642E-2</v>
      </c>
      <c r="S28" s="126">
        <f>'Railway (Battery)'!P$191</f>
        <v>2.2529039958164972E-2</v>
      </c>
      <c r="T28" s="126">
        <f>'Railway (Battery)'!Q$191</f>
        <v>2.2112432409508692E-2</v>
      </c>
      <c r="U28" s="126">
        <f>'Railway (Battery)'!R$191</f>
        <v>2.1772100772396816E-2</v>
      </c>
      <c r="V28" s="126">
        <f>'Railway (Battery)'!S$191</f>
        <v>2.1504231619367167E-2</v>
      </c>
      <c r="W28" s="126">
        <f>'Railway (Battery)'!T$191</f>
        <v>2.1298061879597003E-2</v>
      </c>
      <c r="X28" s="126">
        <f>'Railway (Battery)'!U$191</f>
        <v>2.1140621942879335E-2</v>
      </c>
      <c r="Y28" s="126">
        <f>'Railway (Battery)'!V$191</f>
        <v>2.1019717107869148E-2</v>
      </c>
      <c r="Z28" s="126">
        <f>'Railway (Battery)'!W$191</f>
        <v>2.0925238942223551E-2</v>
      </c>
      <c r="AA28" s="126">
        <f>'Railway (Battery)'!X$191</f>
        <v>2.084941145304834E-2</v>
      </c>
      <c r="AB28" s="126">
        <f>'Railway (Battery)'!Y$191</f>
        <v>2.0786528017647802E-2</v>
      </c>
      <c r="AC28" s="126">
        <f>'Railway (Battery)'!Z$191</f>
        <v>2.0732526603508328E-2</v>
      </c>
      <c r="AD28" s="126">
        <f>'Railway (Battery)'!AA$191</f>
        <v>2.0684573291471178E-2</v>
      </c>
      <c r="AE28" s="126">
        <f>'Railway (Battery)'!AB$191</f>
        <v>2.0640717103109853E-2</v>
      </c>
      <c r="AF28" s="126">
        <f>'Railway (Battery)'!AC$191</f>
        <v>2.0599626753889825E-2</v>
      </c>
    </row>
    <row r="29" spans="1:32" x14ac:dyDescent="0.25">
      <c r="A29">
        <v>28</v>
      </c>
      <c r="B29" t="s">
        <v>16</v>
      </c>
      <c r="C29" t="s">
        <v>299</v>
      </c>
      <c r="D29" t="s">
        <v>21</v>
      </c>
      <c r="E29" s="126">
        <f>'Railway (Battery)'!B$299</f>
        <v>2.4687970144163886E-2</v>
      </c>
      <c r="F29" s="126">
        <f>'Railway (Battery)'!C$299</f>
        <v>2.4658150257554357E-2</v>
      </c>
      <c r="G29" s="126">
        <f>'Railway (Battery)'!D$299</f>
        <v>2.4615815190623752E-2</v>
      </c>
      <c r="H29" s="126">
        <f>'Railway (Battery)'!E$299</f>
        <v>2.4555988439006207E-2</v>
      </c>
      <c r="I29" s="126">
        <f>'Railway (Battery)'!F$299</f>
        <v>2.4472012112348274E-2</v>
      </c>
      <c r="J29" s="126">
        <f>'Railway (Battery)'!G$299</f>
        <v>2.4355292064000778E-2</v>
      </c>
      <c r="K29" s="126">
        <f>'Railway (Battery)'!H$299</f>
        <v>2.419534411125826E-2</v>
      </c>
      <c r="L29" s="126">
        <f>'Railway (Battery)'!I$299</f>
        <v>2.3980520056302738E-2</v>
      </c>
      <c r="M29" s="126">
        <f>'Railway (Battery)'!J$299</f>
        <v>2.3765272746153199E-2</v>
      </c>
      <c r="N29" s="126">
        <f>'Railway (Battery)'!K$299</f>
        <v>2.3477545650632203E-2</v>
      </c>
      <c r="O29" s="126">
        <f>'Railway (Battery)'!L$299</f>
        <v>2.3119660699143972E-2</v>
      </c>
      <c r="P29" s="126">
        <f>'Railway (Battery)'!M$299</f>
        <v>2.2707029101169868E-2</v>
      </c>
      <c r="Q29" s="126">
        <f>'Railway (Battery)'!N$299</f>
        <v>2.2268469201250148E-2</v>
      </c>
      <c r="R29" s="126">
        <f>'Railway (Battery)'!O$299</f>
        <v>2.1739858420950289E-2</v>
      </c>
      <c r="S29" s="126">
        <f>'Railway (Battery)'!P$299</f>
        <v>2.1256183792978365E-2</v>
      </c>
      <c r="T29" s="126">
        <f>'Railway (Battery)'!Q$299</f>
        <v>2.0840338441510967E-2</v>
      </c>
      <c r="U29" s="126">
        <f>'Railway (Battery)'!R$299</f>
        <v>2.0500615725524966E-2</v>
      </c>
      <c r="V29" s="126">
        <f>'Railway (Battery)'!S$299</f>
        <v>2.0233210334321263E-2</v>
      </c>
      <c r="W29" s="126">
        <f>'Railway (Battery)'!T$299</f>
        <v>2.0027381016520622E-2</v>
      </c>
      <c r="X29" s="126">
        <f>'Railway (Battery)'!U$299</f>
        <v>1.9870184227604844E-2</v>
      </c>
      <c r="Y29" s="126">
        <f>'Railway (Battery)'!V$299</f>
        <v>1.974944967972302E-2</v>
      </c>
      <c r="Z29" s="126">
        <f>'Railway (Battery)'!W$299</f>
        <v>1.9655089133499476E-2</v>
      </c>
      <c r="AA29" s="126">
        <f>'Railway (Battery)'!X$299</f>
        <v>1.9579342109169975E-2</v>
      </c>
      <c r="AB29" s="126">
        <f>'Railway (Battery)'!Y$299</f>
        <v>1.9516513359357897E-2</v>
      </c>
      <c r="AC29" s="126">
        <f>'Railway (Battery)'!Z$299</f>
        <v>1.9462548944390402E-2</v>
      </c>
      <c r="AD29" s="126">
        <f>'Railway (Battery)'!AA$299</f>
        <v>1.9414620589317796E-2</v>
      </c>
      <c r="AE29" s="126">
        <f>'Railway (Battery)'!AB$299</f>
        <v>1.9370781200629024E-2</v>
      </c>
      <c r="AF29" s="126">
        <f>'Railway (Battery)'!AC$299</f>
        <v>1.9329702144425247E-2</v>
      </c>
    </row>
    <row r="30" spans="1:32" x14ac:dyDescent="0.25">
      <c r="A30">
        <v>29</v>
      </c>
      <c r="B30" t="s">
        <v>16</v>
      </c>
      <c r="C30" t="s">
        <v>299</v>
      </c>
      <c r="D30" t="s">
        <v>22</v>
      </c>
      <c r="E30" s="126">
        <f>'Railway (Battery)'!B$408</f>
        <v>2.1502702114462001E-2</v>
      </c>
      <c r="F30" s="126">
        <f>'Railway (Battery)'!C$408</f>
        <v>2.1483876947371597E-2</v>
      </c>
      <c r="G30" s="126">
        <f>'Railway (Battery)'!D$408</f>
        <v>2.1457152991067086E-2</v>
      </c>
      <c r="H30" s="126">
        <f>'Railway (Battery)'!E$408</f>
        <v>2.1419391414333189E-2</v>
      </c>
      <c r="I30" s="126">
        <f>'Railway (Battery)'!F$408</f>
        <v>2.1366394926292366E-2</v>
      </c>
      <c r="J30" s="126">
        <f>'Railway (Battery)'!G$408</f>
        <v>2.1292749517544649E-2</v>
      </c>
      <c r="K30" s="126">
        <f>'Railway (Battery)'!H$408</f>
        <v>2.1191857961637306E-2</v>
      </c>
      <c r="L30" s="126">
        <f>'Railway (Battery)'!I$408</f>
        <v>2.1056404243935477E-2</v>
      </c>
      <c r="M30" s="126">
        <f>'Railway (Battery)'!J$408</f>
        <v>2.0918666677397765E-2</v>
      </c>
      <c r="N30" s="126">
        <f>'Railway (Battery)'!K$408</f>
        <v>2.07353712044493E-2</v>
      </c>
      <c r="O30" s="126">
        <f>'Railway (Battery)'!L$408</f>
        <v>2.0508070442159868E-2</v>
      </c>
      <c r="P30" s="126">
        <f>'Railway (Battery)'!M$408</f>
        <v>2.0246558840251564E-2</v>
      </c>
      <c r="Q30" s="126">
        <f>'Railway (Battery)'!N$408</f>
        <v>1.9969027449121338E-2</v>
      </c>
      <c r="R30" s="126">
        <f>'Railway (Battery)'!O$408</f>
        <v>1.9638359056286941E-2</v>
      </c>
      <c r="S30" s="126">
        <f>'Railway (Battery)'!P$408</f>
        <v>1.9336184763466699E-2</v>
      </c>
      <c r="T30" s="126">
        <f>'Railway (Battery)'!Q$408</f>
        <v>1.9076757498978143E-2</v>
      </c>
      <c r="U30" s="126">
        <f>'Railway (Battery)'!R$408</f>
        <v>1.8865162056427177E-2</v>
      </c>
      <c r="V30" s="126">
        <f>'Railway (Battery)'!S$408</f>
        <v>1.8698923764597957E-2</v>
      </c>
      <c r="W30" s="126">
        <f>'Railway (Battery)'!T$408</f>
        <v>1.8571257769043809E-2</v>
      </c>
      <c r="X30" s="126">
        <f>'Railway (Battery)'!U$408</f>
        <v>1.8474029784385844E-2</v>
      </c>
      <c r="Y30" s="126">
        <f>'Railway (Battery)'!V$408</f>
        <v>1.839960897760276E-2</v>
      </c>
      <c r="Z30" s="126">
        <f>'Railway (Battery)'!W$408</f>
        <v>1.8341678187342864E-2</v>
      </c>
      <c r="AA30" s="126">
        <f>'Railway (Battery)'!X$408</f>
        <v>1.8295381809768661E-2</v>
      </c>
      <c r="AB30" s="126">
        <f>'Railway (Battery)'!Y$408</f>
        <v>1.8257158309606739E-2</v>
      </c>
      <c r="AC30" s="126">
        <f>'Railway (Battery)'!Z$408</f>
        <v>1.822447345105712E-2</v>
      </c>
      <c r="AD30" s="126">
        <f>'Railway (Battery)'!AA$408</f>
        <v>1.8195559632301295E-2</v>
      </c>
      <c r="AE30" s="126">
        <f>'Railway (Battery)'!AB$408</f>
        <v>1.8169200180071933E-2</v>
      </c>
      <c r="AF30" s="126">
        <f>'Railway (Battery)'!AC$408</f>
        <v>1.8144564980957366E-2</v>
      </c>
    </row>
    <row r="31" spans="1:32" x14ac:dyDescent="0.25">
      <c r="A31">
        <v>30</v>
      </c>
      <c r="B31" t="s">
        <v>16</v>
      </c>
      <c r="C31" t="s">
        <v>299</v>
      </c>
      <c r="D31" t="s">
        <v>23</v>
      </c>
      <c r="E31" s="126">
        <f>'Railway (Battery)'!B$513</f>
        <v>2.5397503776248789E-2</v>
      </c>
      <c r="F31" s="126">
        <f>'Railway (Battery)'!C$513</f>
        <v>2.5368236930157044E-2</v>
      </c>
      <c r="G31" s="126">
        <f>'Railway (Battery)'!D$513</f>
        <v>2.5326685247445795E-2</v>
      </c>
      <c r="H31" s="126">
        <f>'Railway (Battery)'!E$513</f>
        <v>2.5267962025626426E-2</v>
      </c>
      <c r="I31" s="126">
        <f>'Railway (Battery)'!F$513</f>
        <v>2.5185527710871205E-2</v>
      </c>
      <c r="J31" s="126">
        <f>'Railway (Battery)'!G$513</f>
        <v>2.5070937420385783E-2</v>
      </c>
      <c r="K31" s="126">
        <f>'Railway (Battery)'!H$513</f>
        <v>2.4913882486899699E-2</v>
      </c>
      <c r="L31" s="126">
        <f>'Railway (Battery)'!I$513</f>
        <v>2.4702897640694305E-2</v>
      </c>
      <c r="M31" s="126">
        <f>'Railway (Battery)'!J$513</f>
        <v>2.4492252575286769E-2</v>
      </c>
      <c r="N31" s="126">
        <f>'Railway (Battery)'!K$513</f>
        <v>2.4210298522401783E-2</v>
      </c>
      <c r="O31" s="126">
        <f>'Railway (Battery)'!L$513</f>
        <v>2.3859238467470331E-2</v>
      </c>
      <c r="P31" s="126">
        <f>'Railway (Battery)'!M$513</f>
        <v>2.3454140879343735E-2</v>
      </c>
      <c r="Q31" s="126">
        <f>'Railway (Battery)'!N$513</f>
        <v>2.3023291909204453E-2</v>
      </c>
      <c r="R31" s="126">
        <f>'Railway (Battery)'!O$513</f>
        <v>2.2502365264200665E-2</v>
      </c>
      <c r="S31" s="126">
        <f>'Railway (Battery)'!P$513</f>
        <v>2.202543012936484E-2</v>
      </c>
      <c r="T31" s="126">
        <f>'Railway (Battery)'!Q$513</f>
        <v>2.1615130425203431E-2</v>
      </c>
      <c r="U31" s="126">
        <f>'Railway (Battery)'!R$513</f>
        <v>2.1279738113232204E-2</v>
      </c>
      <c r="V31" s="126">
        <f>'Railway (Battery)'!S$513</f>
        <v>2.1015581941587189E-2</v>
      </c>
      <c r="W31" s="126">
        <f>'Railway (Battery)'!T$513</f>
        <v>2.0812123275565544E-2</v>
      </c>
      <c r="X31" s="126">
        <f>'Railway (Battery)'!U$513</f>
        <v>2.0656626212764755E-2</v>
      </c>
      <c r="Y31" s="126">
        <f>'Railway (Battery)'!V$513</f>
        <v>2.0537100380756703E-2</v>
      </c>
      <c r="Z31" s="126">
        <f>'Railway (Battery)'!W$513</f>
        <v>2.0443599487487085E-2</v>
      </c>
      <c r="AA31" s="126">
        <f>'Railway (Battery)'!X$513</f>
        <v>2.0368468803134681E-2</v>
      </c>
      <c r="AB31" s="126">
        <f>'Railway (Battery)'!Y$513</f>
        <v>2.0306089035269769E-2</v>
      </c>
      <c r="AC31" s="126">
        <f>'Railway (Battery)'!Z$513</f>
        <v>2.0252459516457724E-2</v>
      </c>
      <c r="AD31" s="126">
        <f>'Railway (Battery)'!AA$513</f>
        <v>2.0204788754750347E-2</v>
      </c>
      <c r="AE31" s="126">
        <f>'Railway (Battery)'!AB$513</f>
        <v>2.0161154792252896E-2</v>
      </c>
      <c r="AF31" s="126">
        <f>'Railway (Battery)'!AC$513</f>
        <v>2.0120246053379153E-2</v>
      </c>
    </row>
    <row r="32" spans="1:32" x14ac:dyDescent="0.25">
      <c r="A32">
        <v>31</v>
      </c>
      <c r="B32" t="s">
        <v>16</v>
      </c>
      <c r="C32" t="s">
        <v>95</v>
      </c>
      <c r="D32" t="s">
        <v>13</v>
      </c>
      <c r="E32" s="126">
        <f>'Railway (Hydrogen)'!B$85</f>
        <v>2.2041384862265825E-2</v>
      </c>
      <c r="F32" s="126">
        <f>'Railway (Hydrogen)'!C$85</f>
        <v>2.1828994846337033E-2</v>
      </c>
      <c r="G32" s="126">
        <f>'Railway (Hydrogen)'!D$85</f>
        <v>2.1601689630994451E-2</v>
      </c>
      <c r="H32" s="126">
        <f>'Railway (Hydrogen)'!E$85</f>
        <v>2.1406759800299571E-2</v>
      </c>
      <c r="I32" s="126">
        <f>'Railway (Hydrogen)'!F$85</f>
        <v>2.1183039436081109E-2</v>
      </c>
      <c r="J32" s="126">
        <f>'Railway (Hydrogen)'!G$85</f>
        <v>2.0920398211960293E-2</v>
      </c>
      <c r="K32" s="126">
        <f>'Railway (Hydrogen)'!H$85</f>
        <v>2.0606529179695937E-2</v>
      </c>
      <c r="L32" s="126">
        <f>'Railway (Hydrogen)'!I$85</f>
        <v>2.0227834802383431E-2</v>
      </c>
      <c r="M32" s="126">
        <f>'Railway (Hydrogen)'!J$85</f>
        <v>1.9885940453952304E-2</v>
      </c>
      <c r="N32" s="126">
        <f>'Railway (Hydrogen)'!K$85</f>
        <v>1.9456751621860023E-2</v>
      </c>
      <c r="O32" s="126">
        <f>'Railway (Hydrogen)'!L$85</f>
        <v>1.8942827443098775E-2</v>
      </c>
      <c r="P32" s="126">
        <f>'Railway (Hydrogen)'!M$85</f>
        <v>1.8362459770413571E-2</v>
      </c>
      <c r="Q32" s="126">
        <f>'Railway (Hydrogen)'!N$85</f>
        <v>1.7750178468871752E-2</v>
      </c>
      <c r="R32" s="126">
        <f>'Railway (Hydrogen)'!O$85</f>
        <v>1.7039529428979155E-2</v>
      </c>
      <c r="S32" s="126">
        <f>'Railway (Hydrogen)'!P$85</f>
        <v>1.638566098777924E-2</v>
      </c>
      <c r="T32" s="126">
        <f>'Railway (Hydrogen)'!Q$85</f>
        <v>1.5815809013511345E-2</v>
      </c>
      <c r="U32" s="126">
        <f>'Railway (Hydrogen)'!R$85</f>
        <v>1.5339460345856787E-2</v>
      </c>
      <c r="V32" s="126">
        <f>'Railway (Hydrogen)'!S$85</f>
        <v>1.495148715701535E-2</v>
      </c>
      <c r="W32" s="126">
        <f>'Railway (Hydrogen)'!T$85</f>
        <v>1.4646304566640287E-2</v>
      </c>
      <c r="X32" s="126">
        <f>'Railway (Hydrogen)'!U$85</f>
        <v>1.4400052835032979E-2</v>
      </c>
      <c r="Y32" s="126">
        <f>'Railway (Hydrogen)'!V$85</f>
        <v>1.4197855394316264E-2</v>
      </c>
      <c r="Z32" s="126">
        <f>'Railway (Hydrogen)'!W$85</f>
        <v>1.4027432190797355E-2</v>
      </c>
      <c r="AA32" s="126">
        <f>'Railway (Hydrogen)'!X$85</f>
        <v>1.3879369836166113E-2</v>
      </c>
      <c r="AB32" s="126">
        <f>'Railway (Hydrogen)'!Y$85</f>
        <v>1.3764119638679836E-2</v>
      </c>
      <c r="AC32" s="126">
        <f>'Railway (Hydrogen)'!Z$85</f>
        <v>1.3659435132682085E-2</v>
      </c>
      <c r="AD32" s="126">
        <f>'Railway (Hydrogen)'!AA$85</f>
        <v>1.3561928298669436E-2</v>
      </c>
      <c r="AE32" s="126">
        <f>'Railway (Hydrogen)'!AB$85</f>
        <v>1.3469272288699539E-2</v>
      </c>
      <c r="AF32" s="126">
        <f>'Railway (Hydrogen)'!AC$85</f>
        <v>1.3379883134876433E-2</v>
      </c>
    </row>
    <row r="33" spans="1:32" x14ac:dyDescent="0.25">
      <c r="A33">
        <v>32</v>
      </c>
      <c r="B33" t="s">
        <v>16</v>
      </c>
      <c r="C33" t="s">
        <v>95</v>
      </c>
      <c r="D33" t="s">
        <v>20</v>
      </c>
      <c r="E33" s="126">
        <f>'Railway (Hydrogen)'!B$191</f>
        <v>3.3105868080487003E-2</v>
      </c>
      <c r="F33" s="126">
        <f>'Railway (Hydrogen)'!C$191</f>
        <v>3.2788504566390667E-2</v>
      </c>
      <c r="G33" s="126">
        <f>'Railway (Hydrogen)'!D$191</f>
        <v>3.2448854034334909E-2</v>
      </c>
      <c r="H33" s="126">
        <f>'Railway (Hydrogen)'!E$191</f>
        <v>3.2157580380057914E-2</v>
      </c>
      <c r="I33" s="126">
        <f>'Railway (Hydrogen)'!F$191</f>
        <v>3.1823286507284325E-2</v>
      </c>
      <c r="J33" s="126">
        <f>'Railway (Hydrogen)'!G$191</f>
        <v>3.1430835188567478E-2</v>
      </c>
      <c r="K33" s="126">
        <f>'Railway (Hydrogen)'!H$191</f>
        <v>3.0961836781981243E-2</v>
      </c>
      <c r="L33" s="126">
        <f>'Railway (Hydrogen)'!I$191</f>
        <v>3.0395973185112765E-2</v>
      </c>
      <c r="M33" s="126">
        <f>'Railway (Hydrogen)'!J$191</f>
        <v>2.9885097985102631E-2</v>
      </c>
      <c r="N33" s="126">
        <f>'Railway (Hydrogen)'!K$191</f>
        <v>2.9243783112705937E-2</v>
      </c>
      <c r="O33" s="126">
        <f>'Railway (Hydrogen)'!L$191</f>
        <v>2.8475852555153638E-2</v>
      </c>
      <c r="P33" s="126">
        <f>'Railway (Hydrogen)'!M$191</f>
        <v>2.7608638890397191E-2</v>
      </c>
      <c r="Q33" s="126">
        <f>'Railway (Hydrogen)'!N$191</f>
        <v>2.6693738325871907E-2</v>
      </c>
      <c r="R33" s="126">
        <f>'Railway (Hydrogen)'!O$191</f>
        <v>2.5631851892071227E-2</v>
      </c>
      <c r="S33" s="126">
        <f>'Railway (Hydrogen)'!P$191</f>
        <v>2.4654809796432101E-2</v>
      </c>
      <c r="T33" s="126">
        <f>'Railway (Hydrogen)'!Q$191</f>
        <v>2.3803309200806054E-2</v>
      </c>
      <c r="U33" s="126">
        <f>'Railway (Hydrogen)'!R$191</f>
        <v>2.3091525803451633E-2</v>
      </c>
      <c r="V33" s="126">
        <f>'Railway (Hydrogen)'!S$191</f>
        <v>2.2511797354129615E-2</v>
      </c>
      <c r="W33" s="126">
        <f>'Railway (Hydrogen)'!T$191</f>
        <v>2.205577865240814E-2</v>
      </c>
      <c r="X33" s="126">
        <f>'Railway (Hydrogen)'!U$191</f>
        <v>2.1687817312260202E-2</v>
      </c>
      <c r="Y33" s="126">
        <f>'Railway (Hydrogen)'!V$191</f>
        <v>2.1385684040851369E-2</v>
      </c>
      <c r="Z33" s="126">
        <f>'Railway (Hydrogen)'!W$191</f>
        <v>2.1131029383400571E-2</v>
      </c>
      <c r="AA33" s="126">
        <f>'Railway (Hydrogen)'!X$191</f>
        <v>2.0909787396268267E-2</v>
      </c>
      <c r="AB33" s="126">
        <f>'Railway (Hydrogen)'!Y$191</f>
        <v>2.0737574933669262E-2</v>
      </c>
      <c r="AC33" s="126">
        <f>'Railway (Hydrogen)'!Z$191</f>
        <v>2.0581150242284404E-2</v>
      </c>
      <c r="AD33" s="126">
        <f>'Railway (Hydrogen)'!AA$191</f>
        <v>2.0435450778233152E-2</v>
      </c>
      <c r="AE33" s="126">
        <f>'Railway (Hydrogen)'!AB$191</f>
        <v>2.0296999651905019E-2</v>
      </c>
      <c r="AF33" s="126">
        <f>'Railway (Hydrogen)'!AC$191</f>
        <v>2.0163430021264243E-2</v>
      </c>
    </row>
    <row r="34" spans="1:32" x14ac:dyDescent="0.25">
      <c r="A34">
        <v>33</v>
      </c>
      <c r="B34" t="s">
        <v>16</v>
      </c>
      <c r="C34" t="s">
        <v>95</v>
      </c>
      <c r="D34" t="s">
        <v>21</v>
      </c>
      <c r="E34" s="126">
        <f>'Railway (Hydrogen)'!B$299</f>
        <v>3.1835966511754063E-2</v>
      </c>
      <c r="F34" s="126">
        <f>'Railway (Hydrogen)'!C$299</f>
        <v>3.1518602997657727E-2</v>
      </c>
      <c r="G34" s="126">
        <f>'Railway (Hydrogen)'!D$299</f>
        <v>3.117895246560197E-2</v>
      </c>
      <c r="H34" s="126">
        <f>'Railway (Hydrogen)'!E$299</f>
        <v>3.0887678811324967E-2</v>
      </c>
      <c r="I34" s="126">
        <f>'Railway (Hydrogen)'!F$299</f>
        <v>3.0553384938551378E-2</v>
      </c>
      <c r="J34" s="126">
        <f>'Railway (Hydrogen)'!G$299</f>
        <v>3.0160933619834535E-2</v>
      </c>
      <c r="K34" s="126">
        <f>'Railway (Hydrogen)'!H$299</f>
        <v>2.9691935213248297E-2</v>
      </c>
      <c r="L34" s="126">
        <f>'Railway (Hydrogen)'!I$299</f>
        <v>2.9126071616379826E-2</v>
      </c>
      <c r="M34" s="126">
        <f>'Railway (Hydrogen)'!J$299</f>
        <v>2.8615196416369698E-2</v>
      </c>
      <c r="N34" s="126">
        <f>'Railway (Hydrogen)'!K$299</f>
        <v>2.7973881543972998E-2</v>
      </c>
      <c r="O34" s="126">
        <f>'Railway (Hydrogen)'!L$299</f>
        <v>2.7205950986420695E-2</v>
      </c>
      <c r="P34" s="126">
        <f>'Railway (Hydrogen)'!M$299</f>
        <v>2.6338737321664259E-2</v>
      </c>
      <c r="Q34" s="126">
        <f>'Railway (Hydrogen)'!N$299</f>
        <v>2.5423836757138968E-2</v>
      </c>
      <c r="R34" s="126">
        <f>'Railway (Hydrogen)'!O$299</f>
        <v>2.4361950323338287E-2</v>
      </c>
      <c r="S34" s="126">
        <f>'Railway (Hydrogen)'!P$299</f>
        <v>2.3384908227699158E-2</v>
      </c>
      <c r="T34" s="126">
        <f>'Railway (Hydrogen)'!Q$299</f>
        <v>2.2533407632073111E-2</v>
      </c>
      <c r="U34" s="126">
        <f>'Railway (Hydrogen)'!R$299</f>
        <v>2.1821624234718694E-2</v>
      </c>
      <c r="V34" s="126">
        <f>'Railway (Hydrogen)'!S$299</f>
        <v>2.1241895785396675E-2</v>
      </c>
      <c r="W34" s="126">
        <f>'Railway (Hydrogen)'!T$299</f>
        <v>2.0785877083675203E-2</v>
      </c>
      <c r="X34" s="126">
        <f>'Railway (Hydrogen)'!U$299</f>
        <v>2.0417915743527262E-2</v>
      </c>
      <c r="Y34" s="126">
        <f>'Railway (Hydrogen)'!V$299</f>
        <v>2.0115782472118423E-2</v>
      </c>
      <c r="Z34" s="126">
        <f>'Railway (Hydrogen)'!W$299</f>
        <v>1.9861127814667631E-2</v>
      </c>
      <c r="AA34" s="126">
        <f>'Railway (Hydrogen)'!X$299</f>
        <v>1.9639885827535328E-2</v>
      </c>
      <c r="AB34" s="126">
        <f>'Railway (Hydrogen)'!Y$299</f>
        <v>1.9467673364936312E-2</v>
      </c>
      <c r="AC34" s="126">
        <f>'Railway (Hydrogen)'!Z$299</f>
        <v>1.9311248673551468E-2</v>
      </c>
      <c r="AD34" s="126">
        <f>'Railway (Hydrogen)'!AA$299</f>
        <v>1.9165549209500213E-2</v>
      </c>
      <c r="AE34" s="126">
        <f>'Railway (Hydrogen)'!AB$299</f>
        <v>1.902709808317208E-2</v>
      </c>
      <c r="AF34" s="126">
        <f>'Railway (Hydrogen)'!AC$299</f>
        <v>1.8893528452531304E-2</v>
      </c>
    </row>
    <row r="35" spans="1:32" x14ac:dyDescent="0.25">
      <c r="A35">
        <v>34</v>
      </c>
      <c r="B35" t="s">
        <v>16</v>
      </c>
      <c r="C35" t="s">
        <v>95</v>
      </c>
      <c r="D35" t="s">
        <v>22</v>
      </c>
      <c r="E35" s="126">
        <f>'Railway (Hydrogen)'!B$408</f>
        <v>2.5594574169206932E-2</v>
      </c>
      <c r="F35" s="126">
        <f>'Railway (Hydrogen)'!C$408</f>
        <v>2.5405511597315363E-2</v>
      </c>
      <c r="G35" s="126">
        <f>'Railway (Hydrogen)'!D$408</f>
        <v>2.5203172007909048E-2</v>
      </c>
      <c r="H35" s="126">
        <f>'Railway (Hydrogen)'!E$408</f>
        <v>2.5029651915787963E-2</v>
      </c>
      <c r="I35" s="126">
        <f>'Railway (Hydrogen)'!F$408</f>
        <v>2.4830503442359542E-2</v>
      </c>
      <c r="J35" s="126">
        <f>'Railway (Hydrogen)'!G$408</f>
        <v>2.4596708905926721E-2</v>
      </c>
      <c r="K35" s="126">
        <f>'Railway (Hydrogen)'!H$408</f>
        <v>2.4317313067956123E-2</v>
      </c>
      <c r="L35" s="126">
        <f>'Railway (Hydrogen)'!I$408</f>
        <v>2.3980211850544941E-2</v>
      </c>
      <c r="M35" s="126">
        <f>'Railway (Hydrogen)'!J$408</f>
        <v>2.3675868802464712E-2</v>
      </c>
      <c r="N35" s="126">
        <f>'Railway (Hydrogen)'!K$408</f>
        <v>2.3293819090440076E-2</v>
      </c>
      <c r="O35" s="126">
        <f>'Railway (Hydrogen)'!L$408</f>
        <v>2.2836340773632401E-2</v>
      </c>
      <c r="P35" s="126">
        <f>'Railway (Hydrogen)'!M$408</f>
        <v>2.2319716654740793E-2</v>
      </c>
      <c r="Q35" s="126">
        <f>'Railway (Hydrogen)'!N$408</f>
        <v>2.1774684078306409E-2</v>
      </c>
      <c r="R35" s="126">
        <f>'Railway (Hydrogen)'!O$408</f>
        <v>2.1142087792615616E-2</v>
      </c>
      <c r="S35" s="126">
        <f>'Railway (Hydrogen)'!P$408</f>
        <v>2.0560035719068861E-2</v>
      </c>
      <c r="T35" s="126">
        <f>'Railway (Hydrogen)'!Q$408</f>
        <v>2.0052772327324993E-2</v>
      </c>
      <c r="U35" s="126">
        <f>'Railway (Hydrogen)'!R$408</f>
        <v>1.9628742488492633E-2</v>
      </c>
      <c r="V35" s="126">
        <f>'Railway (Hydrogen)'!S$408</f>
        <v>1.9283381579757987E-2</v>
      </c>
      <c r="W35" s="126">
        <f>'Railway (Hydrogen)'!T$408</f>
        <v>1.9011718125237685E-2</v>
      </c>
      <c r="X35" s="126">
        <f>'Railway (Hydrogen)'!U$408</f>
        <v>1.8792512973306072E-2</v>
      </c>
      <c r="Y35" s="126">
        <f>'Railway (Hydrogen)'!V$408</f>
        <v>1.861252349496538E-2</v>
      </c>
      <c r="Z35" s="126">
        <f>'Railway (Hydrogen)'!W$408</f>
        <v>1.8460818392320222E-2</v>
      </c>
      <c r="AA35" s="126">
        <f>'Railway (Hydrogen)'!X$408</f>
        <v>1.8329018178244776E-2</v>
      </c>
      <c r="AB35" s="126">
        <f>'Railway (Hydrogen)'!Y$408</f>
        <v>1.8226426261894663E-2</v>
      </c>
      <c r="AC35" s="126">
        <f>'Railway (Hydrogen)'!Z$408</f>
        <v>1.8133239574871819E-2</v>
      </c>
      <c r="AD35" s="126">
        <f>'Railway (Hydrogen)'!AA$408</f>
        <v>1.8046442214201087E-2</v>
      </c>
      <c r="AE35" s="126">
        <f>'Railway (Hydrogen)'!AB$408</f>
        <v>1.7963962896755239E-2</v>
      </c>
      <c r="AF35" s="126">
        <f>'Railway (Hydrogen)'!AC$408</f>
        <v>1.7884391626669393E-2</v>
      </c>
    </row>
    <row r="36" spans="1:32" x14ac:dyDescent="0.25">
      <c r="A36">
        <v>35</v>
      </c>
      <c r="B36" t="s">
        <v>16</v>
      </c>
      <c r="C36" t="s">
        <v>95</v>
      </c>
      <c r="D36" t="s">
        <v>23</v>
      </c>
      <c r="E36" s="126">
        <f>'Railway (Hydrogen)'!B$513</f>
        <v>3.259174240264022E-2</v>
      </c>
      <c r="F36" s="126">
        <f>'Railway (Hydrogen)'!C$513</f>
        <v>3.22752640405706E-2</v>
      </c>
      <c r="G36" s="126">
        <f>'Railway (Hydrogen)'!D$513</f>
        <v>3.1936560820803331E-2</v>
      </c>
      <c r="H36" s="126">
        <f>'Railway (Hydrogen)'!E$513</f>
        <v>3.1646099551863517E-2</v>
      </c>
      <c r="I36" s="126">
        <f>'Railway (Hydrogen)'!F$513</f>
        <v>3.1312738051230582E-2</v>
      </c>
      <c r="J36" s="126">
        <f>'Railway (Hydrogen)'!G$513</f>
        <v>3.0921381310386485E-2</v>
      </c>
      <c r="K36" s="126">
        <f>'Railway (Hydrogen)'!H$513</f>
        <v>3.0453690977575811E-2</v>
      </c>
      <c r="L36" s="126">
        <f>'Railway (Hydrogen)'!I$513</f>
        <v>2.9889405619185808E-2</v>
      </c>
      <c r="M36" s="126">
        <f>'Railway (Hydrogen)'!J$513</f>
        <v>2.9379955290651447E-2</v>
      </c>
      <c r="N36" s="126">
        <f>'Railway (Hydrogen)'!K$513</f>
        <v>2.8740429096328457E-2</v>
      </c>
      <c r="O36" s="126">
        <f>'Railway (Hydrogen)'!L$513</f>
        <v>2.7974640358043965E-2</v>
      </c>
      <c r="P36" s="126">
        <f>'Railway (Hydrogen)'!M$513</f>
        <v>2.7109845421020403E-2</v>
      </c>
      <c r="Q36" s="126">
        <f>'Railway (Hydrogen)'!N$513</f>
        <v>2.6197496586775868E-2</v>
      </c>
      <c r="R36" s="126">
        <f>'Railway (Hydrogen)'!O$513</f>
        <v>2.5138571838510121E-2</v>
      </c>
      <c r="S36" s="126">
        <f>'Railway (Hydrogen)'!P$513</f>
        <v>2.4164254790813564E-2</v>
      </c>
      <c r="T36" s="126">
        <f>'Railway (Hydrogen)'!Q$513</f>
        <v>2.3315129097923604E-2</v>
      </c>
      <c r="U36" s="126">
        <f>'Railway (Hydrogen)'!R$513</f>
        <v>2.2605330920951378E-2</v>
      </c>
      <c r="V36" s="126">
        <f>'Railway (Hydrogen)'!S$513</f>
        <v>2.2027219380281626E-2</v>
      </c>
      <c r="W36" s="126">
        <f>'Railway (Hydrogen)'!T$513</f>
        <v>2.1572472550908797E-2</v>
      </c>
      <c r="X36" s="126">
        <f>'Railway (Hydrogen)'!U$513</f>
        <v>2.1205537484139853E-2</v>
      </c>
      <c r="Y36" s="126">
        <f>'Railway (Hydrogen)'!V$513</f>
        <v>2.0904246886402203E-2</v>
      </c>
      <c r="Z36" s="126">
        <f>'Railway (Hydrogen)'!W$513</f>
        <v>2.0650302481000374E-2</v>
      </c>
      <c r="AA36" s="126">
        <f>'Railway (Hydrogen)'!X$513</f>
        <v>2.0429677555327892E-2</v>
      </c>
      <c r="AB36" s="126">
        <f>'Railway (Hydrogen)'!Y$513</f>
        <v>2.025794540695381E-2</v>
      </c>
      <c r="AC36" s="126">
        <f>'Railway (Hydrogen)'!Z$513</f>
        <v>2.0101956996447061E-2</v>
      </c>
      <c r="AD36" s="126">
        <f>'Railway (Hydrogen)'!AA$513</f>
        <v>1.9956663899763721E-2</v>
      </c>
      <c r="AE36" s="126">
        <f>'Railway (Hydrogen)'!AB$513</f>
        <v>1.9818598924614371E-2</v>
      </c>
      <c r="AF36" s="126">
        <f>'Railway (Hydrogen)'!AC$513</f>
        <v>1.9685401830273497E-2</v>
      </c>
    </row>
    <row r="37" spans="1:32" x14ac:dyDescent="0.25">
      <c r="A37">
        <v>36</v>
      </c>
      <c r="B37" t="s">
        <v>15</v>
      </c>
      <c r="C37" t="s">
        <v>101</v>
      </c>
      <c r="D37" t="s">
        <v>13</v>
      </c>
      <c r="E37" s="126">
        <f>'Short-sea (MGO)'!B$85</f>
        <v>9.6329818300335598E-3</v>
      </c>
      <c r="F37" s="126">
        <f>'Short-sea (MGO)'!C$85</f>
        <v>9.2303429293741478E-3</v>
      </c>
      <c r="G37" s="126">
        <f>'Short-sea (MGO)'!D$85</f>
        <v>8.8276409691577726E-3</v>
      </c>
      <c r="H37" s="126">
        <f>'Short-sea (MGO)'!E$85</f>
        <v>8.4248662164749522E-3</v>
      </c>
      <c r="I37" s="126">
        <f>'Short-sea (MGO)'!F$85</f>
        <v>8.0220124249604091E-3</v>
      </c>
      <c r="J37" s="126">
        <f>'Short-sea (MGO)'!G$85</f>
        <v>7.6190816848594762E-3</v>
      </c>
      <c r="K37" s="126">
        <f>'Short-sea (MGO)'!H$85</f>
        <v>7.2160927201254874E-3</v>
      </c>
      <c r="L37" s="126">
        <f>'Short-sea (MGO)'!I$85</f>
        <v>6.8130944825055282E-3</v>
      </c>
      <c r="M37" s="126">
        <f>'Short-sea (MGO)'!J$85</f>
        <v>6.7505615046608717E-3</v>
      </c>
      <c r="N37" s="126">
        <f>'Short-sea (MGO)'!K$85</f>
        <v>6.687513817148113E-3</v>
      </c>
      <c r="O37" s="126">
        <f>'Short-sea (MGO)'!L$85</f>
        <v>6.6238001984855579E-3</v>
      </c>
      <c r="P37" s="126">
        <f>'Short-sea (MGO)'!M$85</f>
        <v>6.5592529229094422E-3</v>
      </c>
      <c r="Q37" s="126">
        <f>'Short-sea (MGO)'!N$85</f>
        <v>6.4937121163509172E-3</v>
      </c>
      <c r="R37" s="126">
        <f>'Short-sea (MGO)'!O$85</f>
        <v>6.4270728469293468E-3</v>
      </c>
      <c r="S37" s="126">
        <f>'Short-sea (MGO)'!P$85</f>
        <v>6.3593564982319557E-3</v>
      </c>
      <c r="T37" s="126">
        <f>'Short-sea (MGO)'!Q$85</f>
        <v>6.2907902360815155E-3</v>
      </c>
      <c r="U37" s="126">
        <f>'Short-sea (MGO)'!R$85</f>
        <v>6.2218512589350197E-3</v>
      </c>
      <c r="V37" s="126">
        <f>'Short-sea (MGO)'!S$85</f>
        <v>6.1532195882066229E-3</v>
      </c>
      <c r="W37" s="126">
        <f>'Short-sea (MGO)'!T$85</f>
        <v>6.0856202831816404E-3</v>
      </c>
      <c r="X37" s="126">
        <f>'Short-sea (MGO)'!U$85</f>
        <v>6.0196183970710158E-3</v>
      </c>
      <c r="Y37" s="126">
        <f>'Short-sea (MGO)'!V$85</f>
        <v>5.9554802171725083E-3</v>
      </c>
      <c r="Z37" s="126">
        <f>'Short-sea (MGO)'!W$85</f>
        <v>5.8931672629732625E-3</v>
      </c>
      <c r="AA37" s="126">
        <f>'Short-sea (MGO)'!X$85</f>
        <v>5.832433431939581E-3</v>
      </c>
      <c r="AB37" s="126">
        <f>'Short-sea (MGO)'!Y$85</f>
        <v>5.7729476393109692E-3</v>
      </c>
      <c r="AC37" s="126">
        <f>'Short-sea (MGO)'!Z$85</f>
        <v>5.7143853339199843E-3</v>
      </c>
      <c r="AD37" s="126">
        <f>'Short-sea (MGO)'!AA$85</f>
        <v>5.6564746349533519E-3</v>
      </c>
      <c r="AE37" s="126">
        <f>'Short-sea (MGO)'!AB$85</f>
        <v>5.5990082800811023E-3</v>
      </c>
      <c r="AF37" s="126">
        <f>'Short-sea (MGO)'!AC$85</f>
        <v>5.5418375817325935E-3</v>
      </c>
    </row>
    <row r="38" spans="1:32" x14ac:dyDescent="0.25">
      <c r="A38">
        <v>37</v>
      </c>
      <c r="B38" t="s">
        <v>15</v>
      </c>
      <c r="C38" t="s">
        <v>101</v>
      </c>
      <c r="D38" t="s">
        <v>20</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15</v>
      </c>
      <c r="C39" t="s">
        <v>101</v>
      </c>
      <c r="D39" t="s">
        <v>21</v>
      </c>
      <c r="E39" s="126">
        <f>'Short-sea (MGO)'!B$191</f>
        <v>1.2057520951081122E-2</v>
      </c>
      <c r="F39" s="126">
        <f>'Short-sea (MGO)'!C$191</f>
        <v>1.1579972487508333E-2</v>
      </c>
      <c r="G39" s="126">
        <f>'Short-sea (MGO)'!D$191</f>
        <v>1.110234923236798E-2</v>
      </c>
      <c r="H39" s="126">
        <f>'Short-sea (MGO)'!E$191</f>
        <v>1.0624639641976727E-2</v>
      </c>
      <c r="I39" s="126">
        <f>'Short-sea (MGO)'!F$191</f>
        <v>1.0146836307854828E-2</v>
      </c>
      <c r="J39" s="126">
        <f>'Short-sea (MGO)'!G$191</f>
        <v>9.6689417091304648E-3</v>
      </c>
      <c r="K39" s="126">
        <f>'Short-sea (MGO)'!H$191</f>
        <v>9.1909780532831772E-3</v>
      </c>
      <c r="L39" s="126">
        <f>'Short-sea (MGO)'!I$191</f>
        <v>8.7130033993618287E-3</v>
      </c>
      <c r="M39" s="126">
        <f>'Short-sea (MGO)'!J$191</f>
        <v>8.6388363791274694E-3</v>
      </c>
      <c r="N39" s="126">
        <f>'Short-sea (MGO)'!K$191</f>
        <v>8.5640588892867565E-3</v>
      </c>
      <c r="O39" s="126">
        <f>'Short-sea (MGO)'!L$191</f>
        <v>8.4884915741288425E-3</v>
      </c>
      <c r="P39" s="126">
        <f>'Short-sea (MGO)'!M$191</f>
        <v>8.4119355030967055E-3</v>
      </c>
      <c r="Q39" s="126">
        <f>'Short-sea (MGO)'!N$191</f>
        <v>8.3342010581086857E-3</v>
      </c>
      <c r="R39" s="126">
        <f>'Short-sea (MGO)'!O$191</f>
        <v>8.2551637850738005E-3</v>
      </c>
      <c r="S39" s="126">
        <f>'Short-sea (MGO)'!P$191</f>
        <v>8.1748490459210808E-3</v>
      </c>
      <c r="T39" s="126">
        <f>'Short-sea (MGO)'!Q$191</f>
        <v>8.093526269882188E-3</v>
      </c>
      <c r="U39" s="126">
        <f>'Short-sea (MGO)'!R$191</f>
        <v>8.0117614365223903E-3</v>
      </c>
      <c r="V39" s="126">
        <f>'Short-sea (MGO)'!S$191</f>
        <v>7.9303610828677807E-3</v>
      </c>
      <c r="W39" s="126">
        <f>'Short-sea (MGO)'!T$191</f>
        <v>7.8501851629544286E-3</v>
      </c>
      <c r="X39" s="126">
        <f>'Short-sea (MGO)'!U$191</f>
        <v>7.7719038561720605E-3</v>
      </c>
      <c r="Y39" s="126">
        <f>'Short-sea (MGO)'!V$191</f>
        <v>7.6958329916412722E-3</v>
      </c>
      <c r="Z39" s="126">
        <f>'Short-sea (MGO)'!W$191</f>
        <v>7.6219269296840279E-3</v>
      </c>
      <c r="AA39" s="126">
        <f>'Short-sea (MGO)'!X$191</f>
        <v>7.5498937812487309E-3</v>
      </c>
      <c r="AB39" s="126">
        <f>'Short-sea (MGO)'!Y$191</f>
        <v>7.4793408644101434E-3</v>
      </c>
      <c r="AC39" s="126">
        <f>'Short-sea (MGO)'!Z$191</f>
        <v>7.4098832463882769E-3</v>
      </c>
      <c r="AD39" s="126">
        <f>'Short-sea (MGO)'!AA$191</f>
        <v>7.3411984638929693E-3</v>
      </c>
      <c r="AE39" s="126">
        <f>'Short-sea (MGO)'!AB$191</f>
        <v>7.2730406941607668E-3</v>
      </c>
      <c r="AF39" s="126">
        <f>'Short-sea (MGO)'!AC$191</f>
        <v>7.205233586817187E-3</v>
      </c>
    </row>
    <row r="40" spans="1:32" x14ac:dyDescent="0.25">
      <c r="A40">
        <v>39</v>
      </c>
      <c r="B40" t="s">
        <v>15</v>
      </c>
      <c r="C40" t="s">
        <v>101</v>
      </c>
      <c r="D40" t="s">
        <v>22</v>
      </c>
      <c r="E40" s="126">
        <f>'Short-sea (MGO)'!B$299</f>
        <v>1.2594506619149039E-2</v>
      </c>
      <c r="F40" s="126">
        <f>'Short-sea (MGO)'!C$299</f>
        <v>1.206797882597904E-2</v>
      </c>
      <c r="G40" s="126">
        <f>'Short-sea (MGO)'!D$299</f>
        <v>1.1541368570311471E-2</v>
      </c>
      <c r="H40" s="126">
        <f>'Short-sea (MGO)'!E$299</f>
        <v>1.1014663124495476E-2</v>
      </c>
      <c r="I40" s="126">
        <f>'Short-sea (MGO)'!F$299</f>
        <v>1.0487854320207227E-2</v>
      </c>
      <c r="J40" s="126">
        <f>'Short-sea (MGO)'!G$299</f>
        <v>9.9609448908444705E-3</v>
      </c>
      <c r="K40" s="126">
        <f>'Short-sea (MGO)'!H$299</f>
        <v>9.4339593215769443E-3</v>
      </c>
      <c r="L40" s="126">
        <f>'Short-sea (MGO)'!I$299</f>
        <v>8.9069616262277655E-3</v>
      </c>
      <c r="M40" s="126">
        <f>'Short-sea (MGO)'!J$299</f>
        <v>8.8251877321232179E-3</v>
      </c>
      <c r="N40" s="126">
        <f>'Short-sea (MGO)'!K$299</f>
        <v>8.7427407561449927E-3</v>
      </c>
      <c r="O40" s="126">
        <f>'Short-sea (MGO)'!L$299</f>
        <v>8.6594229471247293E-3</v>
      </c>
      <c r="P40" s="126">
        <f>'Short-sea (MGO)'!M$299</f>
        <v>8.5750149713713468E-3</v>
      </c>
      <c r="Q40" s="126">
        <f>'Short-sea (MGO)'!N$299</f>
        <v>8.4893077627948149E-3</v>
      </c>
      <c r="R40" s="126">
        <f>'Short-sea (MGO)'!O$299</f>
        <v>8.4021641027819914E-3</v>
      </c>
      <c r="S40" s="126">
        <f>'Short-sea (MGO)'!P$299</f>
        <v>8.3136119544854042E-3</v>
      </c>
      <c r="T40" s="126">
        <f>'Short-sea (MGO)'!Q$299</f>
        <v>8.2239483809040601E-3</v>
      </c>
      <c r="U40" s="126">
        <f>'Short-sea (MGO)'!R$299</f>
        <v>8.1337974107894093E-3</v>
      </c>
      <c r="V40" s="126">
        <f>'Short-sea (MGO)'!S$299</f>
        <v>8.0440483029138136E-3</v>
      </c>
      <c r="W40" s="126">
        <f>'Short-sea (MGO)'!T$299</f>
        <v>7.9556492117272993E-3</v>
      </c>
      <c r="X40" s="126">
        <f>'Short-sea (MGO)'!U$299</f>
        <v>7.8693390529672516E-3</v>
      </c>
      <c r="Y40" s="126">
        <f>'Short-sea (MGO)'!V$299</f>
        <v>7.7854660484845883E-3</v>
      </c>
      <c r="Z40" s="126">
        <f>'Short-sea (MGO)'!W$299</f>
        <v>7.7039798776086521E-3</v>
      </c>
      <c r="AA40" s="126">
        <f>'Short-sea (MGO)'!X$299</f>
        <v>7.6245587139492218E-3</v>
      </c>
      <c r="AB40" s="126">
        <f>'Short-sea (MGO)'!Y$299</f>
        <v>7.5467696005118053E-3</v>
      </c>
      <c r="AC40" s="126">
        <f>'Short-sea (MGO)'!Z$299</f>
        <v>7.4701881242312867E-3</v>
      </c>
      <c r="AD40" s="126">
        <f>'Short-sea (MGO)'!AA$299</f>
        <v>7.3944587486595367E-3</v>
      </c>
      <c r="AE40" s="126">
        <f>'Short-sea (MGO)'!AB$299</f>
        <v>7.3193104384419805E-3</v>
      </c>
      <c r="AF40" s="126">
        <f>'Short-sea (MGO)'!AC$299</f>
        <v>7.2445487559862371E-3</v>
      </c>
    </row>
    <row r="41" spans="1:32" x14ac:dyDescent="0.25">
      <c r="A41">
        <v>40</v>
      </c>
      <c r="B41" t="s">
        <v>15</v>
      </c>
      <c r="C41" t="s">
        <v>101</v>
      </c>
      <c r="D41" t="s">
        <v>23</v>
      </c>
      <c r="E41" s="126">
        <f>'Short-sea (MGO)'!B$408</f>
        <v>9.6278470383299765E-3</v>
      </c>
      <c r="F41" s="126">
        <f>'Short-sea (MGO)'!C$408</f>
        <v>9.2252081376705663E-3</v>
      </c>
      <c r="G41" s="126">
        <f>'Short-sea (MGO)'!D$408</f>
        <v>8.8225061774541876E-3</v>
      </c>
      <c r="H41" s="126">
        <f>'Short-sea (MGO)'!E$408</f>
        <v>8.4197314247713689E-3</v>
      </c>
      <c r="I41" s="126">
        <f>'Short-sea (MGO)'!F$408</f>
        <v>8.0168776332568241E-3</v>
      </c>
      <c r="J41" s="126">
        <f>'Short-sea (MGO)'!G$408</f>
        <v>7.6139468931558946E-3</v>
      </c>
      <c r="K41" s="126">
        <f>'Short-sea (MGO)'!H$408</f>
        <v>7.2109579284219049E-3</v>
      </c>
      <c r="L41" s="126">
        <f>'Short-sea (MGO)'!I$408</f>
        <v>6.8079596908019449E-3</v>
      </c>
      <c r="M41" s="126">
        <f>'Short-sea (MGO)'!J$408</f>
        <v>6.7454267129572901E-3</v>
      </c>
      <c r="N41" s="126">
        <f>'Short-sea (MGO)'!K$408</f>
        <v>6.6823790254445297E-3</v>
      </c>
      <c r="O41" s="126">
        <f>'Short-sea (MGO)'!L$408</f>
        <v>6.6186654067819746E-3</v>
      </c>
      <c r="P41" s="126">
        <f>'Short-sea (MGO)'!M$408</f>
        <v>6.5541181312058598E-3</v>
      </c>
      <c r="Q41" s="126">
        <f>'Short-sea (MGO)'!N$408</f>
        <v>6.4885773246473348E-3</v>
      </c>
      <c r="R41" s="126">
        <f>'Short-sea (MGO)'!O$408</f>
        <v>6.4219380552257644E-3</v>
      </c>
      <c r="S41" s="126">
        <f>'Short-sea (MGO)'!P$408</f>
        <v>6.3542217065283733E-3</v>
      </c>
      <c r="T41" s="126">
        <f>'Short-sea (MGO)'!Q$408</f>
        <v>6.2856554443779331E-3</v>
      </c>
      <c r="U41" s="126">
        <f>'Short-sea (MGO)'!R$408</f>
        <v>6.2167164672314373E-3</v>
      </c>
      <c r="V41" s="126">
        <f>'Short-sea (MGO)'!S$408</f>
        <v>6.1480847965030404E-3</v>
      </c>
      <c r="W41" s="126">
        <f>'Short-sea (MGO)'!T$408</f>
        <v>6.080485491478058E-3</v>
      </c>
      <c r="X41" s="126">
        <f>'Short-sea (MGO)'!U$408</f>
        <v>6.0144836053674334E-3</v>
      </c>
      <c r="Y41" s="126">
        <f>'Short-sea (MGO)'!V$408</f>
        <v>5.9503454254689267E-3</v>
      </c>
      <c r="Z41" s="126">
        <f>'Short-sea (MGO)'!W$408</f>
        <v>5.8880324712696818E-3</v>
      </c>
      <c r="AA41" s="126">
        <f>'Short-sea (MGO)'!X$408</f>
        <v>5.8272986402359986E-3</v>
      </c>
      <c r="AB41" s="126">
        <f>'Short-sea (MGO)'!Y$408</f>
        <v>5.7678128476073868E-3</v>
      </c>
      <c r="AC41" s="126">
        <f>'Short-sea (MGO)'!Z$408</f>
        <v>5.7092505422164019E-3</v>
      </c>
      <c r="AD41" s="126">
        <f>'Short-sea (MGO)'!AA$408</f>
        <v>5.6513398432497686E-3</v>
      </c>
      <c r="AE41" s="126">
        <f>'Short-sea (MGO)'!AB$408</f>
        <v>5.5938734883775199E-3</v>
      </c>
      <c r="AF41" s="126">
        <f>'Short-sea (MGO)'!AC$408</f>
        <v>5.5367027900290119E-3</v>
      </c>
    </row>
    <row r="42" spans="1:32" x14ac:dyDescent="0.25">
      <c r="A42">
        <v>41</v>
      </c>
      <c r="B42" t="s">
        <v>15</v>
      </c>
      <c r="C42" t="s">
        <v>102</v>
      </c>
      <c r="D42" t="s">
        <v>13</v>
      </c>
      <c r="E42" s="126">
        <f>'Short-sea (HFO)'!B$85</f>
        <v>6.4142656974671992E-3</v>
      </c>
      <c r="F42" s="126">
        <f>'Short-sea (HFO)'!C$85</f>
        <v>6.2338140930852095E-3</v>
      </c>
      <c r="G42" s="126">
        <f>'Short-sea (HFO)'!D$85</f>
        <v>6.0533514305393735E-3</v>
      </c>
      <c r="H42" s="126">
        <f>'Short-sea (HFO)'!E$85</f>
        <v>5.8728807206088656E-3</v>
      </c>
      <c r="I42" s="126">
        <f>'Short-sea (HFO)'!F$85</f>
        <v>5.692409637868559E-3</v>
      </c>
      <c r="J42" s="126">
        <f>'Short-sea (HFO)'!G$85</f>
        <v>5.5119539329444717E-3</v>
      </c>
      <c r="K42" s="126">
        <f>'Short-sea (HFO)'!H$85</f>
        <v>5.3315428102707983E-3</v>
      </c>
      <c r="L42" s="126">
        <f>'Short-sea (HFO)'!I$85</f>
        <v>5.1512271589205533E-3</v>
      </c>
      <c r="M42" s="126">
        <f>'Short-sea (HFO)'!J$85</f>
        <v>5.1236716179551434E-3</v>
      </c>
      <c r="N42" s="126">
        <f>'Short-sea (HFO)'!K$85</f>
        <v>5.096077724557127E-3</v>
      </c>
      <c r="O42" s="126">
        <f>'Short-sea (HFO)'!L$85</f>
        <v>5.0684463020238078E-3</v>
      </c>
      <c r="P42" s="126">
        <f>'Short-sea (HFO)'!M$85</f>
        <v>5.0407860100282875E-3</v>
      </c>
      <c r="Q42" s="126">
        <f>'Short-sea (HFO)'!N$85</f>
        <v>5.0131186047361305E-3</v>
      </c>
      <c r="R42" s="126">
        <f>'Short-sea (HFO)'!O$85</f>
        <v>4.985484907952707E-3</v>
      </c>
      <c r="S42" s="126">
        <f>'Short-sea (HFO)'!P$85</f>
        <v>4.9579489722493585E-3</v>
      </c>
      <c r="T42" s="126">
        <f>'Short-sea (HFO)'!Q$85</f>
        <v>4.9305958366278081E-3</v>
      </c>
      <c r="U42" s="126">
        <f>'Short-sea (HFO)'!R$85</f>
        <v>4.9035180512606909E-3</v>
      </c>
      <c r="V42" s="126">
        <f>'Short-sea (HFO)'!S$85</f>
        <v>4.8767910918961366E-3</v>
      </c>
      <c r="W42" s="126">
        <f>'Short-sea (HFO)'!T$85</f>
        <v>4.8504474393706067E-3</v>
      </c>
      <c r="X42" s="126">
        <f>'Short-sea (HFO)'!U$85</f>
        <v>4.8244648070301707E-3</v>
      </c>
      <c r="Y42" s="126">
        <f>'Short-sea (HFO)'!V$85</f>
        <v>4.798776489092391E-3</v>
      </c>
      <c r="Z42" s="126">
        <f>'Short-sea (HFO)'!W$85</f>
        <v>4.7732962837053576E-3</v>
      </c>
      <c r="AA42" s="126">
        <f>'Short-sea (HFO)'!X$85</f>
        <v>4.7479427237667217E-3</v>
      </c>
      <c r="AB42" s="126">
        <f>'Short-sea (HFO)'!Y$85</f>
        <v>4.7226527793011487E-3</v>
      </c>
      <c r="AC42" s="126">
        <f>'Short-sea (HFO)'!Z$85</f>
        <v>4.6973846754088215E-3</v>
      </c>
      <c r="AD42" s="126">
        <f>'Short-sea (HFO)'!AA$85</f>
        <v>4.672114396236539E-3</v>
      </c>
      <c r="AE42" s="126">
        <f>'Short-sea (HFO)'!AB$85</f>
        <v>4.6468303126383399E-3</v>
      </c>
      <c r="AF42" s="126">
        <f>'Short-sea (HFO)'!AC$85</f>
        <v>4.6215283757355171E-3</v>
      </c>
    </row>
    <row r="43" spans="1:32" x14ac:dyDescent="0.25">
      <c r="A43">
        <v>42</v>
      </c>
      <c r="B43" t="s">
        <v>15</v>
      </c>
      <c r="C43" t="s">
        <v>102</v>
      </c>
      <c r="D43" t="s">
        <v>20</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15</v>
      </c>
      <c r="C44" t="s">
        <v>102</v>
      </c>
      <c r="D44" t="s">
        <v>21</v>
      </c>
      <c r="E44" s="126">
        <f>'Short-sea (HFO)'!B$191</f>
        <v>8.2399739101303247E-3</v>
      </c>
      <c r="F44" s="126">
        <f>'Short-sea (HFO)'!C$191</f>
        <v>8.0259499142354071E-3</v>
      </c>
      <c r="G44" s="126">
        <f>'Short-sea (HFO)'!D$191</f>
        <v>7.8119128028438329E-3</v>
      </c>
      <c r="H44" s="126">
        <f>'Short-sea (HFO)'!E$191</f>
        <v>7.5978661468797419E-3</v>
      </c>
      <c r="I44" s="126">
        <f>'Short-sea (HFO)'!F$191</f>
        <v>7.3838190487458891E-3</v>
      </c>
      <c r="J44" s="126">
        <f>'Short-sea (HFO)'!G$191</f>
        <v>7.1697901894173209E-3</v>
      </c>
      <c r="K44" s="126">
        <f>'Short-sea (HFO)'!H$191</f>
        <v>6.9558142067113358E-3</v>
      </c>
      <c r="L44" s="126">
        <f>'Short-sea (HFO)'!I$191</f>
        <v>6.741951457435464E-3</v>
      </c>
      <c r="M44" s="126">
        <f>'Short-sea (HFO)'!J$191</f>
        <v>6.7092693041974193E-3</v>
      </c>
      <c r="N44" s="126">
        <f>'Short-sea (HFO)'!K$191</f>
        <v>6.6765416631904698E-3</v>
      </c>
      <c r="O44" s="126">
        <f>'Short-sea (HFO)'!L$191</f>
        <v>6.6437695108835099E-3</v>
      </c>
      <c r="P44" s="126">
        <f>'Short-sea (HFO)'!M$191</f>
        <v>6.6109631180516146E-3</v>
      </c>
      <c r="Q44" s="126">
        <f>'Short-sea (HFO)'!N$191</f>
        <v>6.5781482885190557E-3</v>
      </c>
      <c r="R44" s="126">
        <f>'Short-sea (HFO)'!O$191</f>
        <v>6.5453734388456943E-3</v>
      </c>
      <c r="S44" s="126">
        <f>'Short-sea (HFO)'!P$191</f>
        <v>6.5127145383603261E-3</v>
      </c>
      <c r="T44" s="126">
        <f>'Short-sea (HFO)'!Q$191</f>
        <v>6.4802724472743014E-3</v>
      </c>
      <c r="U44" s="126">
        <f>'Short-sea (HFO)'!R$191</f>
        <v>6.4481569343970242E-3</v>
      </c>
      <c r="V44" s="126">
        <f>'Short-sea (HFO)'!S$191</f>
        <v>6.4164575174762732E-3</v>
      </c>
      <c r="W44" s="126">
        <f>'Short-sea (HFO)'!T$191</f>
        <v>6.3852127202948302E-3</v>
      </c>
      <c r="X44" s="126">
        <f>'Short-sea (HFO)'!U$191</f>
        <v>6.3543961098445449E-3</v>
      </c>
      <c r="Y44" s="126">
        <f>'Short-sea (HFO)'!V$191</f>
        <v>6.3239285699648526E-3</v>
      </c>
      <c r="Z44" s="126">
        <f>'Short-sea (HFO)'!W$191</f>
        <v>6.2937078612499992E-3</v>
      </c>
      <c r="AA44" s="126">
        <f>'Short-sea (HFO)'!X$191</f>
        <v>6.2636373599274323E-3</v>
      </c>
      <c r="AB44" s="126">
        <f>'Short-sea (HFO)'!Y$191</f>
        <v>6.233642309514776E-3</v>
      </c>
      <c r="AC44" s="126">
        <f>'Short-sea (HFO)'!Z$191</f>
        <v>6.2036731630378279E-3</v>
      </c>
      <c r="AD44" s="126">
        <f>'Short-sea (HFO)'!AA$191</f>
        <v>6.1737014365776804E-3</v>
      </c>
      <c r="AE44" s="126">
        <f>'Short-sea (HFO)'!AB$191</f>
        <v>6.1437133374263285E-3</v>
      </c>
      <c r="AF44" s="126">
        <f>'Short-sea (HFO)'!AC$191</f>
        <v>6.1137040634253043E-3</v>
      </c>
    </row>
    <row r="45" spans="1:32" x14ac:dyDescent="0.25">
      <c r="A45">
        <v>44</v>
      </c>
      <c r="B45" t="s">
        <v>15</v>
      </c>
      <c r="C45" t="s">
        <v>102</v>
      </c>
      <c r="D45" t="s">
        <v>22</v>
      </c>
      <c r="E45" s="126">
        <f>'Short-sea (HFO)'!B$299</f>
        <v>8.3854162919468761E-3</v>
      </c>
      <c r="F45" s="126">
        <f>'Short-sea (HFO)'!C$299</f>
        <v>8.149441116985812E-3</v>
      </c>
      <c r="G45" s="126">
        <f>'Short-sea (HFO)'!D$299</f>
        <v>7.9134514813489487E-3</v>
      </c>
      <c r="H45" s="126">
        <f>'Short-sea (HFO)'!E$299</f>
        <v>7.6774513222090555E-3</v>
      </c>
      <c r="I45" s="126">
        <f>'Short-sea (HFO)'!F$299</f>
        <v>7.4414506755486522E-3</v>
      </c>
      <c r="J45" s="126">
        <f>'Short-sea (HFO)'!G$299</f>
        <v>7.205470138340231E-3</v>
      </c>
      <c r="K45" s="126">
        <f>'Short-sea (HFO)'!H$299</f>
        <v>6.969547900997736E-3</v>
      </c>
      <c r="L45" s="126">
        <f>'Short-sea (HFO)'!I$299</f>
        <v>6.7337505107704929E-3</v>
      </c>
      <c r="M45" s="126">
        <f>'Short-sea (HFO)'!J$299</f>
        <v>6.6977163418157253E-3</v>
      </c>
      <c r="N45" s="126">
        <f>'Short-sea (HFO)'!K$299</f>
        <v>6.6616320196798574E-3</v>
      </c>
      <c r="O45" s="126">
        <f>'Short-sea (HFO)'!L$299</f>
        <v>6.6254986209824396E-3</v>
      </c>
      <c r="P45" s="126">
        <f>'Short-sea (HFO)'!M$299</f>
        <v>6.5893274699113762E-3</v>
      </c>
      <c r="Q45" s="126">
        <f>'Short-sea (HFO)'!N$299</f>
        <v>6.5531470168370166E-3</v>
      </c>
      <c r="R45" s="126">
        <f>'Short-sea (HFO)'!O$299</f>
        <v>6.5170106441202321E-3</v>
      </c>
      <c r="S45" s="126">
        <f>'Short-sea (HFO)'!P$299</f>
        <v>6.4810021128158526E-3</v>
      </c>
      <c r="T45" s="126">
        <f>'Short-sea (HFO)'!Q$299</f>
        <v>6.4452326277722877E-3</v>
      </c>
      <c r="U45" s="126">
        <f>'Short-sea (HFO)'!R$299</f>
        <v>6.4098232161383661E-3</v>
      </c>
      <c r="V45" s="126">
        <f>'Short-sea (HFO)'!S$299</f>
        <v>6.3748725769693336E-3</v>
      </c>
      <c r="W45" s="126">
        <f>'Short-sea (HFO)'!T$299</f>
        <v>6.3404231852051771E-3</v>
      </c>
      <c r="X45" s="126">
        <f>'Short-sea (HFO)'!U$299</f>
        <v>6.3064458967599917E-3</v>
      </c>
      <c r="Y45" s="126">
        <f>'Short-sea (HFO)'!V$299</f>
        <v>6.2728534809952038E-3</v>
      </c>
      <c r="Z45" s="126">
        <f>'Short-sea (HFO)'!W$299</f>
        <v>6.2395332124121593E-3</v>
      </c>
      <c r="AA45" s="126">
        <f>'Short-sea (HFO)'!X$299</f>
        <v>6.206378557107789E-3</v>
      </c>
      <c r="AB45" s="126">
        <f>'Short-sea (HFO)'!Y$299</f>
        <v>6.1733070912681938E-3</v>
      </c>
      <c r="AC45" s="126">
        <f>'Short-sea (HFO)'!Z$299</f>
        <v>6.1402641861782268E-3</v>
      </c>
      <c r="AD45" s="126">
        <f>'Short-sea (HFO)'!AA$299</f>
        <v>6.107218436491397E-3</v>
      </c>
      <c r="AE45" s="126">
        <f>'Short-sea (HFO)'!AB$299</f>
        <v>6.0741546348629834E-3</v>
      </c>
      <c r="AF45" s="126">
        <f>'Short-sea (HFO)'!AC$299</f>
        <v>6.0410674866054441E-3</v>
      </c>
    </row>
    <row r="46" spans="1:32" x14ac:dyDescent="0.25">
      <c r="A46">
        <v>45</v>
      </c>
      <c r="B46" t="s">
        <v>15</v>
      </c>
      <c r="C46" t="s">
        <v>102</v>
      </c>
      <c r="D46" t="s">
        <v>23</v>
      </c>
      <c r="E46" s="126">
        <f>'Short-sea (HFO)'!B$408</f>
        <v>6.4091309057636167E-3</v>
      </c>
      <c r="F46" s="126">
        <f>'Short-sea (HFO)'!C$408</f>
        <v>6.2286793013816271E-3</v>
      </c>
      <c r="G46" s="126">
        <f>'Short-sea (HFO)'!D$408</f>
        <v>6.048216638835791E-3</v>
      </c>
      <c r="H46" s="126">
        <f>'Short-sea (HFO)'!E$408</f>
        <v>5.867745928905284E-3</v>
      </c>
      <c r="I46" s="126">
        <f>'Short-sea (HFO)'!F$408</f>
        <v>5.6872748461649757E-3</v>
      </c>
      <c r="J46" s="126">
        <f>'Short-sea (HFO)'!G$408</f>
        <v>5.5068191412408884E-3</v>
      </c>
      <c r="K46" s="126">
        <f>'Short-sea (HFO)'!H$408</f>
        <v>5.326408018567215E-3</v>
      </c>
      <c r="L46" s="126">
        <f>'Short-sea (HFO)'!I$408</f>
        <v>5.1460923672169709E-3</v>
      </c>
      <c r="M46" s="126">
        <f>'Short-sea (HFO)'!J$408</f>
        <v>5.118536826251561E-3</v>
      </c>
      <c r="N46" s="126">
        <f>'Short-sea (HFO)'!K$408</f>
        <v>5.0909429328535438E-3</v>
      </c>
      <c r="O46" s="126">
        <f>'Short-sea (HFO)'!L$408</f>
        <v>5.0633115103202245E-3</v>
      </c>
      <c r="P46" s="126">
        <f>'Short-sea (HFO)'!M$408</f>
        <v>5.035651218324705E-3</v>
      </c>
      <c r="Q46" s="126">
        <f>'Short-sea (HFO)'!N$408</f>
        <v>5.0079838130325481E-3</v>
      </c>
      <c r="R46" s="126">
        <f>'Short-sea (HFO)'!O$408</f>
        <v>4.9803501162491246E-3</v>
      </c>
      <c r="S46" s="126">
        <f>'Short-sea (HFO)'!P$408</f>
        <v>4.9528141805457761E-3</v>
      </c>
      <c r="T46" s="126">
        <f>'Short-sea (HFO)'!Q$408</f>
        <v>4.9254610449242266E-3</v>
      </c>
      <c r="U46" s="126">
        <f>'Short-sea (HFO)'!R$408</f>
        <v>4.8983832595571094E-3</v>
      </c>
      <c r="V46" s="126">
        <f>'Short-sea (HFO)'!S$408</f>
        <v>4.8716563001925551E-3</v>
      </c>
      <c r="W46" s="126">
        <f>'Short-sea (HFO)'!T$408</f>
        <v>4.8453126476670251E-3</v>
      </c>
      <c r="X46" s="126">
        <f>'Short-sea (HFO)'!U$408</f>
        <v>4.8193300153265882E-3</v>
      </c>
      <c r="Y46" s="126">
        <f>'Short-sea (HFO)'!V$408</f>
        <v>4.7936416973888094E-3</v>
      </c>
      <c r="Z46" s="126">
        <f>'Short-sea (HFO)'!W$408</f>
        <v>4.7681614920017743E-3</v>
      </c>
      <c r="AA46" s="126">
        <f>'Short-sea (HFO)'!X$408</f>
        <v>4.7428079320631401E-3</v>
      </c>
      <c r="AB46" s="126">
        <f>'Short-sea (HFO)'!Y$408</f>
        <v>4.7175179875975672E-3</v>
      </c>
      <c r="AC46" s="126">
        <f>'Short-sea (HFO)'!Z$408</f>
        <v>4.6922498837052382E-3</v>
      </c>
      <c r="AD46" s="126">
        <f>'Short-sea (HFO)'!AA$408</f>
        <v>4.6669796045329566E-3</v>
      </c>
      <c r="AE46" s="126">
        <f>'Short-sea (HFO)'!AB$408</f>
        <v>4.6416955209347584E-3</v>
      </c>
      <c r="AF46" s="126">
        <f>'Short-sea (HFO)'!AC$408</f>
        <v>4.6163935840319338E-3</v>
      </c>
    </row>
    <row r="47" spans="1:32" x14ac:dyDescent="0.25">
      <c r="A47">
        <v>46</v>
      </c>
      <c r="B47" t="s">
        <v>15</v>
      </c>
      <c r="C47" t="s">
        <v>95</v>
      </c>
      <c r="D47" t="s">
        <v>13</v>
      </c>
      <c r="E47" s="126">
        <f>'Short-sea (Hydrogen)'!B$85</f>
        <v>2.4923789525740158E-2</v>
      </c>
      <c r="F47" s="126">
        <f>'Short-sea (Hydrogen)'!C$85</f>
        <v>2.4416083715852424E-2</v>
      </c>
      <c r="G47" s="126">
        <f>'Short-sea (Hydrogen)'!D$85</f>
        <v>2.3906967115697828E-2</v>
      </c>
      <c r="H47" s="126">
        <f>'Short-sea (Hydrogen)'!E$85</f>
        <v>2.3548562090972724E-2</v>
      </c>
      <c r="I47" s="126">
        <f>'Short-sea (Hydrogen)'!F$85</f>
        <v>2.3187284113625063E-2</v>
      </c>
      <c r="J47" s="126">
        <f>'Short-sea (Hydrogen)'!G$85</f>
        <v>2.2821977349752443E-2</v>
      </c>
      <c r="K47" s="126">
        <f>'Short-sea (Hydrogen)'!H$85</f>
        <v>2.2451044304131057E-2</v>
      </c>
      <c r="L47" s="126">
        <f>'Short-sea (Hydrogen)'!I$85</f>
        <v>2.2072301620546561E-2</v>
      </c>
      <c r="M47" s="126">
        <f>'Short-sea (Hydrogen)'!J$85</f>
        <v>2.2018091090346213E-2</v>
      </c>
      <c r="N47" s="126">
        <f>'Short-sea (Hydrogen)'!K$85</f>
        <v>2.1947852501608051E-2</v>
      </c>
      <c r="O47" s="126">
        <f>'Short-sea (Hydrogen)'!L$85</f>
        <v>2.1855907554102088E-2</v>
      </c>
      <c r="P47" s="126">
        <f>'Short-sea (Hydrogen)'!M$85</f>
        <v>2.1735347784127789E-2</v>
      </c>
      <c r="Q47" s="126">
        <f>'Short-sea (Hydrogen)'!N$85</f>
        <v>2.1578529990514954E-2</v>
      </c>
      <c r="R47" s="126">
        <f>'Short-sea (Hydrogen)'!O$85</f>
        <v>2.1037981815482987E-2</v>
      </c>
      <c r="S47" s="126">
        <f>'Short-sea (Hydrogen)'!P$85</f>
        <v>2.0456140000173005E-2</v>
      </c>
      <c r="T47" s="126">
        <f>'Short-sea (Hydrogen)'!Q$85</f>
        <v>1.9836633727021439E-2</v>
      </c>
      <c r="U47" s="126">
        <f>'Short-sea (Hydrogen)'!R$85</f>
        <v>1.9191178924685852E-2</v>
      </c>
      <c r="V47" s="126">
        <f>'Short-sea (Hydrogen)'!S$85</f>
        <v>1.8539099314420805E-2</v>
      </c>
      <c r="W47" s="126">
        <f>'Short-sea (Hydrogen)'!T$85</f>
        <v>1.7927125563217079E-2</v>
      </c>
      <c r="X47" s="126">
        <f>'Short-sea (Hydrogen)'!U$85</f>
        <v>1.7350683006029509E-2</v>
      </c>
      <c r="Y47" s="126">
        <f>'Short-sea (Hydrogen)'!V$85</f>
        <v>1.6821913666525579E-2</v>
      </c>
      <c r="Z47" s="126">
        <f>'Short-sea (Hydrogen)'!W$85</f>
        <v>1.6343730764072611E-2</v>
      </c>
      <c r="AA47" s="126">
        <f>'Short-sea (Hydrogen)'!X$85</f>
        <v>1.5911914678636535E-2</v>
      </c>
      <c r="AB47" s="126">
        <f>'Short-sea (Hydrogen)'!Y$85</f>
        <v>1.5569844571100338E-2</v>
      </c>
      <c r="AC47" s="126">
        <f>'Short-sea (Hydrogen)'!Z$85</f>
        <v>1.5257113301882359E-2</v>
      </c>
      <c r="AD47" s="126">
        <f>'Short-sea (Hydrogen)'!AA$85</f>
        <v>1.4966023619376432E-2</v>
      </c>
      <c r="AE47" s="126">
        <f>'Short-sea (Hydrogen)'!AB$85</f>
        <v>1.4690356690689721E-2</v>
      </c>
      <c r="AF47" s="126">
        <f>'Short-sea (Hydrogen)'!AC$85</f>
        <v>1.4425422774934169E-2</v>
      </c>
    </row>
    <row r="48" spans="1:32" x14ac:dyDescent="0.25">
      <c r="A48">
        <v>47</v>
      </c>
      <c r="B48" t="s">
        <v>15</v>
      </c>
      <c r="C48" t="s">
        <v>95</v>
      </c>
      <c r="D48" t="s">
        <v>20</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15</v>
      </c>
      <c r="C49" t="s">
        <v>95</v>
      </c>
      <c r="D49" t="s">
        <v>21</v>
      </c>
      <c r="E49" s="126">
        <f>'Short-sea (Hydrogen)'!B$191</f>
        <v>2.9910973319097162E-2</v>
      </c>
      <c r="F49" s="126">
        <f>'Short-sea (Hydrogen)'!C$191</f>
        <v>2.9315496469921227E-2</v>
      </c>
      <c r="G49" s="126">
        <f>'Short-sea (Hydrogen)'!D$191</f>
        <v>2.8718384679899428E-2</v>
      </c>
      <c r="H49" s="126">
        <f>'Short-sea (Hydrogen)'!E$191</f>
        <v>2.829808434851017E-2</v>
      </c>
      <c r="I49" s="126">
        <f>'Short-sea (Hydrogen)'!F$191</f>
        <v>2.7874454497744623E-2</v>
      </c>
      <c r="J49" s="126">
        <f>'Short-sea (Hydrogen)'!G$191</f>
        <v>2.7446155146313565E-2</v>
      </c>
      <c r="K49" s="126">
        <f>'Short-sea (Hydrogen)'!H$191</f>
        <v>2.7011334002958715E-2</v>
      </c>
      <c r="L49" s="126">
        <f>'Short-sea (Hydrogen)'!I$191</f>
        <v>2.6567458991246292E-2</v>
      </c>
      <c r="M49" s="126">
        <f>'Short-sea (Hydrogen)'!J$191</f>
        <v>2.6504432101979364E-2</v>
      </c>
      <c r="N49" s="126">
        <f>'Short-sea (Hydrogen)'!K$191</f>
        <v>2.6422826408124191E-2</v>
      </c>
      <c r="O49" s="126">
        <f>'Short-sea (Hydrogen)'!L$191</f>
        <v>2.6316056131214387E-2</v>
      </c>
      <c r="P49" s="126">
        <f>'Short-sea (Hydrogen)'!M$191</f>
        <v>2.6176105056044334E-2</v>
      </c>
      <c r="Q49" s="126">
        <f>'Short-sea (Hydrogen)'!N$191</f>
        <v>2.5994097666884354E-2</v>
      </c>
      <c r="R49" s="126">
        <f>'Short-sea (Hydrogen)'!O$191</f>
        <v>2.5362343583974711E-2</v>
      </c>
      <c r="S49" s="126">
        <f>'Short-sea (Hydrogen)'!P$191</f>
        <v>2.4682597805428017E-2</v>
      </c>
      <c r="T49" s="126">
        <f>'Short-sea (Hydrogen)'!Q$191</f>
        <v>2.3959015191690601E-2</v>
      </c>
      <c r="U49" s="126">
        <f>'Short-sea (Hydrogen)'!R$191</f>
        <v>2.3205138511366304E-2</v>
      </c>
      <c r="V49" s="126">
        <f>'Short-sea (Hydrogen)'!S$191</f>
        <v>2.2443368044398605E-2</v>
      </c>
      <c r="W49" s="126">
        <f>'Short-sea (Hydrogen)'!T$191</f>
        <v>2.1728297258878836E-2</v>
      </c>
      <c r="X49" s="126">
        <f>'Short-sea (Hydrogen)'!U$191</f>
        <v>2.1054348455654653E-2</v>
      </c>
      <c r="Y49" s="126">
        <f>'Short-sea (Hydrogen)'!V$191</f>
        <v>2.0435696460498705E-2</v>
      </c>
      <c r="Z49" s="126">
        <f>'Short-sea (Hydrogen)'!W$191</f>
        <v>1.9875792067660186E-2</v>
      </c>
      <c r="AA49" s="126">
        <f>'Short-sea (Hydrogen)'!X$191</f>
        <v>1.9369778474017628E-2</v>
      </c>
      <c r="AB49" s="126">
        <f>'Short-sea (Hydrogen)'!Y$191</f>
        <v>1.8968776330358102E-2</v>
      </c>
      <c r="AC49" s="126">
        <f>'Short-sea (Hydrogen)'!Z$191</f>
        <v>1.8601909865228992E-2</v>
      </c>
      <c r="AD49" s="126">
        <f>'Short-sea (Hydrogen)'!AA$191</f>
        <v>1.8260230928546645E-2</v>
      </c>
      <c r="AE49" s="126">
        <f>'Short-sea (Hydrogen)'!AB$191</f>
        <v>1.7936505848952837E-2</v>
      </c>
      <c r="AF49" s="126">
        <f>'Short-sea (Hydrogen)'!AC$191</f>
        <v>1.7625277468725924E-2</v>
      </c>
    </row>
    <row r="50" spans="1:32" x14ac:dyDescent="0.25">
      <c r="A50">
        <v>49</v>
      </c>
      <c r="B50" t="s">
        <v>15</v>
      </c>
      <c r="C50" t="s">
        <v>95</v>
      </c>
      <c r="D50" t="s">
        <v>22</v>
      </c>
      <c r="E50" s="126">
        <f>'Short-sea (Hydrogen)'!B$299</f>
        <v>3.2051015374837219E-2</v>
      </c>
      <c r="F50" s="126">
        <f>'Short-sea (Hydrogen)'!C$299</f>
        <v>3.1398165086876831E-2</v>
      </c>
      <c r="G50" s="126">
        <f>'Short-sea (Hydrogen)'!D$299</f>
        <v>3.0743539906185859E-2</v>
      </c>
      <c r="H50" s="126">
        <f>'Short-sea (Hydrogen)'!E$299</f>
        <v>3.0282800930662816E-2</v>
      </c>
      <c r="I50" s="126">
        <f>'Short-sea (Hydrogen)'!F$299</f>
        <v>2.9818447368746896E-2</v>
      </c>
      <c r="J50" s="126">
        <f>'Short-sea (Hydrogen)'!G$299</f>
        <v>2.9349024516550075E-2</v>
      </c>
      <c r="K50" s="126">
        <f>'Short-sea (Hydrogen)'!H$299</f>
        <v>2.8872521461947485E-2</v>
      </c>
      <c r="L50" s="126">
        <f>'Short-sea (Hydrogen)'!I$299</f>
        <v>2.8386189203195997E-2</v>
      </c>
      <c r="M50" s="126">
        <f>'Short-sea (Hydrogen)'!J$299</f>
        <v>2.8317580410948624E-2</v>
      </c>
      <c r="N50" s="126">
        <f>'Short-sea (Hydrogen)'!K$299</f>
        <v>2.8228798646464177E-2</v>
      </c>
      <c r="O50" s="126">
        <f>'Short-sea (Hydrogen)'!L$299</f>
        <v>2.8112690888630089E-2</v>
      </c>
      <c r="P50" s="126">
        <f>'Short-sea (Hydrogen)'!M$299</f>
        <v>2.7960548382774002E-2</v>
      </c>
      <c r="Q50" s="126">
        <f>'Short-sea (Hydrogen)'!N$299</f>
        <v>2.7762724988122794E-2</v>
      </c>
      <c r="R50" s="126">
        <f>'Short-sea (Hydrogen)'!O$299</f>
        <v>2.7072189546714948E-2</v>
      </c>
      <c r="S50" s="126">
        <f>'Short-sea (Hydrogen)'!P$299</f>
        <v>2.6329501331925895E-2</v>
      </c>
      <c r="T50" s="126">
        <f>'Short-sea (Hydrogen)'!Q$299</f>
        <v>2.553915061458694E-2</v>
      </c>
      <c r="U50" s="126">
        <f>'Short-sea (Hydrogen)'!R$299</f>
        <v>2.47158266671311E-2</v>
      </c>
      <c r="V50" s="126">
        <f>'Short-sea (Hydrogen)'!S$299</f>
        <v>2.3883853367289494E-2</v>
      </c>
      <c r="W50" s="126">
        <f>'Short-sea (Hydrogen)'!T$299</f>
        <v>2.3102855006681904E-2</v>
      </c>
      <c r="X50" s="126">
        <f>'Short-sea (Hydrogen)'!U$299</f>
        <v>2.2366495919640256E-2</v>
      </c>
      <c r="Y50" s="126">
        <f>'Short-sea (Hydrogen)'!V$299</f>
        <v>2.1690212573240886E-2</v>
      </c>
      <c r="Z50" s="126">
        <f>'Short-sea (Hydrogen)'!W$299</f>
        <v>2.1077783682357104E-2</v>
      </c>
      <c r="AA50" s="126">
        <f>'Short-sea (Hydrogen)'!X$299</f>
        <v>2.0523948219300835E-2</v>
      </c>
      <c r="AB50" s="126">
        <f>'Short-sea (Hydrogen)'!Y$299</f>
        <v>2.0084921325401302E-2</v>
      </c>
      <c r="AC50" s="126">
        <f>'Short-sea (Hydrogen)'!Z$299</f>
        <v>1.9683021349668296E-2</v>
      </c>
      <c r="AD50" s="126">
        <f>'Short-sea (Hydrogen)'!AA$299</f>
        <v>1.9308518717720647E-2</v>
      </c>
      <c r="AE50" s="126">
        <f>'Short-sea (Hydrogen)'!AB$299</f>
        <v>1.8953546351367111E-2</v>
      </c>
      <c r="AF50" s="126">
        <f>'Short-sea (Hydrogen)'!AC$299</f>
        <v>1.8612168464710442E-2</v>
      </c>
    </row>
    <row r="51" spans="1:32" x14ac:dyDescent="0.25">
      <c r="A51">
        <v>50</v>
      </c>
      <c r="B51" t="s">
        <v>15</v>
      </c>
      <c r="C51" t="s">
        <v>95</v>
      </c>
      <c r="D51" t="s">
        <v>23</v>
      </c>
      <c r="E51" s="126">
        <f>'Short-sea (Hydrogen)'!B$408</f>
        <v>2.4918266961334933E-2</v>
      </c>
      <c r="F51" s="126">
        <f>'Short-sea (Hydrogen)'!C$408</f>
        <v>2.4410561233353702E-2</v>
      </c>
      <c r="G51" s="126">
        <f>'Short-sea (Hydrogen)'!D$408</f>
        <v>2.3901444750440416E-2</v>
      </c>
      <c r="H51" s="126">
        <f>'Short-sea (Hydrogen)'!E$408</f>
        <v>2.3543039893424933E-2</v>
      </c>
      <c r="I51" s="126">
        <f>'Short-sea (Hydrogen)'!F$408</f>
        <v>2.3181762155746164E-2</v>
      </c>
      <c r="J51" s="126">
        <f>'Short-sea (Hydrogen)'!G$408</f>
        <v>2.2816455733881552E-2</v>
      </c>
      <c r="K51" s="126">
        <f>'Short-sea (Hydrogen)'!H$408</f>
        <v>2.2445523175259358E-2</v>
      </c>
      <c r="L51" s="126">
        <f>'Short-sea (Hydrogen)'!I$408</f>
        <v>2.2066781182933846E-2</v>
      </c>
      <c r="M51" s="126">
        <f>'Short-sea (Hydrogen)'!J$408</f>
        <v>2.2012571629341442E-2</v>
      </c>
      <c r="N51" s="126">
        <f>'Short-sea (Hydrogen)'!K$408</f>
        <v>2.1942334410913266E-2</v>
      </c>
      <c r="O51" s="126">
        <f>'Short-sea (Hydrogen)'!L$408</f>
        <v>2.1850391367026472E-2</v>
      </c>
      <c r="P51" s="126">
        <f>'Short-sea (Hydrogen)'!M$408</f>
        <v>2.1729834203805101E-2</v>
      </c>
      <c r="Q51" s="126">
        <f>'Short-sea (Hydrogen)'!N$408</f>
        <v>2.1573019907867384E-2</v>
      </c>
      <c r="R51" s="126">
        <f>'Short-sea (Hydrogen)'!O$408</f>
        <v>2.1032476295450922E-2</v>
      </c>
      <c r="S51" s="126">
        <f>'Short-sea (Hydrogen)'!P$408</f>
        <v>2.045064021068952E-2</v>
      </c>
      <c r="T51" s="126">
        <f>'Short-sea (Hydrogen)'!Q$408</f>
        <v>1.98311407916264E-2</v>
      </c>
      <c r="U51" s="126">
        <f>'Short-sea (Hydrogen)'!R$408</f>
        <v>1.9185693710422762E-2</v>
      </c>
      <c r="V51" s="126">
        <f>'Short-sea (Hydrogen)'!S$408</f>
        <v>1.8533622217789682E-2</v>
      </c>
      <c r="W51" s="126">
        <f>'Short-sea (Hydrogen)'!T$408</f>
        <v>1.7921656391250589E-2</v>
      </c>
      <c r="X51" s="126">
        <f>'Short-sea (Hydrogen)'!U$408</f>
        <v>1.7345221019616965E-2</v>
      </c>
      <c r="Y51" s="126">
        <f>'Short-sea (Hydrogen)'!V$408</f>
        <v>1.6816457765628845E-2</v>
      </c>
      <c r="Z51" s="126">
        <f>'Short-sea (Hydrogen)'!W$408</f>
        <v>1.6338279722616832E-2</v>
      </c>
      <c r="AA51" s="126">
        <f>'Short-sea (Hydrogen)'!X$408</f>
        <v>1.5906467336826047E-2</v>
      </c>
      <c r="AB51" s="126">
        <f>'Short-sea (Hydrogen)'!Y$408</f>
        <v>1.5564399944244673E-2</v>
      </c>
      <c r="AC51" s="126">
        <f>'Short-sea (Hydrogen)'!Z$408</f>
        <v>1.5251670613805475E-2</v>
      </c>
      <c r="AD51" s="126">
        <f>'Short-sea (Hydrogen)'!AA$408</f>
        <v>1.4960582288918904E-2</v>
      </c>
      <c r="AE51" s="126">
        <f>'Short-sea (Hydrogen)'!AB$408</f>
        <v>1.4684916297863858E-2</v>
      </c>
      <c r="AF51" s="126">
        <f>'Short-sea (Hydrogen)'!AC$408</f>
        <v>1.4419983023509615E-2</v>
      </c>
    </row>
    <row r="52" spans="1:32" x14ac:dyDescent="0.25">
      <c r="A52">
        <v>51</v>
      </c>
      <c r="B52" t="s">
        <v>15</v>
      </c>
      <c r="C52" t="s">
        <v>97</v>
      </c>
      <c r="D52" t="s">
        <v>13</v>
      </c>
      <c r="E52" s="126">
        <f>'Short-sea (Ammonia)'!B$85</f>
        <v>2.2998315569490169E-2</v>
      </c>
      <c r="F52" s="126">
        <f>'Short-sea (Ammonia)'!C$85</f>
        <v>2.2634393024589864E-2</v>
      </c>
      <c r="G52" s="126">
        <f>'Short-sea (Ammonia)'!D$85</f>
        <v>2.2269124946536122E-2</v>
      </c>
      <c r="H52" s="126">
        <f>'Short-sea (Ammonia)'!E$85</f>
        <v>2.2027073534644448E-2</v>
      </c>
      <c r="I52" s="126">
        <f>'Short-sea (Ammonia)'!F$85</f>
        <v>2.1782270453848895E-2</v>
      </c>
      <c r="J52" s="126">
        <f>'Short-sea (Ammonia)'!G$85</f>
        <v>2.1533589484089601E-2</v>
      </c>
      <c r="K52" s="126">
        <f>'Short-sea (Ammonia)'!H$85</f>
        <v>2.1279464879605935E-2</v>
      </c>
      <c r="L52" s="126">
        <f>'Short-sea (Ammonia)'!I$85</f>
        <v>2.1017742929588933E-2</v>
      </c>
      <c r="M52" s="126">
        <f>'Short-sea (Ammonia)'!J$85</f>
        <v>2.1105606201828202E-2</v>
      </c>
      <c r="N52" s="126">
        <f>'Short-sea (Ammonia)'!K$85</f>
        <v>2.1177650656048017E-2</v>
      </c>
      <c r="O52" s="126">
        <f>'Short-sea (Ammonia)'!L$85</f>
        <v>2.1228129308547696E-2</v>
      </c>
      <c r="P52" s="126">
        <f>'Short-sea (Ammonia)'!M$85</f>
        <v>2.1249968711118561E-2</v>
      </c>
      <c r="Q52" s="126">
        <f>'Short-sea (Ammonia)'!N$85</f>
        <v>2.1235210753194091E-2</v>
      </c>
      <c r="R52" s="126">
        <f>'Short-sea (Ammonia)'!O$85</f>
        <v>2.0757534740871265E-2</v>
      </c>
      <c r="S52" s="126">
        <f>'Short-sea (Ammonia)'!P$85</f>
        <v>2.0237962247108485E-2</v>
      </c>
      <c r="T52" s="126">
        <f>'Short-sea (Ammonia)'!Q$85</f>
        <v>1.9679530491505962E-2</v>
      </c>
      <c r="U52" s="126">
        <f>'Short-sea (Ammonia)'!R$85</f>
        <v>1.9093323968095103E-2</v>
      </c>
      <c r="V52" s="126">
        <f>'Short-sea (Ammonia)'!S$85</f>
        <v>1.8498195424155255E-2</v>
      </c>
      <c r="W52" s="126">
        <f>'Short-sea (Ammonia)'!T$85</f>
        <v>1.7938787287965219E-2</v>
      </c>
      <c r="X52" s="126">
        <f>'Short-sea (Ammonia)'!U$85</f>
        <v>1.7412862322402797E-2</v>
      </c>
      <c r="Y52" s="126">
        <f>'Short-sea (Ammonia)'!V$85</f>
        <v>1.6933109923544031E-2</v>
      </c>
      <c r="Z52" s="126">
        <f>'Short-sea (Ammonia)'!W$85</f>
        <v>1.6503049519115902E-2</v>
      </c>
      <c r="AA52" s="126">
        <f>'Short-sea (Ammonia)'!X$85</f>
        <v>1.6118962823123577E-2</v>
      </c>
      <c r="AB52" s="126">
        <f>'Short-sea (Ammonia)'!Y$85</f>
        <v>1.5785437393005246E-2</v>
      </c>
      <c r="AC52" s="126">
        <f>'Short-sea (Ammonia)'!Z$85</f>
        <v>1.5481650037731495E-2</v>
      </c>
      <c r="AD52" s="126">
        <f>'Short-sea (Ammonia)'!AA$85</f>
        <v>1.5199853200703779E-2</v>
      </c>
      <c r="AE52" s="126">
        <f>'Short-sea (Ammonia)'!AB$85</f>
        <v>1.4933761037037892E-2</v>
      </c>
      <c r="AF52" s="126">
        <f>'Short-sea (Ammonia)'!AC$85</f>
        <v>1.467861872983527E-2</v>
      </c>
    </row>
    <row r="53" spans="1:32" x14ac:dyDescent="0.25">
      <c r="A53">
        <v>52</v>
      </c>
      <c r="B53" t="s">
        <v>15</v>
      </c>
      <c r="C53" t="s">
        <v>97</v>
      </c>
      <c r="D53" t="s">
        <v>20</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15</v>
      </c>
      <c r="C54" t="s">
        <v>97</v>
      </c>
      <c r="D54" t="s">
        <v>21</v>
      </c>
      <c r="E54" s="126">
        <f>'Short-sea (Ammonia)'!B$191</f>
        <v>2.7704612122780282E-2</v>
      </c>
      <c r="F54" s="126">
        <f>'Short-sea (Ammonia)'!C$191</f>
        <v>2.7276786260452542E-2</v>
      </c>
      <c r="G54" s="126">
        <f>'Short-sea (Ammonia)'!D$191</f>
        <v>2.6847387850271541E-2</v>
      </c>
      <c r="H54" s="126">
        <f>'Short-sea (Ammonia)'!E$191</f>
        <v>2.6562864426850061E-2</v>
      </c>
      <c r="I54" s="126">
        <f>'Short-sea (Ammonia)'!F$191</f>
        <v>2.6275125070392171E-2</v>
      </c>
      <c r="J54" s="126">
        <f>'Short-sea (Ammonia)'!G$191</f>
        <v>2.5982853355860439E-2</v>
      </c>
      <c r="K54" s="126">
        <f>'Short-sea (Ammonia)'!H$191</f>
        <v>2.5684218982168789E-2</v>
      </c>
      <c r="L54" s="126">
        <f>'Short-sea (Ammonia)'!I$191</f>
        <v>2.5376704130295514E-2</v>
      </c>
      <c r="M54" s="126">
        <f>'Short-sea (Ammonia)'!J$191</f>
        <v>2.5480271151020872E-2</v>
      </c>
      <c r="N54" s="126">
        <f>'Short-sea (Ammonia)'!K$191</f>
        <v>2.5565350346154932E-2</v>
      </c>
      <c r="O54" s="126">
        <f>'Short-sea (Ammonia)'!L$191</f>
        <v>2.5625223608772438E-2</v>
      </c>
      <c r="P54" s="126">
        <f>'Short-sea (Ammonia)'!M$191</f>
        <v>2.5651620602087057E-2</v>
      </c>
      <c r="Q54" s="126">
        <f>'Short-sea (Ammonia)'!N$191</f>
        <v>2.5635233595032419E-2</v>
      </c>
      <c r="R54" s="126">
        <f>'Short-sea (Ammonia)'!O$191</f>
        <v>2.5074783237540383E-2</v>
      </c>
      <c r="S54" s="126">
        <f>'Short-sea (Ammonia)'!P$191</f>
        <v>2.446530343935386E-2</v>
      </c>
      <c r="T54" s="126">
        <f>'Short-sea (Ammonia)'!Q$191</f>
        <v>2.3810317647076126E-2</v>
      </c>
      <c r="U54" s="126">
        <f>'Short-sea (Ammonia)'!R$191</f>
        <v>2.3122761313410338E-2</v>
      </c>
      <c r="V54" s="126">
        <f>'Short-sea (Ammonia)'!S$191</f>
        <v>2.2424668389097346E-2</v>
      </c>
      <c r="W54" s="126">
        <f>'Short-sea (Ammonia)'!T$191</f>
        <v>2.1768411470960286E-2</v>
      </c>
      <c r="X54" s="126">
        <f>'Short-sea (Ammonia)'!U$191</f>
        <v>2.1151254240298498E-2</v>
      </c>
      <c r="Y54" s="126">
        <f>'Short-sea (Ammonia)'!V$191</f>
        <v>2.0588078496111439E-2</v>
      </c>
      <c r="Z54" s="126">
        <f>'Short-sea (Ammonia)'!W$191</f>
        <v>2.0083035604313407E-2</v>
      </c>
      <c r="AA54" s="126">
        <f>'Short-sea (Ammonia)'!X$191</f>
        <v>1.9631797839841821E-2</v>
      </c>
      <c r="AB54" s="126">
        <f>'Short-sea (Ammonia)'!Y$191</f>
        <v>1.9239826931317892E-2</v>
      </c>
      <c r="AC54" s="126">
        <f>'Short-sea (Ammonia)'!Z$191</f>
        <v>1.888267749383328E-2</v>
      </c>
      <c r="AD54" s="126">
        <f>'Short-sea (Ammonia)'!AA$191</f>
        <v>1.8551281573668005E-2</v>
      </c>
      <c r="AE54" s="126">
        <f>'Short-sea (Ammonia)'!AB$191</f>
        <v>1.8238279842685313E-2</v>
      </c>
      <c r="AF54" s="126">
        <f>'Short-sea (Ammonia)'!AC$191</f>
        <v>1.7938104362861515E-2</v>
      </c>
    </row>
    <row r="55" spans="1:32" x14ac:dyDescent="0.25">
      <c r="A55">
        <v>54</v>
      </c>
      <c r="B55" t="s">
        <v>15</v>
      </c>
      <c r="C55" t="s">
        <v>97</v>
      </c>
      <c r="D55" t="s">
        <v>22</v>
      </c>
      <c r="E55" s="126">
        <f>'Short-sea (Ammonia)'!B$299</f>
        <v>2.9676751363664457E-2</v>
      </c>
      <c r="F55" s="126">
        <f>'Short-sea (Ammonia)'!C$299</f>
        <v>2.920714989292654E-2</v>
      </c>
      <c r="G55" s="126">
        <f>'Short-sea (Ammonia)'!D$299</f>
        <v>2.873583060407546E-2</v>
      </c>
      <c r="H55" s="126">
        <f>'Short-sea (Ammonia)'!E$299</f>
        <v>2.8423552028754601E-2</v>
      </c>
      <c r="I55" s="126">
        <f>'Short-sea (Ammonia)'!F$299</f>
        <v>2.8107760404359153E-2</v>
      </c>
      <c r="J55" s="126">
        <f>'Short-sea (Ammonia)'!G$299</f>
        <v>2.7787017661645853E-2</v>
      </c>
      <c r="K55" s="126">
        <f>'Short-sea (Ammonia)'!H$299</f>
        <v>2.7459324341886956E-2</v>
      </c>
      <c r="L55" s="126">
        <f>'Short-sea (Ammonia)'!I$299</f>
        <v>2.712192986719128E-2</v>
      </c>
      <c r="M55" s="126">
        <f>'Short-sea (Ammonia)'!J$299</f>
        <v>2.7235852180523733E-2</v>
      </c>
      <c r="N55" s="126">
        <f>'Short-sea (Ammonia)'!K$299</f>
        <v>2.7329576842627164E-2</v>
      </c>
      <c r="O55" s="126">
        <f>'Short-sea (Ammonia)'!L$299</f>
        <v>2.7395763333870924E-2</v>
      </c>
      <c r="P55" s="126">
        <f>'Short-sea (Ammonia)'!M$299</f>
        <v>2.7425374041799809E-2</v>
      </c>
      <c r="Q55" s="126">
        <f>'Short-sea (Ammonia)'!N$299</f>
        <v>2.7408235781535735E-2</v>
      </c>
      <c r="R55" s="126">
        <f>'Short-sea (Ammonia)'!O$299</f>
        <v>2.6794073638392771E-2</v>
      </c>
      <c r="S55" s="126">
        <f>'Short-sea (Ammonia)'!P$299</f>
        <v>2.6126323822633489E-2</v>
      </c>
      <c r="T55" s="126">
        <f>'Short-sea (Ammonia)'!Q$299</f>
        <v>2.5408824173406577E-2</v>
      </c>
      <c r="U55" s="126">
        <f>'Short-sea (Ammonia)'!R$299</f>
        <v>2.4655697756796185E-2</v>
      </c>
      <c r="V55" s="126">
        <f>'Short-sea (Ammonia)'!S$299</f>
        <v>2.3891016404811866E-2</v>
      </c>
      <c r="W55" s="126">
        <f>'Short-sea (Ammonia)'!T$299</f>
        <v>2.317215378628816E-2</v>
      </c>
      <c r="X55" s="126">
        <f>'Short-sea (Ammonia)'!U$299</f>
        <v>2.2495997487190042E-2</v>
      </c>
      <c r="Y55" s="126">
        <f>'Short-sea (Ammonia)'!V$299</f>
        <v>2.1878829544572508E-2</v>
      </c>
      <c r="Z55" s="126">
        <f>'Short-sea (Ammonia)'!W$299</f>
        <v>2.1325202536807752E-2</v>
      </c>
      <c r="AA55" s="126">
        <f>'Short-sea (Ammonia)'!X$299</f>
        <v>2.0830395878233515E-2</v>
      </c>
      <c r="AB55" s="126">
        <f>'Short-sea (Ammonia)'!Y$299</f>
        <v>2.0400458555636852E-2</v>
      </c>
      <c r="AC55" s="126">
        <f>'Short-sea (Ammonia)'!Z$299</f>
        <v>2.0008595690240959E-2</v>
      </c>
      <c r="AD55" s="126">
        <f>'Short-sea (Ammonia)'!AA$299</f>
        <v>1.9644893713110449E-2</v>
      </c>
      <c r="AE55" s="126">
        <f>'Short-sea (Ammonia)'!AB$299</f>
        <v>1.9301306085896919E-2</v>
      </c>
      <c r="AF55" s="126">
        <f>'Short-sea (Ammonia)'!AC$299</f>
        <v>1.897174450614468E-2</v>
      </c>
    </row>
    <row r="56" spans="1:32" x14ac:dyDescent="0.25">
      <c r="A56">
        <v>55</v>
      </c>
      <c r="B56" t="s">
        <v>15</v>
      </c>
      <c r="C56" t="s">
        <v>97</v>
      </c>
      <c r="D56" t="s">
        <v>23</v>
      </c>
      <c r="E56" s="126">
        <f>'Short-sea (Ammonia)'!B$408</f>
        <v>2.2992877245920678E-2</v>
      </c>
      <c r="F56" s="126">
        <f>'Short-sea (Ammonia)'!C$408</f>
        <v>2.2628954740214785E-2</v>
      </c>
      <c r="G56" s="126">
        <f>'Short-sea (Ammonia)'!D$408</f>
        <v>2.2263686718265549E-2</v>
      </c>
      <c r="H56" s="126">
        <f>'Short-sea (Ammonia)'!E$408</f>
        <v>2.2021635386632432E-2</v>
      </c>
      <c r="I56" s="126">
        <f>'Short-sea (Ammonia)'!F$408</f>
        <v>2.1776832420538191E-2</v>
      </c>
      <c r="J56" s="126">
        <f>'Short-sea (Ammonia)'!G$408</f>
        <v>2.1528151614470435E-2</v>
      </c>
      <c r="K56" s="126">
        <f>'Short-sea (Ammonia)'!H$408</f>
        <v>2.1274027243099305E-2</v>
      </c>
      <c r="L56" s="126">
        <f>'Short-sea (Ammonia)'!I$408</f>
        <v>2.1012305624019484E-2</v>
      </c>
      <c r="M56" s="126">
        <f>'Short-sea (Ammonia)'!J$408</f>
        <v>2.1100169363908218E-2</v>
      </c>
      <c r="N56" s="126">
        <f>'Short-sea (Ammonia)'!K$408</f>
        <v>2.1172214474504937E-2</v>
      </c>
      <c r="O56" s="126">
        <f>'Short-sea (Ammonia)'!L$408</f>
        <v>2.1222694039229439E-2</v>
      </c>
      <c r="P56" s="126">
        <f>'Short-sea (Ammonia)'!M$408</f>
        <v>2.1244534691713526E-2</v>
      </c>
      <c r="Q56" s="126">
        <f>'Short-sea (Ammonia)'!N$408</f>
        <v>2.1229778412241357E-2</v>
      </c>
      <c r="R56" s="126">
        <f>'Short-sea (Ammonia)'!O$408</f>
        <v>2.0752104591739928E-2</v>
      </c>
      <c r="S56" s="126">
        <f>'Short-sea (Ammonia)'!P$408</f>
        <v>2.023253485460106E-2</v>
      </c>
      <c r="T56" s="126">
        <f>'Short-sea (Ammonia)'!Q$408</f>
        <v>1.967410640157554E-2</v>
      </c>
      <c r="U56" s="126">
        <f>'Short-sea (Ammonia)'!R$408</f>
        <v>1.9087903605694137E-2</v>
      </c>
      <c r="V56" s="126">
        <f>'Short-sea (Ammonia)'!S$408</f>
        <v>1.8492778988924992E-2</v>
      </c>
      <c r="W56" s="126">
        <f>'Short-sea (Ammonia)'!T$408</f>
        <v>1.7933374694707696E-2</v>
      </c>
      <c r="X56" s="126">
        <f>'Short-sea (Ammonia)'!U$408</f>
        <v>1.7407453219775632E-2</v>
      </c>
      <c r="Y56" s="126">
        <f>'Short-sea (Ammonia)'!V$408</f>
        <v>1.6927703782377852E-2</v>
      </c>
      <c r="Z56" s="126">
        <f>'Short-sea (Ammonia)'!W$408</f>
        <v>1.6497645746193251E-2</v>
      </c>
      <c r="AA56" s="126">
        <f>'Short-sea (Ammonia)'!X$408</f>
        <v>1.6113560855271731E-2</v>
      </c>
      <c r="AB56" s="126">
        <f>'Short-sea (Ammonia)'!Y$408</f>
        <v>1.5780036750920552E-2</v>
      </c>
      <c r="AC56" s="126">
        <f>'Short-sea (Ammonia)'!Z$408</f>
        <v>1.5476250342977905E-2</v>
      </c>
      <c r="AD56" s="126">
        <f>'Short-sea (Ammonia)'!AA$408</f>
        <v>1.5194454169604736E-2</v>
      </c>
      <c r="AE56" s="126">
        <f>'Short-sea (Ammonia)'!AB$408</f>
        <v>1.4928362464427932E-2</v>
      </c>
      <c r="AF56" s="126">
        <f>'Short-sea (Ammonia)'!AC$408</f>
        <v>1.4673220470927728E-2</v>
      </c>
    </row>
    <row r="57" spans="1:32" x14ac:dyDescent="0.25">
      <c r="A57">
        <v>56</v>
      </c>
      <c r="B57" t="s">
        <v>15</v>
      </c>
      <c r="C57" t="s">
        <v>99</v>
      </c>
      <c r="D57" t="s">
        <v>13</v>
      </c>
      <c r="E57" s="126">
        <f>'Short-sea (Methanol)'!B$85</f>
        <v>4.2129683891405201E-2</v>
      </c>
      <c r="F57" s="126">
        <f>'Short-sea (Methanol)'!C$85</f>
        <v>4.0611689626645735E-2</v>
      </c>
      <c r="G57" s="126">
        <f>'Short-sea (Methanol)'!D$85</f>
        <v>3.9092656946201787E-2</v>
      </c>
      <c r="H57" s="126">
        <f>'Short-sea (Methanol)'!E$85</f>
        <v>3.7722627064995927E-2</v>
      </c>
      <c r="I57" s="126">
        <f>'Short-sea (Methanol)'!F$85</f>
        <v>3.6350607101092142E-2</v>
      </c>
      <c r="J57" s="126">
        <f>'Short-sea (Methanol)'!G$85</f>
        <v>3.4975876510663917E-2</v>
      </c>
      <c r="K57" s="126">
        <f>'Short-sea (Methanol)'!H$85</f>
        <v>3.3597476576523962E-2</v>
      </c>
      <c r="L57" s="126">
        <f>'Short-sea (Methanol)'!I$85</f>
        <v>3.2214151545508815E-2</v>
      </c>
      <c r="M57" s="126">
        <f>'Short-sea (Methanol)'!J$85</f>
        <v>3.1536854593077659E-2</v>
      </c>
      <c r="N57" s="126">
        <f>'Short-sea (Methanol)'!K$85</f>
        <v>3.0849387802531499E-2</v>
      </c>
      <c r="O57" s="126">
        <f>'Short-sea (Methanol)'!L$85</f>
        <v>3.0148468469748758E-2</v>
      </c>
      <c r="P57" s="126">
        <f>'Short-sea (Methanol)'!M$85</f>
        <v>2.9430266740142881E-2</v>
      </c>
      <c r="Q57" s="126">
        <f>'Short-sea (Methanol)'!N$85</f>
        <v>2.8690802840276364E-2</v>
      </c>
      <c r="R57" s="126">
        <f>'Short-sea (Methanol)'!O$85</f>
        <v>2.7780428420692425E-2</v>
      </c>
      <c r="S57" s="126">
        <f>'Short-sea (Methanol)'!P$85</f>
        <v>2.6845881787997156E-2</v>
      </c>
      <c r="T57" s="126">
        <f>'Short-sea (Methanol)'!Q$85</f>
        <v>2.5890425466203595E-2</v>
      </c>
      <c r="U57" s="126">
        <f>'Short-sea (Methanol)'!R$85</f>
        <v>2.4922408539528273E-2</v>
      </c>
      <c r="V57" s="126">
        <f>'Short-sea (Methanol)'!S$85</f>
        <v>2.3954708730572722E-2</v>
      </c>
      <c r="W57" s="126">
        <f>'Short-sea (Methanol)'!T$85</f>
        <v>2.3236140868807494E-2</v>
      </c>
      <c r="X57" s="126">
        <f>'Short-sea (Methanol)'!U$85</f>
        <v>2.2541569638306926E-2</v>
      </c>
      <c r="Y57" s="126">
        <f>'Short-sea (Methanol)'!V$85</f>
        <v>2.1878399800555479E-2</v>
      </c>
      <c r="Z57" s="126">
        <f>'Short-sea (Methanol)'!W$85</f>
        <v>2.1248132866068851E-2</v>
      </c>
      <c r="AA57" s="126">
        <f>'Short-sea (Methanol)'!X$85</f>
        <v>2.0647765371884147E-2</v>
      </c>
      <c r="AB57" s="126">
        <f>'Short-sea (Methanol)'!Y$85</f>
        <v>2.0222097306986396E-2</v>
      </c>
      <c r="AC57" s="126">
        <f>'Short-sea (Methanol)'!Z$85</f>
        <v>1.9814768152020018E-2</v>
      </c>
      <c r="AD57" s="126">
        <f>'Short-sea (Methanol)'!AA$85</f>
        <v>1.9420935195158577E-2</v>
      </c>
      <c r="AE57" s="126">
        <f>'Short-sea (Methanol)'!AB$85</f>
        <v>1.90366953960317E-2</v>
      </c>
      <c r="AF57" s="126">
        <f>'Short-sea (Methanol)'!AC$85</f>
        <v>1.86591129127694E-2</v>
      </c>
    </row>
    <row r="58" spans="1:32" x14ac:dyDescent="0.25">
      <c r="A58">
        <v>57</v>
      </c>
      <c r="B58" t="s">
        <v>15</v>
      </c>
      <c r="C58" t="s">
        <v>99</v>
      </c>
      <c r="D58" t="s">
        <v>20</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15</v>
      </c>
      <c r="C59" t="s">
        <v>99</v>
      </c>
      <c r="D59" t="s">
        <v>21</v>
      </c>
      <c r="E59" s="126">
        <f>'Short-sea (Methanol)'!B$191</f>
        <v>5.0400453579734043E-2</v>
      </c>
      <c r="F59" s="126">
        <f>'Short-sea (Methanol)'!C$191</f>
        <v>4.8607823135756102E-2</v>
      </c>
      <c r="G59" s="126">
        <f>'Short-sea (Methanol)'!D$191</f>
        <v>4.6813966405478705E-2</v>
      </c>
      <c r="H59" s="126">
        <f>'Short-sea (Methanol)'!E$191</f>
        <v>4.5196070125351297E-2</v>
      </c>
      <c r="I59" s="126">
        <f>'Short-sea (Methanol)'!F$191</f>
        <v>4.3575823715903114E-2</v>
      </c>
      <c r="J59" s="126">
        <f>'Short-sea (Methanol)'!G$191</f>
        <v>4.1952376272206798E-2</v>
      </c>
      <c r="K59" s="126">
        <f>'Short-sea (Methanol)'!H$191</f>
        <v>4.0324595625546716E-2</v>
      </c>
      <c r="L59" s="126">
        <f>'Short-sea (Methanol)'!I$191</f>
        <v>3.8690998831353671E-2</v>
      </c>
      <c r="M59" s="126">
        <f>'Short-sea (Methanol)'!J$191</f>
        <v>3.7891165021221355E-2</v>
      </c>
      <c r="N59" s="126">
        <f>'Short-sea (Methanol)'!K$191</f>
        <v>3.7079321441461754E-2</v>
      </c>
      <c r="O59" s="126">
        <f>'Short-sea (Methanol)'!L$191</f>
        <v>3.6251591479703207E-2</v>
      </c>
      <c r="P59" s="126">
        <f>'Short-sea (Methanol)'!M$191</f>
        <v>3.5403452382410175E-2</v>
      </c>
      <c r="Q59" s="126">
        <f>'Short-sea (Methanol)'!N$191</f>
        <v>3.4530204353812752E-2</v>
      </c>
      <c r="R59" s="126">
        <f>'Short-sea (Methanol)'!O$191</f>
        <v>3.3455124600317437E-2</v>
      </c>
      <c r="S59" s="126">
        <f>'Short-sea (Methanol)'!P$191</f>
        <v>3.2351499386455332E-2</v>
      </c>
      <c r="T59" s="126">
        <f>'Short-sea (Methanol)'!Q$191</f>
        <v>3.1223181493495625E-2</v>
      </c>
      <c r="U59" s="126">
        <f>'Short-sea (Methanol)'!R$191</f>
        <v>3.0080030525583952E-2</v>
      </c>
      <c r="V59" s="126">
        <f>'Short-sea (Methanol)'!S$191</f>
        <v>2.8937254048467132E-2</v>
      </c>
      <c r="W59" s="126">
        <f>'Short-sea (Methanol)'!T$191</f>
        <v>2.8088682578226044E-2</v>
      </c>
      <c r="X59" s="126">
        <f>'Short-sea (Methanol)'!U$191</f>
        <v>2.7268449220161386E-2</v>
      </c>
      <c r="Y59" s="126">
        <f>'Short-sea (Methanol)'!V$191</f>
        <v>2.6485298408409449E-2</v>
      </c>
      <c r="Z59" s="126">
        <f>'Short-sea (Methanol)'!W$191</f>
        <v>2.5741003307418134E-2</v>
      </c>
      <c r="AA59" s="126">
        <f>'Short-sea (Methanol)'!X$191</f>
        <v>2.5032017066405704E-2</v>
      </c>
      <c r="AB59" s="126">
        <f>'Short-sea (Methanol)'!Y$191</f>
        <v>2.4529336951019498E-2</v>
      </c>
      <c r="AC59" s="126">
        <f>'Short-sea (Methanol)'!Z$191</f>
        <v>2.404831362908472E-2</v>
      </c>
      <c r="AD59" s="126">
        <f>'Short-sea (Methanol)'!AA$191</f>
        <v>2.3583228243255851E-2</v>
      </c>
      <c r="AE59" s="126">
        <f>'Short-sea (Methanol)'!AB$191</f>
        <v>2.3129471613409849E-2</v>
      </c>
      <c r="AF59" s="126">
        <f>'Short-sea (Methanol)'!AC$191</f>
        <v>2.2683576743895276E-2</v>
      </c>
    </row>
    <row r="60" spans="1:32" x14ac:dyDescent="0.25">
      <c r="A60">
        <v>59</v>
      </c>
      <c r="B60" t="s">
        <v>15</v>
      </c>
      <c r="C60" t="s">
        <v>99</v>
      </c>
      <c r="D60" t="s">
        <v>22</v>
      </c>
      <c r="E60" s="126">
        <f>'Short-sea (Methanol)'!B$299</f>
        <v>5.47327667247514E-2</v>
      </c>
      <c r="F60" s="126">
        <f>'Short-sea (Methanol)'!C$299</f>
        <v>5.2760566471284451E-2</v>
      </c>
      <c r="G60" s="126">
        <f>'Short-sea (Methanol)'!D$299</f>
        <v>5.0787017093039039E-2</v>
      </c>
      <c r="H60" s="126">
        <f>'Short-sea (Methanol)'!E$299</f>
        <v>4.9007054321309071E-2</v>
      </c>
      <c r="I60" s="126">
        <f>'Short-sea (Methanol)'!F$299</f>
        <v>4.7224506005158789E-2</v>
      </c>
      <c r="J60" s="126">
        <f>'Short-sea (Methanol)'!G$299</f>
        <v>4.5438436003556418E-2</v>
      </c>
      <c r="K60" s="126">
        <f>'Short-sea (Methanol)'!H$299</f>
        <v>4.3647598737171625E-2</v>
      </c>
      <c r="L60" s="126">
        <f>'Short-sea (Methanol)'!I$299</f>
        <v>4.1850362713208411E-2</v>
      </c>
      <c r="M60" s="126">
        <f>'Short-sea (Methanol)'!J$299</f>
        <v>4.0970408649963805E-2</v>
      </c>
      <c r="N60" s="126">
        <f>'Short-sea (Methanol)'!K$299</f>
        <v>4.0077241784949272E-2</v>
      </c>
      <c r="O60" s="126">
        <f>'Short-sea (Methanol)'!L$299</f>
        <v>3.9166597181168078E-2</v>
      </c>
      <c r="P60" s="126">
        <f>'Short-sea (Methanol)'!M$299</f>
        <v>3.823349903577189E-2</v>
      </c>
      <c r="Q60" s="126">
        <f>'Short-sea (Methanol)'!N$299</f>
        <v>3.7272776769158127E-2</v>
      </c>
      <c r="R60" s="126">
        <f>'Short-sea (Methanol)'!O$299</f>
        <v>3.6090005066566892E-2</v>
      </c>
      <c r="S60" s="126">
        <f>'Short-sea (Methanol)'!P$299</f>
        <v>3.4875828472711097E-2</v>
      </c>
      <c r="T60" s="126">
        <f>'Short-sea (Methanol)'!Q$299</f>
        <v>3.3634485706296596E-2</v>
      </c>
      <c r="U60" s="126">
        <f>'Short-sea (Methanol)'!R$299</f>
        <v>3.2376824019115014E-2</v>
      </c>
      <c r="V60" s="126">
        <f>'Short-sea (Methanol)'!S$299</f>
        <v>3.1119574335892745E-2</v>
      </c>
      <c r="W60" s="126">
        <f>'Short-sea (Methanol)'!T$299</f>
        <v>3.0186000506263591E-2</v>
      </c>
      <c r="X60" s="126">
        <f>'Short-sea (Methanol)'!U$299</f>
        <v>2.9283603449407031E-2</v>
      </c>
      <c r="Y60" s="126">
        <f>'Short-sea (Methanol)'!V$299</f>
        <v>2.8422003539270161E-2</v>
      </c>
      <c r="Z60" s="126">
        <f>'Short-sea (Methanol)'!W$299</f>
        <v>2.7603151560179624E-2</v>
      </c>
      <c r="AA60" s="126">
        <f>'Short-sea (Methanol)'!X$299</f>
        <v>2.6823145369318298E-2</v>
      </c>
      <c r="AB60" s="126">
        <f>'Short-sea (Methanol)'!Y$299</f>
        <v>2.6270111220920409E-2</v>
      </c>
      <c r="AC60" s="126">
        <f>'Short-sea (Methanol)'!Z$299</f>
        <v>2.5740903251352445E-2</v>
      </c>
      <c r="AD60" s="126">
        <f>'Short-sea (Methanol)'!AA$299</f>
        <v>2.5229229738891024E-2</v>
      </c>
      <c r="AE60" s="126">
        <f>'Short-sea (Methanol)'!AB$299</f>
        <v>2.4730019796651754E-2</v>
      </c>
      <c r="AF60" s="126">
        <f>'Short-sea (Methanol)'!AC$299</f>
        <v>2.4239459136126077E-2</v>
      </c>
    </row>
    <row r="61" spans="1:32" x14ac:dyDescent="0.25">
      <c r="A61">
        <v>60</v>
      </c>
      <c r="B61" t="s">
        <v>15</v>
      </c>
      <c r="C61" t="s">
        <v>99</v>
      </c>
      <c r="D61" t="s">
        <v>23</v>
      </c>
      <c r="E61" s="126">
        <f>'Short-sea (Methanol)'!B$408</f>
        <v>4.2124403613936684E-2</v>
      </c>
      <c r="F61" s="126">
        <f>'Short-sea (Methanol)'!C$408</f>
        <v>4.0606409349177218E-2</v>
      </c>
      <c r="G61" s="126">
        <f>'Short-sea (Methanol)'!D$408</f>
        <v>3.9087376668733256E-2</v>
      </c>
      <c r="H61" s="126">
        <f>'Short-sea (Methanol)'!E$408</f>
        <v>3.7717346787527417E-2</v>
      </c>
      <c r="I61" s="126">
        <f>'Short-sea (Methanol)'!F$408</f>
        <v>3.6345326823623625E-2</v>
      </c>
      <c r="J61" s="126">
        <f>'Short-sea (Methanol)'!G$408</f>
        <v>3.49705962331954E-2</v>
      </c>
      <c r="K61" s="126">
        <f>'Short-sea (Methanol)'!H$408</f>
        <v>3.3592196299055445E-2</v>
      </c>
      <c r="L61" s="126">
        <f>'Short-sea (Methanol)'!I$408</f>
        <v>3.2208871268040291E-2</v>
      </c>
      <c r="M61" s="126">
        <f>'Short-sea (Methanol)'!J$408</f>
        <v>3.1531574315609143E-2</v>
      </c>
      <c r="N61" s="126">
        <f>'Short-sea (Methanol)'!K$408</f>
        <v>3.0844107525062982E-2</v>
      </c>
      <c r="O61" s="126">
        <f>'Short-sea (Methanol)'!L$408</f>
        <v>3.0143188192280242E-2</v>
      </c>
      <c r="P61" s="126">
        <f>'Short-sea (Methanol)'!M$408</f>
        <v>2.9424986462674364E-2</v>
      </c>
      <c r="Q61" s="126">
        <f>'Short-sea (Methanol)'!N$408</f>
        <v>2.8685522562807847E-2</v>
      </c>
      <c r="R61" s="126">
        <f>'Short-sea (Methanol)'!O$408</f>
        <v>2.7775148143223904E-2</v>
      </c>
      <c r="S61" s="126">
        <f>'Short-sea (Methanol)'!P$408</f>
        <v>2.6840601510528639E-2</v>
      </c>
      <c r="T61" s="126">
        <f>'Short-sea (Methanol)'!Q$408</f>
        <v>2.5885145188735078E-2</v>
      </c>
      <c r="U61" s="126">
        <f>'Short-sea (Methanol)'!R$408</f>
        <v>2.4917128262059756E-2</v>
      </c>
      <c r="V61" s="126">
        <f>'Short-sea (Methanol)'!S$408</f>
        <v>2.3949428453104209E-2</v>
      </c>
      <c r="W61" s="126">
        <f>'Short-sea (Methanol)'!T$408</f>
        <v>2.323086059133898E-2</v>
      </c>
      <c r="X61" s="126">
        <f>'Short-sea (Methanol)'!U$408</f>
        <v>2.2536289360838409E-2</v>
      </c>
      <c r="Y61" s="126">
        <f>'Short-sea (Methanol)'!V$408</f>
        <v>2.1873119523086963E-2</v>
      </c>
      <c r="Z61" s="126">
        <f>'Short-sea (Methanol)'!W$408</f>
        <v>2.1242852588600328E-2</v>
      </c>
      <c r="AA61" s="126">
        <f>'Short-sea (Methanol)'!X$408</f>
        <v>2.064248509441563E-2</v>
      </c>
      <c r="AB61" s="126">
        <f>'Short-sea (Methanol)'!Y$408</f>
        <v>2.0216817029517883E-2</v>
      </c>
      <c r="AC61" s="126">
        <f>'Short-sea (Methanol)'!Z$408</f>
        <v>1.9809487874551505E-2</v>
      </c>
      <c r="AD61" s="126">
        <f>'Short-sea (Methanol)'!AA$408</f>
        <v>1.941565491769006E-2</v>
      </c>
      <c r="AE61" s="126">
        <f>'Short-sea (Methanol)'!AB$408</f>
        <v>1.9031415118563186E-2</v>
      </c>
      <c r="AF61" s="126">
        <f>'Short-sea (Methanol)'!AC$408</f>
        <v>1.8653832635300887E-2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478</v>
      </c>
      <c r="C1" s="125" t="s">
        <v>479</v>
      </c>
    </row>
    <row r="2" spans="1:3" x14ac:dyDescent="0.25">
      <c r="A2" t="s">
        <v>480</v>
      </c>
      <c r="C2" t="s">
        <v>481</v>
      </c>
    </row>
    <row r="3" spans="1:3" x14ac:dyDescent="0.25">
      <c r="A3" t="s">
        <v>482</v>
      </c>
      <c r="C3" t="s">
        <v>483</v>
      </c>
    </row>
    <row r="4" spans="1:3" x14ac:dyDescent="0.25">
      <c r="A4" t="s">
        <v>484</v>
      </c>
      <c r="C4" t="s">
        <v>485</v>
      </c>
    </row>
    <row r="5" spans="1:3" x14ac:dyDescent="0.25">
      <c r="A5" t="s">
        <v>486</v>
      </c>
    </row>
    <row r="6" spans="1:3" x14ac:dyDescent="0.25">
      <c r="A6" t="s">
        <v>487</v>
      </c>
    </row>
    <row r="7" spans="1:3" x14ac:dyDescent="0.25">
      <c r="A7" s="132" t="s">
        <v>488</v>
      </c>
    </row>
    <row r="8" spans="1:3" x14ac:dyDescent="0.25">
      <c r="A8" t="s">
        <v>489</v>
      </c>
    </row>
    <row r="9" spans="1:3" x14ac:dyDescent="0.25">
      <c r="A9" t="s">
        <v>490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100</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Input'!L77</f>
        <v>105000</v>
      </c>
      <c r="C11" s="42">
        <f>'Parameter Input'!M77</f>
        <v>115000</v>
      </c>
      <c r="D11" s="1" t="s">
        <v>138</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151</v>
      </c>
      <c r="B12" s="60">
        <f>'Parameter Input'!L78</f>
        <v>-26250</v>
      </c>
      <c r="C12" s="61">
        <f>'Parameter Input'!M78</f>
        <v>-17250</v>
      </c>
      <c r="D12" s="1" t="s">
        <v>138</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Input'!L84</f>
        <v>0.06</v>
      </c>
      <c r="C15" s="46">
        <f>'Parameter Input'!M84</f>
        <v>0.06</v>
      </c>
      <c r="D15" s="1" t="s">
        <v>180</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Input'!L80</f>
        <v>20000</v>
      </c>
      <c r="C17" s="44">
        <f>'Parameter Input'!M80</f>
        <v>20000</v>
      </c>
      <c r="D17" s="1" t="s">
        <v>161</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Input'!L81</f>
        <v>2.9</v>
      </c>
      <c r="C19" s="48">
        <f>'Parameter Input'!M81</f>
        <v>2.4</v>
      </c>
      <c r="D19" s="1" t="s">
        <v>184</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191</v>
      </c>
      <c r="B20" s="45">
        <f>'Parameter Input'!L82</f>
        <v>0.1</v>
      </c>
      <c r="C20" s="46">
        <f>'Parameter Input'!M82</f>
        <v>0.1</v>
      </c>
      <c r="D20" s="1" t="s">
        <v>94</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45">
        <f>'Parameter Input'!$L$85</f>
        <v>0</v>
      </c>
      <c r="C21" s="46">
        <f>'Parameter Input'!$M$85</f>
        <v>0</v>
      </c>
      <c r="D21" s="1" t="s">
        <v>200</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Input'!L79</f>
        <v>8</v>
      </c>
      <c r="C22" s="44">
        <f>'Parameter Input'!M79</f>
        <v>8</v>
      </c>
      <c r="D22" s="1" t="s">
        <v>165</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197</v>
      </c>
      <c r="B26" s="72">
        <f>'Parameter Input'!L83</f>
        <v>0</v>
      </c>
      <c r="C26" s="73">
        <f>'Parameter Input'!M83</f>
        <v>0</v>
      </c>
      <c r="D26" s="1" t="s">
        <v>180</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5.7951260504201685E-2</v>
      </c>
      <c r="C40" s="66">
        <f>'Parameter Input'!K8</f>
        <v>5.3954621848739497E-2</v>
      </c>
      <c r="D40" s="66">
        <f>'Parameter Input'!L8</f>
        <v>4.9957983193277315E-2</v>
      </c>
      <c r="E40" s="66">
        <f>'Parameter Input'!M8</f>
        <v>4.5961344537815127E-2</v>
      </c>
      <c r="F40" s="66">
        <f>'Parameter Input'!N8</f>
        <v>4.1964705882352946E-2</v>
      </c>
      <c r="G40" s="66">
        <f>'Parameter Input'!O8</f>
        <v>3.7968067226890764E-2</v>
      </c>
      <c r="H40" s="66">
        <f>'Parameter Input'!P8</f>
        <v>3.3971428571428583E-2</v>
      </c>
      <c r="I40" s="66">
        <f>'Parameter Input'!Q8</f>
        <v>2.9974789915966391E-2</v>
      </c>
      <c r="J40" s="66">
        <f>'Parameter Input'!R8</f>
        <v>2.9368157262905165E-2</v>
      </c>
      <c r="K40" s="66">
        <f>'Parameter Input'!S8</f>
        <v>2.8761524609843939E-2</v>
      </c>
      <c r="L40" s="66">
        <f>'Parameter Input'!T8</f>
        <v>2.8154891956782713E-2</v>
      </c>
      <c r="M40" s="66">
        <f>'Parameter Input'!U8</f>
        <v>2.7548259303721487E-2</v>
      </c>
      <c r="N40" s="66">
        <f>'Parameter Input'!V8</f>
        <v>2.6941626650660268E-2</v>
      </c>
      <c r="O40" s="66">
        <f>'Parameter Input'!W8</f>
        <v>2.6334993997599043E-2</v>
      </c>
      <c r="P40" s="66">
        <f>'Parameter Input'!X8</f>
        <v>2.5728361344537817E-2</v>
      </c>
      <c r="Q40" s="66">
        <f>'Parameter Input'!Y8</f>
        <v>2.5121728691476591E-2</v>
      </c>
      <c r="R40" s="66">
        <f>'Parameter Input'!Z8</f>
        <v>2.4515096038415365E-2</v>
      </c>
      <c r="S40" s="66">
        <f>'Parameter Input'!AA8</f>
        <v>2.3908463385354146E-2</v>
      </c>
      <c r="T40" s="66">
        <f>'Parameter Input'!AB8</f>
        <v>2.330183073229292E-2</v>
      </c>
      <c r="U40" s="66">
        <f>'Parameter Input'!AC8</f>
        <v>2.2695198079231694E-2</v>
      </c>
      <c r="V40" s="66">
        <f>'Parameter Input'!AD8</f>
        <v>2.2088565426170468E-2</v>
      </c>
      <c r="W40" s="66">
        <f>'Parameter Input'!AE8</f>
        <v>2.1481932773109242E-2</v>
      </c>
      <c r="X40" s="66">
        <f>'Parameter Input'!AF8</f>
        <v>2.0875300120048023E-2</v>
      </c>
      <c r="Y40" s="66">
        <f>'Parameter Input'!AG8</f>
        <v>2.0268667466986797E-2</v>
      </c>
      <c r="Z40" s="66">
        <f>'Parameter Input'!AH8</f>
        <v>1.9662034813925571E-2</v>
      </c>
      <c r="AA40" s="66">
        <f>'Parameter Input'!AI8</f>
        <v>1.9055402160864345E-2</v>
      </c>
      <c r="AB40" s="66">
        <f>'Parameter Input'!AJ8</f>
        <v>1.8448769507803119E-2</v>
      </c>
      <c r="AC40" s="66">
        <f>'Parameter Input'!AK8</f>
        <v>1.78421368547419E-2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197</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9222.186334935217</v>
      </c>
      <c r="C57" s="62">
        <f t="shared" ref="C57:AC57" si="49">C39*C40*C47</f>
        <v>8577.7861838692188</v>
      </c>
      <c r="D57" s="62">
        <f t="shared" si="49"/>
        <v>7931.3679811694228</v>
      </c>
      <c r="E57" s="62">
        <f t="shared" si="49"/>
        <v>7282.5202627326844</v>
      </c>
      <c r="F57" s="62">
        <f t="shared" si="49"/>
        <v>6630.8774393002359</v>
      </c>
      <c r="G57" s="62">
        <f t="shared" si="49"/>
        <v>5976.2439860365685</v>
      </c>
      <c r="H57" s="62">
        <f t="shared" si="49"/>
        <v>5318.803892143862</v>
      </c>
      <c r="I57" s="62">
        <f t="shared" si="49"/>
        <v>4659.4312054615484</v>
      </c>
      <c r="J57" s="62">
        <f t="shared" si="49"/>
        <v>4522.0606234145826</v>
      </c>
      <c r="K57" s="62">
        <f t="shared" si="49"/>
        <v>4375.5301455996523</v>
      </c>
      <c r="L57" s="62">
        <f t="shared" si="49"/>
        <v>4220.8416993794935</v>
      </c>
      <c r="M57" s="62">
        <f t="shared" si="49"/>
        <v>4060.8577239390479</v>
      </c>
      <c r="N57" s="62">
        <f t="shared" si="49"/>
        <v>3900.1537941564115</v>
      </c>
      <c r="O57" s="62">
        <f t="shared" si="49"/>
        <v>3744.0309563548408</v>
      </c>
      <c r="P57" s="62">
        <f t="shared" si="49"/>
        <v>3597.0393843766478</v>
      </c>
      <c r="Q57" s="62">
        <f t="shared" si="49"/>
        <v>3461.8180829892358</v>
      </c>
      <c r="R57" s="62">
        <f t="shared" si="49"/>
        <v>3338.8292725381875</v>
      </c>
      <c r="S57" s="62">
        <f t="shared" si="49"/>
        <v>3226.8936699019669</v>
      </c>
      <c r="T57" s="62">
        <f t="shared" si="49"/>
        <v>3124.014882452519</v>
      </c>
      <c r="U57" s="62">
        <f t="shared" si="49"/>
        <v>3028.0597791548989</v>
      </c>
      <c r="V57" s="62">
        <f t="shared" si="49"/>
        <v>2937.1447682100038</v>
      </c>
      <c r="W57" s="62">
        <f t="shared" si="49"/>
        <v>2849.7751494887984</v>
      </c>
      <c r="X57" s="62">
        <f t="shared" si="49"/>
        <v>2764.8408500110754</v>
      </c>
      <c r="Y57" s="62">
        <f t="shared" si="49"/>
        <v>2681.5520353469365</v>
      </c>
      <c r="Z57" s="62">
        <f t="shared" si="49"/>
        <v>2599.362417242729</v>
      </c>
      <c r="AA57" s="62">
        <f t="shared" si="49"/>
        <v>2517.9012513332023</v>
      </c>
      <c r="AB57" s="62">
        <f t="shared" si="49"/>
        <v>2436.9201352347845</v>
      </c>
      <c r="AC57" s="62">
        <f t="shared" si="49"/>
        <v>2356.2540927390323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122070.19992240597</v>
      </c>
      <c r="C59" s="64">
        <f t="shared" ref="C59:AC59" si="51">C50+C51+C52+C53+C54+C55+C56+C57+C58</f>
        <v>121443.09543658236</v>
      </c>
      <c r="D59" s="64">
        <f t="shared" si="51"/>
        <v>120821.23459916223</v>
      </c>
      <c r="E59" s="64">
        <f t="shared" si="51"/>
        <v>120207.09635673616</v>
      </c>
      <c r="F59" s="64">
        <f t="shared" si="51"/>
        <v>119604.18501141187</v>
      </c>
      <c r="G59" s="64">
        <f t="shared" si="51"/>
        <v>119017.3060027929</v>
      </c>
      <c r="H59" s="64">
        <f t="shared" si="51"/>
        <v>118452.75471780924</v>
      </c>
      <c r="I59" s="64">
        <f t="shared" si="51"/>
        <v>117918.21463673834</v>
      </c>
      <c r="J59" s="64">
        <f t="shared" si="51"/>
        <v>117944.02438611133</v>
      </c>
      <c r="K59" s="64">
        <f t="shared" si="51"/>
        <v>118002.991954664</v>
      </c>
      <c r="L59" s="64">
        <f t="shared" si="51"/>
        <v>118094.8952652626</v>
      </c>
      <c r="M59" s="64">
        <f t="shared" si="51"/>
        <v>118213.75075172978</v>
      </c>
      <c r="N59" s="64">
        <f t="shared" si="51"/>
        <v>118347.4164978335</v>
      </c>
      <c r="O59" s="64">
        <f t="shared" si="51"/>
        <v>118479.87069129988</v>
      </c>
      <c r="P59" s="64">
        <f t="shared" si="51"/>
        <v>118595.57673082595</v>
      </c>
      <c r="Q59" s="64">
        <f t="shared" si="51"/>
        <v>118683.61099035789</v>
      </c>
      <c r="R59" s="64">
        <f t="shared" si="51"/>
        <v>118739.40990139761</v>
      </c>
      <c r="S59" s="64">
        <f t="shared" si="51"/>
        <v>118763.89726542418</v>
      </c>
      <c r="T59" s="64">
        <f t="shared" si="51"/>
        <v>118761.30029960963</v>
      </c>
      <c r="U59" s="64">
        <f t="shared" si="51"/>
        <v>118737.04524803751</v>
      </c>
      <c r="V59" s="64">
        <f t="shared" si="51"/>
        <v>118696.3813847136</v>
      </c>
      <c r="W59" s="64">
        <f t="shared" si="51"/>
        <v>118643.73839767542</v>
      </c>
      <c r="X59" s="64">
        <f t="shared" si="51"/>
        <v>118582.56926275285</v>
      </c>
      <c r="Y59" s="64">
        <f t="shared" si="51"/>
        <v>118515.4355830167</v>
      </c>
      <c r="Z59" s="64">
        <f t="shared" si="51"/>
        <v>118444.17796495356</v>
      </c>
      <c r="AA59" s="64">
        <f t="shared" si="51"/>
        <v>118370.09153768496</v>
      </c>
      <c r="AB59" s="64">
        <f t="shared" si="51"/>
        <v>118294.07505900503</v>
      </c>
      <c r="AC59" s="64">
        <f t="shared" si="51"/>
        <v>118216.74649211456</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0.32312262231413535</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0.16767611518064032</v>
      </c>
      <c r="C69" s="66">
        <f t="shared" ref="C69:AC69" si="60">C39*C40*C47/C47</f>
        <v>0.15595974879762217</v>
      </c>
      <c r="D69" s="66">
        <f t="shared" si="60"/>
        <v>0.14420669056671678</v>
      </c>
      <c r="E69" s="66">
        <f t="shared" si="60"/>
        <v>0.13240945932241244</v>
      </c>
      <c r="F69" s="66">
        <f t="shared" si="60"/>
        <v>0.12056140798727702</v>
      </c>
      <c r="G69" s="66">
        <f t="shared" si="60"/>
        <v>0.10865898156430125</v>
      </c>
      <c r="H69" s="66">
        <f t="shared" si="60"/>
        <v>9.6705525311706578E-2</v>
      </c>
      <c r="I69" s="66">
        <f t="shared" si="60"/>
        <v>8.4716931008391783E-2</v>
      </c>
      <c r="J69" s="66">
        <f t="shared" si="60"/>
        <v>8.2219284062083314E-2</v>
      </c>
      <c r="K69" s="66">
        <f t="shared" si="60"/>
        <v>7.9555093556357315E-2</v>
      </c>
      <c r="L69" s="66">
        <f t="shared" si="60"/>
        <v>7.674257635235443E-2</v>
      </c>
      <c r="M69" s="66">
        <f t="shared" si="60"/>
        <v>7.3833776798891776E-2</v>
      </c>
      <c r="N69" s="66">
        <f t="shared" si="60"/>
        <v>7.0911887166480211E-2</v>
      </c>
      <c r="O69" s="66">
        <f t="shared" si="60"/>
        <v>6.8073290115542556E-2</v>
      </c>
      <c r="P69" s="66">
        <f t="shared" si="60"/>
        <v>6.5400716079575413E-2</v>
      </c>
      <c r="Q69" s="66">
        <f t="shared" si="60"/>
        <v>6.2942146963440651E-2</v>
      </c>
      <c r="R69" s="66">
        <f t="shared" si="60"/>
        <v>6.0705986773421594E-2</v>
      </c>
      <c r="S69" s="66">
        <f t="shared" si="60"/>
        <v>5.8670793998217577E-2</v>
      </c>
      <c r="T69" s="66">
        <f t="shared" si="60"/>
        <v>5.6800270590045804E-2</v>
      </c>
      <c r="U69" s="66">
        <f t="shared" si="60"/>
        <v>5.5055632348270891E-2</v>
      </c>
      <c r="V69" s="66">
        <f t="shared" si="60"/>
        <v>5.3402632149272794E-2</v>
      </c>
      <c r="W69" s="66">
        <f t="shared" si="60"/>
        <v>5.1814093627069062E-2</v>
      </c>
      <c r="X69" s="66">
        <f t="shared" si="60"/>
        <v>5.0269833636565009E-2</v>
      </c>
      <c r="Y69" s="66">
        <f t="shared" si="60"/>
        <v>4.8755491551762481E-2</v>
      </c>
      <c r="Z69" s="66">
        <f t="shared" si="60"/>
        <v>4.7261134858958706E-2</v>
      </c>
      <c r="AA69" s="66">
        <f t="shared" si="60"/>
        <v>4.5780022751512765E-2</v>
      </c>
      <c r="AB69" s="66">
        <f t="shared" si="60"/>
        <v>4.4307638822450625E-2</v>
      </c>
      <c r="AC69" s="66">
        <f t="shared" si="60"/>
        <v>4.2840983504346043E-2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187</v>
      </c>
      <c r="B71" s="76">
        <f>B62+B63+B64-B65+B66+B67+B68+B69+B70</f>
        <v>2.2688647106693387</v>
      </c>
      <c r="C71" s="76">
        <f t="shared" ref="C71:AC71" si="62">C62+C63+C64-C65+C66+C67+C68+C69+C70</f>
        <v>2.2574628109270916</v>
      </c>
      <c r="D71" s="76">
        <f t="shared" si="62"/>
        <v>2.2461562502467252</v>
      </c>
      <c r="E71" s="76">
        <f t="shared" si="62"/>
        <v>2.2349901003844335</v>
      </c>
      <c r="F71" s="76">
        <f t="shared" si="62"/>
        <v>2.2240280759239921</v>
      </c>
      <c r="G71" s="76">
        <f t="shared" si="62"/>
        <v>2.2133575484945553</v>
      </c>
      <c r="H71" s="76">
        <f t="shared" si="62"/>
        <v>2.2030929796766712</v>
      </c>
      <c r="I71" s="76">
        <f t="shared" si="62"/>
        <v>2.193374069111746</v>
      </c>
      <c r="J71" s="76">
        <f t="shared" si="62"/>
        <v>2.1938433372821637</v>
      </c>
      <c r="K71" s="76">
        <f t="shared" si="62"/>
        <v>2.1949154748922122</v>
      </c>
      <c r="L71" s="76">
        <f t="shared" si="62"/>
        <v>2.1965864441758232</v>
      </c>
      <c r="M71" s="76">
        <f t="shared" si="62"/>
        <v>2.198747453020681</v>
      </c>
      <c r="N71" s="76">
        <f t="shared" si="62"/>
        <v>2.2011777393134757</v>
      </c>
      <c r="O71" s="76">
        <f t="shared" si="62"/>
        <v>2.2035859973765008</v>
      </c>
      <c r="P71" s="76">
        <f t="shared" si="62"/>
        <v>2.2056897435497023</v>
      </c>
      <c r="Q71" s="76">
        <f t="shared" si="62"/>
        <v>2.2072903664502825</v>
      </c>
      <c r="R71" s="76">
        <f t="shared" si="62"/>
        <v>2.2083048921055504</v>
      </c>
      <c r="S71" s="76">
        <f t="shared" si="62"/>
        <v>2.2087501169060335</v>
      </c>
      <c r="T71" s="76">
        <f t="shared" si="62"/>
        <v>2.2087028993457691</v>
      </c>
      <c r="U71" s="76">
        <f t="shared" si="62"/>
        <v>2.2082618984080944</v>
      </c>
      <c r="V71" s="76">
        <f t="shared" si="62"/>
        <v>2.2075225554385685</v>
      </c>
      <c r="W71" s="76">
        <f t="shared" si="62"/>
        <v>2.2065654102196928</v>
      </c>
      <c r="X71" s="76">
        <f t="shared" si="62"/>
        <v>2.2054532441301911</v>
      </c>
      <c r="Y71" s="76">
        <f t="shared" si="62"/>
        <v>2.2042326317713523</v>
      </c>
      <c r="Z71" s="76">
        <f t="shared" si="62"/>
        <v>2.202937038715659</v>
      </c>
      <c r="AA71" s="76">
        <f t="shared" si="62"/>
        <v>2.2015900127653207</v>
      </c>
      <c r="AB71" s="76">
        <f t="shared" si="62"/>
        <v>2.2002078949711401</v>
      </c>
      <c r="AC71" s="76">
        <f t="shared" si="62"/>
        <v>2.1988019210276768</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1.2924904892565415E-2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6.7070446072256132E-3</v>
      </c>
      <c r="C81" s="66">
        <f t="shared" ref="C81:AC81" si="71">C39*C40*C47/C47/(C44)</f>
        <v>6.2383899519048869E-3</v>
      </c>
      <c r="D81" s="66">
        <f t="shared" si="71"/>
        <v>5.7682676226686715E-3</v>
      </c>
      <c r="E81" s="66">
        <f t="shared" si="71"/>
        <v>5.2963783728964976E-3</v>
      </c>
      <c r="F81" s="66">
        <f t="shared" si="71"/>
        <v>4.8224563194910804E-3</v>
      </c>
      <c r="G81" s="66">
        <f t="shared" si="71"/>
        <v>4.3463592625720502E-3</v>
      </c>
      <c r="H81" s="66">
        <f t="shared" si="71"/>
        <v>3.8682210124682632E-3</v>
      </c>
      <c r="I81" s="66">
        <f t="shared" si="71"/>
        <v>3.3886772403356712E-3</v>
      </c>
      <c r="J81" s="66">
        <f t="shared" si="71"/>
        <v>3.2887713624833326E-3</v>
      </c>
      <c r="K81" s="66">
        <f t="shared" si="71"/>
        <v>3.1822037422542925E-3</v>
      </c>
      <c r="L81" s="66">
        <f t="shared" si="71"/>
        <v>3.0697030540941771E-3</v>
      </c>
      <c r="M81" s="66">
        <f t="shared" si="71"/>
        <v>2.9533510719556709E-3</v>
      </c>
      <c r="N81" s="66">
        <f t="shared" si="71"/>
        <v>2.8364754866592084E-3</v>
      </c>
      <c r="O81" s="66">
        <f t="shared" si="71"/>
        <v>2.7229316046217021E-3</v>
      </c>
      <c r="P81" s="66">
        <f t="shared" si="71"/>
        <v>2.6160286431830167E-3</v>
      </c>
      <c r="Q81" s="66">
        <f t="shared" si="71"/>
        <v>2.5176858785376259E-3</v>
      </c>
      <c r="R81" s="66">
        <f t="shared" si="71"/>
        <v>2.4282394709368637E-3</v>
      </c>
      <c r="S81" s="66">
        <f t="shared" si="71"/>
        <v>2.346831759928703E-3</v>
      </c>
      <c r="T81" s="66">
        <f t="shared" si="71"/>
        <v>2.2720108236018322E-3</v>
      </c>
      <c r="U81" s="66">
        <f t="shared" si="71"/>
        <v>2.2022252939308358E-3</v>
      </c>
      <c r="V81" s="66">
        <f t="shared" si="71"/>
        <v>2.1361052859709116E-3</v>
      </c>
      <c r="W81" s="66">
        <f t="shared" si="71"/>
        <v>2.0725637450827623E-3</v>
      </c>
      <c r="X81" s="66">
        <f t="shared" si="71"/>
        <v>2.0107933454626002E-3</v>
      </c>
      <c r="Y81" s="66">
        <f t="shared" si="71"/>
        <v>1.9502196620704993E-3</v>
      </c>
      <c r="Z81" s="66">
        <f t="shared" si="71"/>
        <v>1.8904453943583482E-3</v>
      </c>
      <c r="AA81" s="66">
        <f t="shared" si="71"/>
        <v>1.8312009100605105E-3</v>
      </c>
      <c r="AB81" s="66">
        <f t="shared" si="71"/>
        <v>1.772305552898025E-3</v>
      </c>
      <c r="AC81" s="66">
        <f t="shared" si="71"/>
        <v>1.7136393401738417E-3</v>
      </c>
    </row>
    <row r="82" spans="1:29" x14ac:dyDescent="0.25">
      <c r="A82" s="59" t="str">
        <f>A45</f>
        <v>Market failure (av. utilization)</v>
      </c>
      <c r="B82" s="66">
        <f t="shared" ref="B82" si="72">B71/B45-B71/B44</f>
        <v>7.1307176621036375E-2</v>
      </c>
      <c r="C82" s="66">
        <f t="shared" ref="C82:AC82" si="73">C71/C45-C71/C44</f>
        <v>7.0948831200565762E-2</v>
      </c>
      <c r="D82" s="66">
        <f t="shared" si="73"/>
        <v>7.059348215061137E-2</v>
      </c>
      <c r="E82" s="66">
        <f t="shared" si="73"/>
        <v>7.0242546012082213E-2</v>
      </c>
      <c r="F82" s="66">
        <f t="shared" si="73"/>
        <v>6.9898025243325473E-2</v>
      </c>
      <c r="G82" s="66">
        <f t="shared" si="73"/>
        <v>6.9562665809828908E-2</v>
      </c>
      <c r="H82" s="66">
        <f t="shared" si="73"/>
        <v>6.9240065075552526E-2</v>
      </c>
      <c r="I82" s="66">
        <f t="shared" si="73"/>
        <v>6.8934613600654893E-2</v>
      </c>
      <c r="J82" s="66">
        <f t="shared" si="73"/>
        <v>6.8949362028868019E-2</v>
      </c>
      <c r="K82" s="66">
        <f t="shared" si="73"/>
        <v>6.8983057782326704E-2</v>
      </c>
      <c r="L82" s="66">
        <f t="shared" si="73"/>
        <v>6.9035573959811594E-2</v>
      </c>
      <c r="M82" s="66">
        <f t="shared" si="73"/>
        <v>6.9103491380650001E-2</v>
      </c>
      <c r="N82" s="66">
        <f t="shared" si="73"/>
        <v>6.9179871806994975E-2</v>
      </c>
      <c r="O82" s="66">
        <f t="shared" si="73"/>
        <v>6.9255559917547185E-2</v>
      </c>
      <c r="P82" s="66">
        <f t="shared" si="73"/>
        <v>6.9321677654419225E-2</v>
      </c>
      <c r="Q82" s="66">
        <f t="shared" si="73"/>
        <v>6.9371982945580335E-2</v>
      </c>
      <c r="R82" s="66">
        <f t="shared" si="73"/>
        <v>6.9403868037603039E-2</v>
      </c>
      <c r="S82" s="66">
        <f t="shared" si="73"/>
        <v>6.9417860817046803E-2</v>
      </c>
      <c r="T82" s="66">
        <f t="shared" si="73"/>
        <v>6.9416376836581334E-2</v>
      </c>
      <c r="U82" s="66">
        <f t="shared" si="73"/>
        <v>6.9402516807111556E-2</v>
      </c>
      <c r="V82" s="66">
        <f t="shared" si="73"/>
        <v>6.9379280313783612E-2</v>
      </c>
      <c r="W82" s="66">
        <f t="shared" si="73"/>
        <v>6.9349198606904638E-2</v>
      </c>
      <c r="X82" s="66">
        <f t="shared" si="73"/>
        <v>6.9314244815520301E-2</v>
      </c>
      <c r="Y82" s="66">
        <f t="shared" si="73"/>
        <v>6.9275882712813958E-2</v>
      </c>
      <c r="Z82" s="66">
        <f t="shared" si="73"/>
        <v>6.9235164073920719E-2</v>
      </c>
      <c r="AA82" s="66">
        <f t="shared" si="73"/>
        <v>6.9192828972624368E-2</v>
      </c>
      <c r="AB82" s="66">
        <f t="shared" si="73"/>
        <v>6.9149390984807269E-2</v>
      </c>
      <c r="AC82" s="66">
        <f t="shared" si="73"/>
        <v>6.9105203232298421E-2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0.16008550383733161</v>
      </c>
      <c r="C85" s="67">
        <f t="shared" ref="C85:AC85" si="76">C74+C75+C76+C77+C78+C79+C80+C81+C82+C83+C84</f>
        <v>0.15927108242717111</v>
      </c>
      <c r="D85" s="67">
        <f t="shared" si="76"/>
        <v>0.15846347095000207</v>
      </c>
      <c r="E85" s="67">
        <f t="shared" si="76"/>
        <v>0.15766588881698124</v>
      </c>
      <c r="F85" s="67">
        <f t="shared" si="76"/>
        <v>0.15688288706980683</v>
      </c>
      <c r="G85" s="67">
        <f t="shared" si="76"/>
        <v>0.15612070653913285</v>
      </c>
      <c r="H85" s="67">
        <f t="shared" si="76"/>
        <v>0.15538752305214107</v>
      </c>
      <c r="I85" s="67">
        <f t="shared" si="76"/>
        <v>0.1546933151546464</v>
      </c>
      <c r="J85" s="67">
        <f t="shared" si="76"/>
        <v>0.15472683430967626</v>
      </c>
      <c r="K85" s="67">
        <f t="shared" si="76"/>
        <v>0.15480341556753688</v>
      </c>
      <c r="L85" s="67">
        <f t="shared" si="76"/>
        <v>0.15492277051636621</v>
      </c>
      <c r="M85" s="67">
        <f t="shared" si="76"/>
        <v>0.15507712829099893</v>
      </c>
      <c r="N85" s="67">
        <f t="shared" si="76"/>
        <v>0.15525072016905569</v>
      </c>
      <c r="O85" s="67">
        <f t="shared" si="76"/>
        <v>0.15542273860212891</v>
      </c>
      <c r="P85" s="67">
        <f t="shared" si="76"/>
        <v>0.15557300618592901</v>
      </c>
      <c r="Q85" s="67">
        <f t="shared" si="76"/>
        <v>0.15568733639311333</v>
      </c>
      <c r="R85" s="67">
        <f t="shared" si="76"/>
        <v>0.15575980251134675</v>
      </c>
      <c r="S85" s="67">
        <f t="shared" si="76"/>
        <v>0.15579160428280986</v>
      </c>
      <c r="T85" s="67">
        <f t="shared" si="76"/>
        <v>0.1557882315999338</v>
      </c>
      <c r="U85" s="67">
        <f t="shared" si="76"/>
        <v>0.15575673153295702</v>
      </c>
      <c r="V85" s="67">
        <f t="shared" si="76"/>
        <v>0.15570392132084804</v>
      </c>
      <c r="W85" s="67">
        <f t="shared" si="76"/>
        <v>0.15563555380521404</v>
      </c>
      <c r="X85" s="67">
        <f t="shared" si="76"/>
        <v>0.15555611337024963</v>
      </c>
      <c r="Y85" s="67">
        <f t="shared" si="76"/>
        <v>0.15546892677318974</v>
      </c>
      <c r="Z85" s="67">
        <f t="shared" si="76"/>
        <v>0.15537638441206875</v>
      </c>
      <c r="AA85" s="67">
        <f t="shared" si="76"/>
        <v>0.15528016827275887</v>
      </c>
      <c r="AB85" s="67">
        <f t="shared" si="76"/>
        <v>0.15518144557317454</v>
      </c>
      <c r="AC85" s="67">
        <f t="shared" si="76"/>
        <v>0.15508101886292719</v>
      </c>
    </row>
    <row r="87" spans="1:29" x14ac:dyDescent="0.25">
      <c r="B87" s="40"/>
    </row>
    <row r="107" spans="1:2" s="3" customFormat="1" ht="21" x14ac:dyDescent="0.35">
      <c r="A107" s="2" t="str">
        <f>'Parameter Input'!A88</f>
        <v>Road long-haul: Liquid bulk</v>
      </c>
    </row>
    <row r="108" spans="1:2" s="3" customFormat="1" ht="21" x14ac:dyDescent="0.35">
      <c r="A108" s="2" t="s">
        <v>100</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Input'!L77</f>
        <v>105000</v>
      </c>
      <c r="C117" s="42">
        <f>'Parameter Input'!M77</f>
        <v>115000</v>
      </c>
      <c r="D117" s="1" t="s">
        <v>138</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151</v>
      </c>
      <c r="B118" s="60">
        <f>'Parameter Input'!L78</f>
        <v>-26250</v>
      </c>
      <c r="C118" s="61">
        <f>'Parameter Input'!M78</f>
        <v>-17250</v>
      </c>
      <c r="D118" s="1" t="s">
        <v>138</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203</v>
      </c>
      <c r="B121" s="60">
        <f>'Parameter Input'!L84</f>
        <v>0.06</v>
      </c>
      <c r="C121" s="61">
        <f>'Parameter Input'!M84</f>
        <v>0.06</v>
      </c>
      <c r="D121" s="1" t="s">
        <v>180</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175</v>
      </c>
      <c r="B123" s="60">
        <f>'Parameter Input'!L80</f>
        <v>20000</v>
      </c>
      <c r="C123" s="61">
        <f>'Parameter Input'!M80</f>
        <v>20000</v>
      </c>
      <c r="D123" s="1" t="s">
        <v>161</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183</v>
      </c>
      <c r="B125" s="78">
        <f>'Parameter Input'!L81</f>
        <v>2.9</v>
      </c>
      <c r="C125" s="61">
        <f>'Parameter Input'!M81</f>
        <v>2.4</v>
      </c>
      <c r="D125" s="1" t="s">
        <v>184</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191</v>
      </c>
      <c r="B126" s="79">
        <f>'Parameter Input'!L82</f>
        <v>0.1</v>
      </c>
      <c r="C126" s="61">
        <f>'Parameter Input'!M82</f>
        <v>0.1</v>
      </c>
      <c r="D126" s="1" t="s">
        <v>94</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458</v>
      </c>
      <c r="B127" s="45">
        <f>'Parameter Input'!$L$85</f>
        <v>0</v>
      </c>
      <c r="C127" s="46">
        <f>'Parameter Input'!$M$85</f>
        <v>0</v>
      </c>
      <c r="D127" s="1" t="s">
        <v>200</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164</v>
      </c>
      <c r="B128" s="60">
        <f>'Parameter Input'!L79</f>
        <v>8</v>
      </c>
      <c r="C128" s="61">
        <f>'Parameter Input'!M79</f>
        <v>8</v>
      </c>
      <c r="D128" s="1" t="s">
        <v>165</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197</v>
      </c>
      <c r="B132" s="45">
        <f>'Parameter Input'!L83</f>
        <v>0</v>
      </c>
      <c r="C132" s="46">
        <f>'Parameter Input'!M83</f>
        <v>0</v>
      </c>
      <c r="D132" s="1" t="s">
        <v>180</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5.7951260504201685E-2</v>
      </c>
      <c r="C146" s="66">
        <f>'Parameter Input'!K8</f>
        <v>5.3954621848739497E-2</v>
      </c>
      <c r="D146" s="66">
        <f>'Parameter Input'!L8</f>
        <v>4.9957983193277315E-2</v>
      </c>
      <c r="E146" s="66">
        <f>'Parameter Input'!M8</f>
        <v>4.5961344537815127E-2</v>
      </c>
      <c r="F146" s="66">
        <f>'Parameter Input'!N8</f>
        <v>4.1964705882352946E-2</v>
      </c>
      <c r="G146" s="66">
        <f>'Parameter Input'!O8</f>
        <v>3.7968067226890764E-2</v>
      </c>
      <c r="H146" s="66">
        <f>'Parameter Input'!P8</f>
        <v>3.3971428571428583E-2</v>
      </c>
      <c r="I146" s="66">
        <f>'Parameter Input'!Q8</f>
        <v>2.9974789915966391E-2</v>
      </c>
      <c r="J146" s="66">
        <f>'Parameter Input'!R8</f>
        <v>2.9368157262905165E-2</v>
      </c>
      <c r="K146" s="66">
        <f>'Parameter Input'!S8</f>
        <v>2.8761524609843939E-2</v>
      </c>
      <c r="L146" s="66">
        <f>'Parameter Input'!T8</f>
        <v>2.8154891956782713E-2</v>
      </c>
      <c r="M146" s="66">
        <f>'Parameter Input'!U8</f>
        <v>2.7548259303721487E-2</v>
      </c>
      <c r="N146" s="66">
        <f>'Parameter Input'!V8</f>
        <v>2.6941626650660268E-2</v>
      </c>
      <c r="O146" s="66">
        <f>'Parameter Input'!W8</f>
        <v>2.6334993997599043E-2</v>
      </c>
      <c r="P146" s="66">
        <f>'Parameter Input'!X8</f>
        <v>2.5728361344537817E-2</v>
      </c>
      <c r="Q146" s="66">
        <f>'Parameter Input'!Y8</f>
        <v>2.5121728691476591E-2</v>
      </c>
      <c r="R146" s="66">
        <f>'Parameter Input'!Z8</f>
        <v>2.4515096038415365E-2</v>
      </c>
      <c r="S146" s="66">
        <f>'Parameter Input'!AA8</f>
        <v>2.3908463385354146E-2</v>
      </c>
      <c r="T146" s="66">
        <f>'Parameter Input'!AB8</f>
        <v>2.330183073229292E-2</v>
      </c>
      <c r="U146" s="66">
        <f>'Parameter Input'!AC8</f>
        <v>2.2695198079231694E-2</v>
      </c>
      <c r="V146" s="66">
        <f>'Parameter Input'!AD8</f>
        <v>2.2088565426170468E-2</v>
      </c>
      <c r="W146" s="66">
        <f>'Parameter Input'!AE8</f>
        <v>2.1481932773109242E-2</v>
      </c>
      <c r="X146" s="66">
        <f>'Parameter Input'!AF8</f>
        <v>2.0875300120048023E-2</v>
      </c>
      <c r="Y146" s="66">
        <f>'Parameter Input'!AG8</f>
        <v>2.0268667466986797E-2</v>
      </c>
      <c r="Z146" s="66">
        <f>'Parameter Input'!AH8</f>
        <v>1.9662034813925571E-2</v>
      </c>
      <c r="AA146" s="66">
        <f>'Parameter Input'!AI8</f>
        <v>1.9055402160864345E-2</v>
      </c>
      <c r="AB146" s="66">
        <f>'Parameter Input'!AJ8</f>
        <v>1.8448769507803119E-2</v>
      </c>
      <c r="AC146" s="66">
        <f>'Parameter Input'!AK8</f>
        <v>1.78421368547419E-2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197</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18444.372669870434</v>
      </c>
      <c r="C163" s="62">
        <f t="shared" si="153"/>
        <v>17155.572367738438</v>
      </c>
      <c r="D163" s="62">
        <f t="shared" si="153"/>
        <v>15862.735962338846</v>
      </c>
      <c r="E163" s="62">
        <f t="shared" si="153"/>
        <v>14565.040525465369</v>
      </c>
      <c r="F163" s="62">
        <f t="shared" si="153"/>
        <v>13261.754878600472</v>
      </c>
      <c r="G163" s="62">
        <f t="shared" si="153"/>
        <v>11952.487972073137</v>
      </c>
      <c r="H163" s="62">
        <f t="shared" si="153"/>
        <v>10637.607784287724</v>
      </c>
      <c r="I163" s="62">
        <f t="shared" si="153"/>
        <v>9318.8624109230968</v>
      </c>
      <c r="J163" s="62">
        <f t="shared" si="153"/>
        <v>9044.1212468291651</v>
      </c>
      <c r="K163" s="62">
        <f t="shared" si="153"/>
        <v>8751.0602911993046</v>
      </c>
      <c r="L163" s="62">
        <f t="shared" si="153"/>
        <v>8441.6833987589871</v>
      </c>
      <c r="M163" s="62">
        <f t="shared" si="153"/>
        <v>8121.7154478780958</v>
      </c>
      <c r="N163" s="62">
        <f t="shared" si="153"/>
        <v>7800.3075883128231</v>
      </c>
      <c r="O163" s="62">
        <f t="shared" si="153"/>
        <v>7488.0619127096816</v>
      </c>
      <c r="P163" s="62">
        <f t="shared" si="153"/>
        <v>7194.0787687532957</v>
      </c>
      <c r="Q163" s="62">
        <f t="shared" si="153"/>
        <v>6923.6361659784716</v>
      </c>
      <c r="R163" s="62">
        <f t="shared" si="153"/>
        <v>6677.658545076375</v>
      </c>
      <c r="S163" s="62">
        <f t="shared" si="153"/>
        <v>6453.7873398039337</v>
      </c>
      <c r="T163" s="62">
        <f t="shared" si="153"/>
        <v>6248.0297649050381</v>
      </c>
      <c r="U163" s="62">
        <f t="shared" si="153"/>
        <v>6056.1195583097979</v>
      </c>
      <c r="V163" s="62">
        <f t="shared" si="153"/>
        <v>5874.2895364200076</v>
      </c>
      <c r="W163" s="62">
        <f t="shared" si="153"/>
        <v>5699.5502989775969</v>
      </c>
      <c r="X163" s="62">
        <f t="shared" si="153"/>
        <v>5529.6817000221508</v>
      </c>
      <c r="Y163" s="62">
        <f t="shared" si="153"/>
        <v>5363.1040706938729</v>
      </c>
      <c r="Z163" s="62">
        <f t="shared" si="153"/>
        <v>5198.7248344854579</v>
      </c>
      <c r="AA163" s="62">
        <f t="shared" si="153"/>
        <v>5035.8025026664045</v>
      </c>
      <c r="AB163" s="62">
        <f t="shared" si="153"/>
        <v>4873.8402704695691</v>
      </c>
      <c r="AC163" s="62">
        <f t="shared" si="153"/>
        <v>4712.5081854780647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504</v>
      </c>
      <c r="B165" s="64">
        <f>B156+B157+B158+B159+B160+B161+B162+B163+B164</f>
        <v>139380.40563064694</v>
      </c>
      <c r="C165" s="64">
        <f t="shared" ref="C165:AC165" si="155">C156+C157+C158+C159+C160+C161+C162+C163+C164</f>
        <v>138108.90099375733</v>
      </c>
      <c r="D165" s="64">
        <f t="shared" si="155"/>
        <v>136840.6219536374</v>
      </c>
      <c r="E165" s="64">
        <f t="shared" si="155"/>
        <v>135577.63599277459</v>
      </c>
      <c r="F165" s="64">
        <f t="shared" si="155"/>
        <v>134323.08182401786</v>
      </c>
      <c r="G165" s="64">
        <f t="shared" si="155"/>
        <v>133081.56936213523</v>
      </c>
      <c r="H165" s="64">
        <f t="shared" si="155"/>
        <v>131859.57798325885</v>
      </c>
      <c r="I165" s="64">
        <f t="shared" si="155"/>
        <v>130665.66521550565</v>
      </c>
      <c r="J165" s="64">
        <f t="shared" si="155"/>
        <v>130554.10438283166</v>
      </c>
      <c r="K165" s="64">
        <f t="shared" si="155"/>
        <v>130466.54147356941</v>
      </c>
      <c r="L165" s="64">
        <f t="shared" si="155"/>
        <v>130403.75633794785</v>
      </c>
      <c r="M165" s="64">
        <f t="shared" si="155"/>
        <v>130362.62784897459</v>
      </c>
      <c r="N165" s="64">
        <f t="shared" si="155"/>
        <v>130335.58966529566</v>
      </c>
      <c r="O165" s="64">
        <f t="shared" si="155"/>
        <v>130311.92102096048</v>
      </c>
      <c r="P165" s="64">
        <f t="shared" si="155"/>
        <v>130280.63548850836</v>
      </c>
      <c r="Q165" s="64">
        <f t="shared" si="155"/>
        <v>130233.44844665288</v>
      </c>
      <c r="R165" s="64">
        <f t="shared" si="155"/>
        <v>130166.25854724155</v>
      </c>
      <c r="S165" s="64">
        <f t="shared" si="155"/>
        <v>130078.8103086319</v>
      </c>
      <c r="T165" s="64">
        <f t="shared" si="155"/>
        <v>129973.33455536791</v>
      </c>
      <c r="U165" s="64">
        <f t="shared" si="155"/>
        <v>129853.12440049817</v>
      </c>
      <c r="V165" s="64">
        <f t="shared" si="155"/>
        <v>129721.54552622937</v>
      </c>
      <c r="W165" s="64">
        <f t="shared" si="155"/>
        <v>129581.53292046998</v>
      </c>
      <c r="X165" s="64">
        <f t="shared" si="155"/>
        <v>129435.42948606967</v>
      </c>
      <c r="Y165" s="64">
        <f t="shared" si="155"/>
        <v>129285.00699166939</v>
      </c>
      <c r="Z165" s="64">
        <f t="shared" si="155"/>
        <v>129131.55975550205</v>
      </c>
      <c r="AA165" s="64">
        <f t="shared" si="155"/>
        <v>128976.01216232392</v>
      </c>
      <c r="AB165" s="64">
        <f t="shared" si="155"/>
        <v>128819.01456754556</v>
      </c>
      <c r="AC165" s="64">
        <f t="shared" si="155"/>
        <v>128661.01995815933</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0.16156131115706768</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0.16767611518064032</v>
      </c>
      <c r="C175" s="66">
        <f t="shared" si="165"/>
        <v>0.15595974879762217</v>
      </c>
      <c r="D175" s="66">
        <f t="shared" si="165"/>
        <v>0.14420669056671678</v>
      </c>
      <c r="E175" s="66">
        <f t="shared" si="165"/>
        <v>0.13240945932241244</v>
      </c>
      <c r="F175" s="66">
        <f t="shared" si="165"/>
        <v>0.12056140798727702</v>
      </c>
      <c r="G175" s="66">
        <f t="shared" si="165"/>
        <v>0.10865898156430125</v>
      </c>
      <c r="H175" s="66">
        <f t="shared" si="165"/>
        <v>9.6705525311706578E-2</v>
      </c>
      <c r="I175" s="66">
        <f t="shared" si="165"/>
        <v>8.4716931008391783E-2</v>
      </c>
      <c r="J175" s="66">
        <f t="shared" si="165"/>
        <v>8.2219284062083314E-2</v>
      </c>
      <c r="K175" s="66">
        <f t="shared" si="165"/>
        <v>7.9555093556357315E-2</v>
      </c>
      <c r="L175" s="66">
        <f t="shared" si="165"/>
        <v>7.674257635235443E-2</v>
      </c>
      <c r="M175" s="66">
        <f t="shared" si="165"/>
        <v>7.3833776798891776E-2</v>
      </c>
      <c r="N175" s="66">
        <f t="shared" si="165"/>
        <v>7.0911887166480211E-2</v>
      </c>
      <c r="O175" s="66">
        <f t="shared" si="165"/>
        <v>6.8073290115542556E-2</v>
      </c>
      <c r="P175" s="66">
        <f t="shared" si="165"/>
        <v>6.5400716079575413E-2</v>
      </c>
      <c r="Q175" s="66">
        <f t="shared" si="165"/>
        <v>6.2942146963440651E-2</v>
      </c>
      <c r="R175" s="66">
        <f t="shared" si="165"/>
        <v>6.0705986773421594E-2</v>
      </c>
      <c r="S175" s="66">
        <f t="shared" si="165"/>
        <v>5.8670793998217577E-2</v>
      </c>
      <c r="T175" s="66">
        <f t="shared" si="165"/>
        <v>5.6800270590045804E-2</v>
      </c>
      <c r="U175" s="66">
        <f t="shared" si="165"/>
        <v>5.5055632348270891E-2</v>
      </c>
      <c r="V175" s="66">
        <f t="shared" si="165"/>
        <v>5.3402632149272794E-2</v>
      </c>
      <c r="W175" s="66">
        <f t="shared" si="165"/>
        <v>5.1814093627069062E-2</v>
      </c>
      <c r="X175" s="66">
        <f t="shared" si="165"/>
        <v>5.0269833636565009E-2</v>
      </c>
      <c r="Y175" s="66">
        <f t="shared" si="165"/>
        <v>4.8755491551762481E-2</v>
      </c>
      <c r="Z175" s="66">
        <f t="shared" si="165"/>
        <v>4.7261134858958706E-2</v>
      </c>
      <c r="AA175" s="66">
        <f t="shared" si="165"/>
        <v>4.5780022751512765E-2</v>
      </c>
      <c r="AB175" s="66">
        <f t="shared" si="165"/>
        <v>4.4307638822450625E-2</v>
      </c>
      <c r="AC175" s="66">
        <f t="shared" si="165"/>
        <v>4.2840983504346043E-2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187</v>
      </c>
      <c r="B177" s="76">
        <f>B168+B169+B170-B171+B172+B173+B174+B175+B176</f>
        <v>1.3041494943387133</v>
      </c>
      <c r="C177" s="76">
        <f t="shared" ref="C177:AC177" si="167">C168+C169+C170-C171+C172+C173+C174+C175+C176</f>
        <v>1.2925903612760805</v>
      </c>
      <c r="D177" s="76">
        <f t="shared" si="167"/>
        <v>1.2810605518204448</v>
      </c>
      <c r="E177" s="76">
        <f t="shared" si="167"/>
        <v>1.2695788612671466</v>
      </c>
      <c r="F177" s="76">
        <f t="shared" si="167"/>
        <v>1.258173823369358</v>
      </c>
      <c r="G177" s="76">
        <f t="shared" si="167"/>
        <v>1.2468873464431522</v>
      </c>
      <c r="H177" s="76">
        <f t="shared" si="167"/>
        <v>1.2357783339079127</v>
      </c>
      <c r="I177" s="76">
        <f t="shared" si="167"/>
        <v>1.2249245814737924</v>
      </c>
      <c r="J177" s="76">
        <f t="shared" si="167"/>
        <v>1.2239103920858472</v>
      </c>
      <c r="K177" s="76">
        <f t="shared" si="167"/>
        <v>1.2231143656380086</v>
      </c>
      <c r="L177" s="76">
        <f t="shared" si="167"/>
        <v>1.2225435916778125</v>
      </c>
      <c r="M177" s="76">
        <f t="shared" si="167"/>
        <v>1.22216969632351</v>
      </c>
      <c r="N177" s="76">
        <f t="shared" si="167"/>
        <v>1.2219238946537017</v>
      </c>
      <c r="O177" s="76">
        <f t="shared" si="167"/>
        <v>1.2217087251597454</v>
      </c>
      <c r="P177" s="76">
        <f t="shared" si="167"/>
        <v>1.2214243112283623</v>
      </c>
      <c r="Q177" s="76">
        <f t="shared" si="167"/>
        <v>1.2209953381205854</v>
      </c>
      <c r="R177" s="76">
        <f t="shared" si="167"/>
        <v>1.2203845208532098</v>
      </c>
      <c r="S177" s="76">
        <f t="shared" si="167"/>
        <v>1.2195895368658494</v>
      </c>
      <c r="T177" s="76">
        <f t="shared" si="167"/>
        <v>1.2186306663816313</v>
      </c>
      <c r="U177" s="76">
        <f t="shared" si="167"/>
        <v>1.2175378467919062</v>
      </c>
      <c r="V177" s="76">
        <f t="shared" si="167"/>
        <v>1.2163416752076446</v>
      </c>
      <c r="W177" s="76">
        <f t="shared" si="167"/>
        <v>1.2150688333371047</v>
      </c>
      <c r="X177" s="76">
        <f t="shared" si="167"/>
        <v>1.2137406202971017</v>
      </c>
      <c r="Y177" s="76">
        <f t="shared" si="167"/>
        <v>1.2123731430752811</v>
      </c>
      <c r="Z177" s="76">
        <f t="shared" si="167"/>
        <v>1.2109781682010323</v>
      </c>
      <c r="AA177" s="76">
        <f t="shared" si="167"/>
        <v>1.2095640991721404</v>
      </c>
      <c r="AB177" s="76">
        <f t="shared" si="167"/>
        <v>1.208136848310519</v>
      </c>
      <c r="AC177" s="76">
        <f t="shared" si="167"/>
        <v>1.206700533679735</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6.4624524462827074E-3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6.7070446072256132E-3</v>
      </c>
      <c r="C187" s="66">
        <f t="shared" si="177"/>
        <v>6.2383899519048869E-3</v>
      </c>
      <c r="D187" s="66">
        <f t="shared" si="177"/>
        <v>5.7682676226686715E-3</v>
      </c>
      <c r="E187" s="66">
        <f t="shared" si="177"/>
        <v>5.2963783728964976E-3</v>
      </c>
      <c r="F187" s="66">
        <f t="shared" si="177"/>
        <v>4.8224563194910804E-3</v>
      </c>
      <c r="G187" s="66">
        <f t="shared" si="177"/>
        <v>4.3463592625720502E-3</v>
      </c>
      <c r="H187" s="66">
        <f t="shared" si="177"/>
        <v>3.8682210124682632E-3</v>
      </c>
      <c r="I187" s="66">
        <f t="shared" si="177"/>
        <v>3.3886772403356712E-3</v>
      </c>
      <c r="J187" s="66">
        <f t="shared" si="177"/>
        <v>3.2887713624833326E-3</v>
      </c>
      <c r="K187" s="66">
        <f t="shared" si="177"/>
        <v>3.1822037422542925E-3</v>
      </c>
      <c r="L187" s="66">
        <f t="shared" si="177"/>
        <v>3.0697030540941771E-3</v>
      </c>
      <c r="M187" s="66">
        <f t="shared" si="177"/>
        <v>2.9533510719556709E-3</v>
      </c>
      <c r="N187" s="66">
        <f t="shared" si="177"/>
        <v>2.8364754866592084E-3</v>
      </c>
      <c r="O187" s="66">
        <f t="shared" si="177"/>
        <v>2.7229316046217021E-3</v>
      </c>
      <c r="P187" s="66">
        <f t="shared" si="177"/>
        <v>2.6160286431830167E-3</v>
      </c>
      <c r="Q187" s="66">
        <f t="shared" si="177"/>
        <v>2.5176858785376259E-3</v>
      </c>
      <c r="R187" s="66">
        <f t="shared" si="177"/>
        <v>2.4282394709368637E-3</v>
      </c>
      <c r="S187" s="66">
        <f t="shared" si="177"/>
        <v>2.346831759928703E-3</v>
      </c>
      <c r="T187" s="66">
        <f t="shared" si="177"/>
        <v>2.2720108236018322E-3</v>
      </c>
      <c r="U187" s="66">
        <f t="shared" si="177"/>
        <v>2.2022252939308358E-3</v>
      </c>
      <c r="V187" s="66">
        <f t="shared" si="177"/>
        <v>2.1361052859709116E-3</v>
      </c>
      <c r="W187" s="66">
        <f t="shared" si="177"/>
        <v>2.0725637450827623E-3</v>
      </c>
      <c r="X187" s="66">
        <f t="shared" si="177"/>
        <v>2.0107933454626002E-3</v>
      </c>
      <c r="Y187" s="66">
        <f t="shared" si="177"/>
        <v>1.9502196620704993E-3</v>
      </c>
      <c r="Z187" s="66">
        <f t="shared" si="177"/>
        <v>1.8904453943583482E-3</v>
      </c>
      <c r="AA187" s="66">
        <f t="shared" si="177"/>
        <v>1.8312009100605105E-3</v>
      </c>
      <c r="AB187" s="66">
        <f t="shared" si="177"/>
        <v>1.772305552898025E-3</v>
      </c>
      <c r="AC187" s="66">
        <f t="shared" si="177"/>
        <v>1.7136393401738417E-3</v>
      </c>
    </row>
    <row r="188" spans="1:29" x14ac:dyDescent="0.25">
      <c r="A188" s="59" t="str">
        <f>A151</f>
        <v>Market failure (av. utilization)</v>
      </c>
      <c r="B188" s="66">
        <f t="shared" ref="B188:AC188" si="178">B177/B151-B177/B150</f>
        <v>2.9343363622621049E-2</v>
      </c>
      <c r="C188" s="66">
        <f t="shared" si="178"/>
        <v>2.9083283128711813E-2</v>
      </c>
      <c r="D188" s="66">
        <f t="shared" si="178"/>
        <v>2.8823862415960008E-2</v>
      </c>
      <c r="E188" s="66">
        <f t="shared" si="178"/>
        <v>2.8565524378510801E-2</v>
      </c>
      <c r="F188" s="66">
        <f t="shared" si="178"/>
        <v>2.8308911025810554E-2</v>
      </c>
      <c r="G188" s="66">
        <f t="shared" si="178"/>
        <v>2.8054965294970924E-2</v>
      </c>
      <c r="H188" s="66">
        <f t="shared" si="178"/>
        <v>2.7805012512928037E-2</v>
      </c>
      <c r="I188" s="66">
        <f t="shared" si="178"/>
        <v>2.7560803083160328E-2</v>
      </c>
      <c r="J188" s="66">
        <f t="shared" si="178"/>
        <v>2.753798382193156E-2</v>
      </c>
      <c r="K188" s="66">
        <f t="shared" si="178"/>
        <v>2.7520073226855193E-2</v>
      </c>
      <c r="L188" s="66">
        <f t="shared" si="178"/>
        <v>2.7507230812750777E-2</v>
      </c>
      <c r="M188" s="66">
        <f t="shared" si="178"/>
        <v>2.7498818167278977E-2</v>
      </c>
      <c r="N188" s="66">
        <f t="shared" si="178"/>
        <v>2.7493287629708291E-2</v>
      </c>
      <c r="O188" s="66">
        <f t="shared" si="178"/>
        <v>2.7488446316094269E-2</v>
      </c>
      <c r="P188" s="66">
        <f t="shared" si="178"/>
        <v>2.7482047002638149E-2</v>
      </c>
      <c r="Q188" s="66">
        <f t="shared" si="178"/>
        <v>2.7472395107713168E-2</v>
      </c>
      <c r="R188" s="66">
        <f t="shared" si="178"/>
        <v>2.7458651719197223E-2</v>
      </c>
      <c r="S188" s="66">
        <f t="shared" si="178"/>
        <v>2.7440764579481608E-2</v>
      </c>
      <c r="T188" s="66">
        <f t="shared" si="178"/>
        <v>2.7419189993586703E-2</v>
      </c>
      <c r="U188" s="66">
        <f t="shared" si="178"/>
        <v>2.7394601552817893E-2</v>
      </c>
      <c r="V188" s="66">
        <f t="shared" si="178"/>
        <v>2.7367687692172002E-2</v>
      </c>
      <c r="W188" s="66">
        <f t="shared" si="178"/>
        <v>2.7339048750084853E-2</v>
      </c>
      <c r="X188" s="66">
        <f t="shared" si="178"/>
        <v>2.7309163956684791E-2</v>
      </c>
      <c r="Y188" s="66">
        <f t="shared" si="178"/>
        <v>2.7278395719193826E-2</v>
      </c>
      <c r="Z188" s="66">
        <f t="shared" si="178"/>
        <v>2.7247008784523227E-2</v>
      </c>
      <c r="AA188" s="66">
        <f t="shared" si="178"/>
        <v>2.7215192231373156E-2</v>
      </c>
      <c r="AB188" s="66">
        <f t="shared" si="178"/>
        <v>2.7183079086986681E-2</v>
      </c>
      <c r="AC188" s="66">
        <f t="shared" si="178"/>
        <v>2.7150762007794038E-2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505</v>
      </c>
      <c r="B191" s="67">
        <f>B180+B181+B182+B183+B184+B185+B186+B187+B188+B189+B190</f>
        <v>8.0027147488310843E-2</v>
      </c>
      <c r="C191" s="67">
        <f t="shared" ref="C191:AC191" si="181">C180+C181+C182+C183+C184+C185+C186+C187+C188+C189+C190</f>
        <v>7.9304701671896294E-2</v>
      </c>
      <c r="D191" s="67">
        <f t="shared" si="181"/>
        <v>7.8584088580919059E-2</v>
      </c>
      <c r="E191" s="67">
        <f t="shared" si="181"/>
        <v>7.7866482921337937E-2</v>
      </c>
      <c r="F191" s="67">
        <f t="shared" si="181"/>
        <v>7.7153668052726138E-2</v>
      </c>
      <c r="G191" s="67">
        <f t="shared" si="181"/>
        <v>7.6448263244838277E-2</v>
      </c>
      <c r="H191" s="67">
        <f t="shared" si="181"/>
        <v>7.5753949961385805E-2</v>
      </c>
      <c r="I191" s="67">
        <f t="shared" si="181"/>
        <v>7.5075590434253298E-2</v>
      </c>
      <c r="J191" s="67">
        <f t="shared" si="181"/>
        <v>7.501220359750671E-2</v>
      </c>
      <c r="K191" s="67">
        <f t="shared" si="181"/>
        <v>7.4962451944516797E-2</v>
      </c>
      <c r="L191" s="67">
        <f t="shared" si="181"/>
        <v>7.492677857200454E-2</v>
      </c>
      <c r="M191" s="67">
        <f t="shared" si="181"/>
        <v>7.4903410112360652E-2</v>
      </c>
      <c r="N191" s="67">
        <f t="shared" si="181"/>
        <v>7.4888047507997629E-2</v>
      </c>
      <c r="O191" s="67">
        <f t="shared" si="181"/>
        <v>7.4874599414625348E-2</v>
      </c>
      <c r="P191" s="67">
        <f t="shared" si="181"/>
        <v>7.4856823543913917E-2</v>
      </c>
      <c r="Q191" s="67">
        <f t="shared" si="181"/>
        <v>7.4830012724677847E-2</v>
      </c>
      <c r="R191" s="67">
        <f t="shared" si="181"/>
        <v>7.4791836645466875E-2</v>
      </c>
      <c r="S191" s="67">
        <f t="shared" si="181"/>
        <v>7.4742150146256847E-2</v>
      </c>
      <c r="T191" s="67">
        <f t="shared" si="181"/>
        <v>7.4682220740993205E-2</v>
      </c>
      <c r="U191" s="67">
        <f t="shared" si="181"/>
        <v>7.4613919516635402E-2</v>
      </c>
      <c r="V191" s="67">
        <f t="shared" si="181"/>
        <v>7.4539158792619048E-2</v>
      </c>
      <c r="W191" s="67">
        <f t="shared" si="181"/>
        <v>7.4459606175710291E-2</v>
      </c>
      <c r="X191" s="67">
        <f t="shared" si="181"/>
        <v>7.437659286071012E-2</v>
      </c>
      <c r="Y191" s="67">
        <f t="shared" si="181"/>
        <v>7.4291125534346331E-2</v>
      </c>
      <c r="Z191" s="67">
        <f t="shared" si="181"/>
        <v>7.4203939604705782E-2</v>
      </c>
      <c r="AA191" s="67">
        <f t="shared" si="181"/>
        <v>7.4115560290400034E-2</v>
      </c>
      <c r="AB191" s="67">
        <f t="shared" si="181"/>
        <v>7.4026357111548702E-2</v>
      </c>
      <c r="AC191" s="67">
        <f t="shared" si="181"/>
        <v>7.393658744712471E-2</v>
      </c>
    </row>
    <row r="193" spans="2:2" x14ac:dyDescent="0.25">
      <c r="B193" s="40"/>
    </row>
    <row r="215" spans="1:44" s="3" customFormat="1" ht="21" x14ac:dyDescent="0.35">
      <c r="A215" s="2" t="str">
        <f>'Parameter Input'!A101</f>
        <v>Road long-haul: Container</v>
      </c>
    </row>
    <row r="216" spans="1:44" s="3" customFormat="1" ht="21" x14ac:dyDescent="0.35">
      <c r="A216" s="2" t="s">
        <v>100</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Input'!L77</f>
        <v>105000</v>
      </c>
      <c r="C225" s="42">
        <f>'Parameter Input'!M77</f>
        <v>115000</v>
      </c>
      <c r="D225" s="1" t="s">
        <v>138</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151</v>
      </c>
      <c r="B226" s="60">
        <f>'Parameter Input'!L78</f>
        <v>-26250</v>
      </c>
      <c r="C226" s="61">
        <f>'Parameter Input'!M78</f>
        <v>-17250</v>
      </c>
      <c r="D226" s="1" t="s">
        <v>138</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203</v>
      </c>
      <c r="B229" s="60">
        <f>'Parameter Input'!L84</f>
        <v>0.06</v>
      </c>
      <c r="C229" s="61">
        <f>'Parameter Input'!M84</f>
        <v>0.06</v>
      </c>
      <c r="D229" s="1" t="s">
        <v>180</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175</v>
      </c>
      <c r="B231" s="60">
        <f>'Parameter Input'!L80</f>
        <v>20000</v>
      </c>
      <c r="C231" s="61">
        <f>'Parameter Input'!M80</f>
        <v>20000</v>
      </c>
      <c r="D231" s="1" t="s">
        <v>161</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183</v>
      </c>
      <c r="B233" s="60">
        <f>'Parameter Input'!L81</f>
        <v>2.9</v>
      </c>
      <c r="C233" s="61">
        <f>'Parameter Input'!M81</f>
        <v>2.4</v>
      </c>
      <c r="D233" s="1" t="s">
        <v>184</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191</v>
      </c>
      <c r="B234" s="60">
        <f>'Parameter Input'!L82</f>
        <v>0.1</v>
      </c>
      <c r="C234" s="61">
        <f>'Parameter Input'!M82</f>
        <v>0.1</v>
      </c>
      <c r="D234" s="1" t="s">
        <v>94</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458</v>
      </c>
      <c r="B235" s="45">
        <f>'Parameter Input'!$L$85</f>
        <v>0</v>
      </c>
      <c r="C235" s="46">
        <f>'Parameter Input'!$M$85</f>
        <v>0</v>
      </c>
      <c r="D235" s="1" t="s">
        <v>200</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164</v>
      </c>
      <c r="B236" s="60">
        <f>'Parameter Input'!L79</f>
        <v>8</v>
      </c>
      <c r="C236" s="61">
        <f>'Parameter Input'!M79</f>
        <v>8</v>
      </c>
      <c r="D236" s="1" t="s">
        <v>165</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197</v>
      </c>
      <c r="B240" s="45">
        <f>'Parameter Input'!L83</f>
        <v>0</v>
      </c>
      <c r="C240" s="46">
        <f>'Parameter Input'!M83</f>
        <v>0</v>
      </c>
      <c r="D240" s="1" t="s">
        <v>180</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5.7951260504201685E-2</v>
      </c>
      <c r="C254" s="66">
        <f>'Parameter Input'!K8</f>
        <v>5.3954621848739497E-2</v>
      </c>
      <c r="D254" s="66">
        <f>'Parameter Input'!L8</f>
        <v>4.9957983193277315E-2</v>
      </c>
      <c r="E254" s="66">
        <f>'Parameter Input'!M8</f>
        <v>4.5961344537815127E-2</v>
      </c>
      <c r="F254" s="66">
        <f>'Parameter Input'!N8</f>
        <v>4.1964705882352946E-2</v>
      </c>
      <c r="G254" s="66">
        <f>'Parameter Input'!O8</f>
        <v>3.7968067226890764E-2</v>
      </c>
      <c r="H254" s="66">
        <f>'Parameter Input'!P8</f>
        <v>3.3971428571428583E-2</v>
      </c>
      <c r="I254" s="66">
        <f>'Parameter Input'!Q8</f>
        <v>2.9974789915966391E-2</v>
      </c>
      <c r="J254" s="66">
        <f>'Parameter Input'!R8</f>
        <v>2.9368157262905165E-2</v>
      </c>
      <c r="K254" s="66">
        <f>'Parameter Input'!S8</f>
        <v>2.8761524609843939E-2</v>
      </c>
      <c r="L254" s="66">
        <f>'Parameter Input'!T8</f>
        <v>2.8154891956782713E-2</v>
      </c>
      <c r="M254" s="66">
        <f>'Parameter Input'!U8</f>
        <v>2.7548259303721487E-2</v>
      </c>
      <c r="N254" s="66">
        <f>'Parameter Input'!V8</f>
        <v>2.6941626650660268E-2</v>
      </c>
      <c r="O254" s="66">
        <f>'Parameter Input'!W8</f>
        <v>2.6334993997599043E-2</v>
      </c>
      <c r="P254" s="66">
        <f>'Parameter Input'!X8</f>
        <v>2.5728361344537817E-2</v>
      </c>
      <c r="Q254" s="66">
        <f>'Parameter Input'!Y8</f>
        <v>2.5121728691476591E-2</v>
      </c>
      <c r="R254" s="66">
        <f>'Parameter Input'!Z8</f>
        <v>2.4515096038415365E-2</v>
      </c>
      <c r="S254" s="66">
        <f>'Parameter Input'!AA8</f>
        <v>2.3908463385354146E-2</v>
      </c>
      <c r="T254" s="66">
        <f>'Parameter Input'!AB8</f>
        <v>2.330183073229292E-2</v>
      </c>
      <c r="U254" s="66">
        <f>'Parameter Input'!AC8</f>
        <v>2.2695198079231694E-2</v>
      </c>
      <c r="V254" s="66">
        <f>'Parameter Input'!AD8</f>
        <v>2.2088565426170468E-2</v>
      </c>
      <c r="W254" s="66">
        <f>'Parameter Input'!AE8</f>
        <v>2.1481932773109242E-2</v>
      </c>
      <c r="X254" s="66">
        <f>'Parameter Input'!AF8</f>
        <v>2.0875300120048023E-2</v>
      </c>
      <c r="Y254" s="66">
        <f>'Parameter Input'!AG8</f>
        <v>2.0268667466986797E-2</v>
      </c>
      <c r="Z254" s="66">
        <f>'Parameter Input'!AH8</f>
        <v>1.9662034813925571E-2</v>
      </c>
      <c r="AA254" s="66">
        <f>'Parameter Input'!AI8</f>
        <v>1.9055402160864345E-2</v>
      </c>
      <c r="AB254" s="66">
        <f>'Parameter Input'!AJ8</f>
        <v>1.8448769507803119E-2</v>
      </c>
      <c r="AC254" s="66">
        <f>'Parameter Input'!AK8</f>
        <v>1.78421368547419E-2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197</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17605.992093967234</v>
      </c>
      <c r="C271" s="62">
        <f t="shared" ref="C271:AC271" si="258">C253*C254*C261</f>
        <v>16375.773623750329</v>
      </c>
      <c r="D271" s="62">
        <f t="shared" si="258"/>
        <v>15141.702509505261</v>
      </c>
      <c r="E271" s="62">
        <f t="shared" si="258"/>
        <v>13902.993228853305</v>
      </c>
      <c r="F271" s="62">
        <f t="shared" si="258"/>
        <v>12658.947838664088</v>
      </c>
      <c r="G271" s="62">
        <f t="shared" si="258"/>
        <v>11409.193064251631</v>
      </c>
      <c r="H271" s="62">
        <f t="shared" si="258"/>
        <v>10154.080157729191</v>
      </c>
      <c r="I271" s="62">
        <f t="shared" si="258"/>
        <v>8895.2777558811395</v>
      </c>
      <c r="J271" s="62">
        <f t="shared" si="258"/>
        <v>8633.0248265187474</v>
      </c>
      <c r="K271" s="62">
        <f t="shared" si="258"/>
        <v>8353.2848234175181</v>
      </c>
      <c r="L271" s="62">
        <f t="shared" si="258"/>
        <v>8057.9705169972149</v>
      </c>
      <c r="M271" s="62">
        <f t="shared" si="258"/>
        <v>7752.5465638836367</v>
      </c>
      <c r="N271" s="62">
        <f t="shared" si="258"/>
        <v>7445.7481524804225</v>
      </c>
      <c r="O271" s="62">
        <f t="shared" si="258"/>
        <v>7147.6954621319683</v>
      </c>
      <c r="P271" s="62">
        <f t="shared" si="258"/>
        <v>6867.0751883554185</v>
      </c>
      <c r="Q271" s="62">
        <f t="shared" si="258"/>
        <v>6608.9254311612685</v>
      </c>
      <c r="R271" s="62">
        <f t="shared" si="258"/>
        <v>6374.1286112092675</v>
      </c>
      <c r="S271" s="62">
        <f t="shared" si="258"/>
        <v>6160.4333698128457</v>
      </c>
      <c r="T271" s="62">
        <f t="shared" si="258"/>
        <v>5964.0284119548087</v>
      </c>
      <c r="U271" s="62">
        <f t="shared" si="258"/>
        <v>5780.841396568444</v>
      </c>
      <c r="V271" s="62">
        <f t="shared" si="258"/>
        <v>5607.2763756736431</v>
      </c>
      <c r="W271" s="62">
        <f t="shared" si="258"/>
        <v>5440.4798308422514</v>
      </c>
      <c r="X271" s="62">
        <f t="shared" si="258"/>
        <v>5278.3325318393263</v>
      </c>
      <c r="Y271" s="62">
        <f t="shared" si="258"/>
        <v>5119.3266129350604</v>
      </c>
      <c r="Z271" s="62">
        <f t="shared" si="258"/>
        <v>4962.4191601906641</v>
      </c>
      <c r="AA271" s="62">
        <f t="shared" si="258"/>
        <v>4806.9023889088403</v>
      </c>
      <c r="AB271" s="62">
        <f t="shared" si="258"/>
        <v>4652.3020763573159</v>
      </c>
      <c r="AC271" s="62">
        <f t="shared" si="258"/>
        <v>4498.3032679563348</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504</v>
      </c>
      <c r="B273" s="64">
        <f>B264+B265+B266+B267+B268+B269+B270+B271+B272</f>
        <v>134934.9959947851</v>
      </c>
      <c r="C273" s="64">
        <f t="shared" ref="C273:AC273" si="260">C264+C265+C266+C267+C268+C269+C270+C271+C272</f>
        <v>133722.07318981059</v>
      </c>
      <c r="D273" s="64">
        <f t="shared" si="260"/>
        <v>132512.55944084519</v>
      </c>
      <c r="E273" s="64">
        <f t="shared" si="260"/>
        <v>131308.55963620389</v>
      </c>
      <c r="F273" s="64">
        <f t="shared" si="260"/>
        <v>130113.24572412284</v>
      </c>
      <c r="G273" s="64">
        <f t="shared" si="260"/>
        <v>128931.24539435506</v>
      </c>
      <c r="H273" s="64">
        <f t="shared" si="260"/>
        <v>127769.02129674169</v>
      </c>
      <c r="I273" s="64">
        <f t="shared" si="260"/>
        <v>126635.05150050505</v>
      </c>
      <c r="J273" s="64">
        <f t="shared" si="260"/>
        <v>126535.97890256261</v>
      </c>
      <c r="K273" s="64">
        <f t="shared" si="260"/>
        <v>126461.73694582898</v>
      </c>
      <c r="L273" s="64">
        <f t="shared" si="260"/>
        <v>126413.01439622745</v>
      </c>
      <c r="M273" s="64">
        <f t="shared" si="260"/>
        <v>126386.42990502149</v>
      </c>
      <c r="N273" s="64">
        <f t="shared" si="260"/>
        <v>126374.00116950463</v>
      </c>
      <c r="O273" s="64">
        <f t="shared" si="260"/>
        <v>126364.52551042414</v>
      </c>
      <c r="P273" s="64">
        <f t="shared" si="260"/>
        <v>126346.60284815183</v>
      </c>
      <c r="Q273" s="64">
        <f t="shared" si="260"/>
        <v>126311.70865187704</v>
      </c>
      <c r="R273" s="64">
        <f t="shared" si="260"/>
        <v>126255.6995534158</v>
      </c>
      <c r="S273" s="64">
        <f t="shared" si="260"/>
        <v>126178.42727868218</v>
      </c>
      <c r="T273" s="64">
        <f t="shared" si="260"/>
        <v>126082.30414245906</v>
      </c>
      <c r="U273" s="64">
        <f t="shared" si="260"/>
        <v>125970.81717879818</v>
      </c>
      <c r="V273" s="64">
        <f t="shared" si="260"/>
        <v>125847.50330552437</v>
      </c>
      <c r="W273" s="64">
        <f t="shared" si="260"/>
        <v>125715.433392376</v>
      </c>
      <c r="X273" s="64">
        <f t="shared" si="260"/>
        <v>125577.05125792821</v>
      </c>
      <c r="Y273" s="64">
        <f t="shared" si="260"/>
        <v>125434.20047395196</v>
      </c>
      <c r="Z273" s="64">
        <f t="shared" si="260"/>
        <v>125288.22502124861</v>
      </c>
      <c r="AA273" s="64">
        <f t="shared" si="260"/>
        <v>125140.08298860773</v>
      </c>
      <c r="AB273" s="64">
        <f t="shared" si="260"/>
        <v>124990.44731347468</v>
      </c>
      <c r="AC273" s="64">
        <f t="shared" si="260"/>
        <v>124839.78598067898</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0.16767611518064032</v>
      </c>
      <c r="C283" s="66">
        <f t="shared" ref="C283:AC283" si="269">C253*C254*C261/C261</f>
        <v>0.15595974879762217</v>
      </c>
      <c r="D283" s="66">
        <f t="shared" si="269"/>
        <v>0.14420669056671678</v>
      </c>
      <c r="E283" s="66">
        <f t="shared" si="269"/>
        <v>0.13240945932241244</v>
      </c>
      <c r="F283" s="66">
        <f t="shared" si="269"/>
        <v>0.12056140798727702</v>
      </c>
      <c r="G283" s="66">
        <f t="shared" si="269"/>
        <v>0.10865898156430125</v>
      </c>
      <c r="H283" s="66">
        <f t="shared" si="269"/>
        <v>9.6705525311706578E-2</v>
      </c>
      <c r="I283" s="66">
        <f t="shared" si="269"/>
        <v>8.471693100839181E-2</v>
      </c>
      <c r="J283" s="66">
        <f t="shared" si="269"/>
        <v>8.2219284062083314E-2</v>
      </c>
      <c r="K283" s="66">
        <f t="shared" si="269"/>
        <v>7.9555093556357315E-2</v>
      </c>
      <c r="L283" s="66">
        <f t="shared" si="269"/>
        <v>7.674257635235443E-2</v>
      </c>
      <c r="M283" s="66">
        <f t="shared" si="269"/>
        <v>7.3833776798891776E-2</v>
      </c>
      <c r="N283" s="66">
        <f t="shared" si="269"/>
        <v>7.0911887166480211E-2</v>
      </c>
      <c r="O283" s="66">
        <f t="shared" si="269"/>
        <v>6.8073290115542556E-2</v>
      </c>
      <c r="P283" s="66">
        <f t="shared" si="269"/>
        <v>6.5400716079575413E-2</v>
      </c>
      <c r="Q283" s="66">
        <f t="shared" si="269"/>
        <v>6.2942146963440651E-2</v>
      </c>
      <c r="R283" s="66">
        <f t="shared" si="269"/>
        <v>6.0705986773421594E-2</v>
      </c>
      <c r="S283" s="66">
        <f t="shared" si="269"/>
        <v>5.8670793998217577E-2</v>
      </c>
      <c r="T283" s="66">
        <f t="shared" si="269"/>
        <v>5.6800270590045797E-2</v>
      </c>
      <c r="U283" s="66">
        <f t="shared" si="269"/>
        <v>5.5055632348270898E-2</v>
      </c>
      <c r="V283" s="66">
        <f t="shared" si="269"/>
        <v>5.3402632149272794E-2</v>
      </c>
      <c r="W283" s="66">
        <f t="shared" si="269"/>
        <v>5.1814093627069062E-2</v>
      </c>
      <c r="X283" s="66">
        <f t="shared" si="269"/>
        <v>5.0269833636565009E-2</v>
      </c>
      <c r="Y283" s="66">
        <f t="shared" si="269"/>
        <v>4.8755491551762481E-2</v>
      </c>
      <c r="Z283" s="66">
        <f t="shared" si="269"/>
        <v>4.7261134858958706E-2</v>
      </c>
      <c r="AA283" s="66">
        <f t="shared" si="269"/>
        <v>4.5780022751512765E-2</v>
      </c>
      <c r="AB283" s="66">
        <f t="shared" si="269"/>
        <v>4.4307638822450625E-2</v>
      </c>
      <c r="AC283" s="66">
        <f t="shared" si="269"/>
        <v>4.2840983504346043E-2</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187</v>
      </c>
      <c r="B285" s="76">
        <f>B276+B277+B278-B279+B280+B281+B282+B283+B284</f>
        <v>1.304504908267532</v>
      </c>
      <c r="C285" s="76">
        <f t="shared" ref="C285:AC285" si="271">C276+C277+C278-C279+C280+C281+C282+C283+C284</f>
        <v>1.2929532625058699</v>
      </c>
      <c r="D285" s="76">
        <f t="shared" si="271"/>
        <v>1.2814340839442948</v>
      </c>
      <c r="E285" s="76">
        <f t="shared" si="271"/>
        <v>1.2699674191381871</v>
      </c>
      <c r="F285" s="76">
        <f t="shared" si="271"/>
        <v>1.2585834771183677</v>
      </c>
      <c r="G285" s="76">
        <f t="shared" si="271"/>
        <v>1.2473263311205796</v>
      </c>
      <c r="H285" s="76">
        <f t="shared" si="271"/>
        <v>1.2362575301909282</v>
      </c>
      <c r="I285" s="76">
        <f t="shared" si="271"/>
        <v>1.2254578178458173</v>
      </c>
      <c r="J285" s="76">
        <f t="shared" si="271"/>
        <v>1.2245142692939845</v>
      </c>
      <c r="K285" s="76">
        <f t="shared" si="271"/>
        <v>1.2238072030393785</v>
      </c>
      <c r="L285" s="76">
        <f t="shared" si="271"/>
        <v>1.2233431787574591</v>
      </c>
      <c r="M285" s="76">
        <f t="shared" si="271"/>
        <v>1.2230899931269261</v>
      </c>
      <c r="N285" s="76">
        <f t="shared" si="271"/>
        <v>1.2229716242172419</v>
      </c>
      <c r="O285" s="76">
        <f t="shared" si="271"/>
        <v>1.2228813798450466</v>
      </c>
      <c r="P285" s="76">
        <f t="shared" si="271"/>
        <v>1.2227106878234055</v>
      </c>
      <c r="Q285" s="76">
        <f t="shared" si="271"/>
        <v>1.2223783621445981</v>
      </c>
      <c r="R285" s="76">
        <f t="shared" si="271"/>
        <v>1.221844942159253</v>
      </c>
      <c r="S285" s="76">
        <f t="shared" si="271"/>
        <v>1.2211090157332185</v>
      </c>
      <c r="T285" s="76">
        <f t="shared" si="271"/>
        <v>1.2201935572929983</v>
      </c>
      <c r="U285" s="76">
        <f t="shared" si="271"/>
        <v>1.2191317766867042</v>
      </c>
      <c r="V285" s="76">
        <f t="shared" si="271"/>
        <v>1.2179573588460013</v>
      </c>
      <c r="W285" s="76">
        <f t="shared" si="271"/>
        <v>1.2166995501493501</v>
      </c>
      <c r="X285" s="76">
        <f t="shared" si="271"/>
        <v>1.2153816250593712</v>
      </c>
      <c r="Y285" s="76">
        <f t="shared" si="271"/>
        <v>1.2140211414024544</v>
      </c>
      <c r="Z285" s="76">
        <f t="shared" si="271"/>
        <v>1.2126308989957559</v>
      </c>
      <c r="AA285" s="76">
        <f t="shared" si="271"/>
        <v>1.2112200224944143</v>
      </c>
      <c r="AB285" s="76">
        <f t="shared" si="271"/>
        <v>1.2097949208264804</v>
      </c>
      <c r="AC285" s="76">
        <f t="shared" si="271"/>
        <v>1.2083600509903307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6.7070446072256132E-3</v>
      </c>
      <c r="C295" s="66">
        <f t="shared" ref="C295:AC295" si="280">C253*C254*C261/C261/(C258)</f>
        <v>6.2383899519048869E-3</v>
      </c>
      <c r="D295" s="66">
        <f t="shared" si="280"/>
        <v>5.7682676226686715E-3</v>
      </c>
      <c r="E295" s="66">
        <f t="shared" si="280"/>
        <v>5.2963783728964976E-3</v>
      </c>
      <c r="F295" s="66">
        <f t="shared" si="280"/>
        <v>4.8224563194910804E-3</v>
      </c>
      <c r="G295" s="66">
        <f t="shared" si="280"/>
        <v>4.3463592625720502E-3</v>
      </c>
      <c r="H295" s="66">
        <f t="shared" si="280"/>
        <v>3.8682210124682632E-3</v>
      </c>
      <c r="I295" s="66">
        <f t="shared" si="280"/>
        <v>3.3886772403356725E-3</v>
      </c>
      <c r="J295" s="66">
        <f t="shared" si="280"/>
        <v>3.2887713624833326E-3</v>
      </c>
      <c r="K295" s="66">
        <f t="shared" si="280"/>
        <v>3.1822037422542925E-3</v>
      </c>
      <c r="L295" s="66">
        <f t="shared" si="280"/>
        <v>3.0697030540941771E-3</v>
      </c>
      <c r="M295" s="66">
        <f t="shared" si="280"/>
        <v>2.9533510719556709E-3</v>
      </c>
      <c r="N295" s="66">
        <f t="shared" si="280"/>
        <v>2.8364754866592084E-3</v>
      </c>
      <c r="O295" s="66">
        <f t="shared" si="280"/>
        <v>2.7229316046217021E-3</v>
      </c>
      <c r="P295" s="66">
        <f t="shared" si="280"/>
        <v>2.6160286431830167E-3</v>
      </c>
      <c r="Q295" s="66">
        <f t="shared" si="280"/>
        <v>2.5176858785376259E-3</v>
      </c>
      <c r="R295" s="66">
        <f t="shared" si="280"/>
        <v>2.4282394709368637E-3</v>
      </c>
      <c r="S295" s="66">
        <f t="shared" si="280"/>
        <v>2.346831759928703E-3</v>
      </c>
      <c r="T295" s="66">
        <f t="shared" si="280"/>
        <v>2.2720108236018318E-3</v>
      </c>
      <c r="U295" s="66">
        <f t="shared" si="280"/>
        <v>2.2022252939308358E-3</v>
      </c>
      <c r="V295" s="66">
        <f t="shared" si="280"/>
        <v>2.1361052859709116E-3</v>
      </c>
      <c r="W295" s="66">
        <f t="shared" si="280"/>
        <v>2.0725637450827623E-3</v>
      </c>
      <c r="X295" s="66">
        <f t="shared" si="280"/>
        <v>2.0107933454626002E-3</v>
      </c>
      <c r="Y295" s="66">
        <f t="shared" si="280"/>
        <v>1.9502196620704993E-3</v>
      </c>
      <c r="Z295" s="66">
        <f t="shared" si="280"/>
        <v>1.8904453943583482E-3</v>
      </c>
      <c r="AA295" s="66">
        <f t="shared" si="280"/>
        <v>1.8312009100605105E-3</v>
      </c>
      <c r="AB295" s="66">
        <f t="shared" si="280"/>
        <v>1.772305552898025E-3</v>
      </c>
      <c r="AC295" s="66">
        <f t="shared" si="280"/>
        <v>1.7136393401738417E-3</v>
      </c>
    </row>
    <row r="296" spans="1:29" x14ac:dyDescent="0.25">
      <c r="A296" s="59" t="str">
        <f>A259</f>
        <v>Market failure (av. utilization)</v>
      </c>
      <c r="B296" s="66">
        <f t="shared" ref="B296:AC296" si="281">B285/B259-B285/B258</f>
        <v>3.2896210730224702E-2</v>
      </c>
      <c r="C296" s="66">
        <f t="shared" si="281"/>
        <v>3.2604908358843665E-2</v>
      </c>
      <c r="D296" s="66">
        <f t="shared" si="281"/>
        <v>3.2314424725551773E-2</v>
      </c>
      <c r="E296" s="66">
        <f t="shared" si="281"/>
        <v>3.2025265352180358E-2</v>
      </c>
      <c r="F296" s="66">
        <f t="shared" si="281"/>
        <v>3.1738192031680573E-2</v>
      </c>
      <c r="G296" s="66">
        <f t="shared" si="281"/>
        <v>3.1454316176084171E-2</v>
      </c>
      <c r="H296" s="66">
        <f t="shared" si="281"/>
        <v>3.1175189891771218E-2</v>
      </c>
      <c r="I296" s="66">
        <f t="shared" si="281"/>
        <v>3.0902849319590156E-2</v>
      </c>
      <c r="J296" s="66">
        <f t="shared" si="281"/>
        <v>3.0879055486543946E-2</v>
      </c>
      <c r="K296" s="66">
        <f t="shared" si="281"/>
        <v>3.0861225120123438E-2</v>
      </c>
      <c r="L296" s="66">
        <f t="shared" si="281"/>
        <v>3.0849523638231569E-2</v>
      </c>
      <c r="M296" s="66">
        <f t="shared" si="281"/>
        <v>3.0843138957113776E-2</v>
      </c>
      <c r="N296" s="66">
        <f t="shared" si="281"/>
        <v>3.0840154002000006E-2</v>
      </c>
      <c r="O296" s="66">
        <f t="shared" si="281"/>
        <v>3.0837878274353331E-2</v>
      </c>
      <c r="P296" s="66">
        <f t="shared" si="281"/>
        <v>3.0833573866851087E-2</v>
      </c>
      <c r="Q296" s="66">
        <f t="shared" si="281"/>
        <v>3.0825193480168114E-2</v>
      </c>
      <c r="R296" s="66">
        <f t="shared" si="281"/>
        <v>3.081174201966811E-2</v>
      </c>
      <c r="S296" s="66">
        <f t="shared" si="281"/>
        <v>3.0793183875011586E-2</v>
      </c>
      <c r="T296" s="66">
        <f t="shared" si="281"/>
        <v>3.0770098401301675E-2</v>
      </c>
      <c r="U296" s="66">
        <f t="shared" si="281"/>
        <v>3.0743323064273395E-2</v>
      </c>
      <c r="V296" s="66">
        <f t="shared" si="281"/>
        <v>3.0713707310029592E-2</v>
      </c>
      <c r="W296" s="66">
        <f t="shared" si="281"/>
        <v>3.0681988655940122E-2</v>
      </c>
      <c r="X296" s="66">
        <f t="shared" si="281"/>
        <v>3.0648754023236309E-2</v>
      </c>
      <c r="Y296" s="66">
        <f t="shared" si="281"/>
        <v>3.0614446174496664E-2</v>
      </c>
      <c r="Z296" s="66">
        <f t="shared" si="281"/>
        <v>3.0579387887719051E-2</v>
      </c>
      <c r="AA296" s="66">
        <f t="shared" si="281"/>
        <v>3.0543809262902608E-2</v>
      </c>
      <c r="AB296" s="66">
        <f t="shared" si="281"/>
        <v>3.0507871916493845E-2</v>
      </c>
      <c r="AC296" s="66">
        <f t="shared" si="281"/>
        <v>3.0471688242364847E-2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505</v>
      </c>
      <c r="B299" s="67">
        <f>B288+B289+B290+B291+B292+B293+B294+B295+B296+B297+B298</f>
        <v>8.4300018728238085E-2</v>
      </c>
      <c r="C299" s="67">
        <f t="shared" ref="C299:AC299" si="284">C288+C289+C290+C291+C292+C293+C294+C295+C296+C297+C298</f>
        <v>8.3546650526390556E-2</v>
      </c>
      <c r="D299" s="67">
        <f t="shared" si="284"/>
        <v>8.2795399750635656E-2</v>
      </c>
      <c r="E299" s="67">
        <f t="shared" si="284"/>
        <v>8.204757378501995E-2</v>
      </c>
      <c r="F299" s="67">
        <f t="shared" si="284"/>
        <v>8.1305142783727385E-2</v>
      </c>
      <c r="G299" s="67">
        <f t="shared" si="284"/>
        <v>8.0570981088219445E-2</v>
      </c>
      <c r="H299" s="67">
        <f t="shared" si="284"/>
        <v>7.9849102766720442E-2</v>
      </c>
      <c r="I299" s="67">
        <f t="shared" si="284"/>
        <v>7.9144773700734944E-2</v>
      </c>
      <c r="J299" s="67">
        <f t="shared" si="284"/>
        <v>7.9083237925615418E-2</v>
      </c>
      <c r="K299" s="67">
        <f t="shared" si="284"/>
        <v>7.9037124909010659E-2</v>
      </c>
      <c r="L299" s="67">
        <f t="shared" si="284"/>
        <v>7.9006862455842028E-2</v>
      </c>
      <c r="M299" s="67">
        <f t="shared" si="284"/>
        <v>7.8990350349502914E-2</v>
      </c>
      <c r="N299" s="67">
        <f t="shared" si="284"/>
        <v>7.8982630638001761E-2</v>
      </c>
      <c r="O299" s="67">
        <f t="shared" si="284"/>
        <v>7.8976745135467291E-2</v>
      </c>
      <c r="P299" s="67">
        <f t="shared" si="284"/>
        <v>7.8965613047099398E-2</v>
      </c>
      <c r="Q299" s="67">
        <f t="shared" si="284"/>
        <v>7.8943939633264126E-2</v>
      </c>
      <c r="R299" s="67">
        <f t="shared" si="284"/>
        <v>7.890915137335032E-2</v>
      </c>
      <c r="S299" s="67">
        <f t="shared" si="284"/>
        <v>7.8861156171652416E-2</v>
      </c>
      <c r="T299" s="67">
        <f t="shared" si="284"/>
        <v>7.8801452360333701E-2</v>
      </c>
      <c r="U299" s="67">
        <f t="shared" si="284"/>
        <v>7.8732205799053656E-2</v>
      </c>
      <c r="V299" s="67">
        <f t="shared" si="284"/>
        <v>7.8655613331181734E-2</v>
      </c>
      <c r="W299" s="67">
        <f t="shared" si="284"/>
        <v>7.8573582329226205E-2</v>
      </c>
      <c r="X299" s="67">
        <f t="shared" si="284"/>
        <v>7.8487630692923249E-2</v>
      </c>
      <c r="Y299" s="67">
        <f t="shared" si="284"/>
        <v>7.839890349790693E-2</v>
      </c>
      <c r="Z299" s="67">
        <f t="shared" si="284"/>
        <v>7.830823551486138E-2</v>
      </c>
      <c r="AA299" s="67">
        <f t="shared" si="284"/>
        <v>7.8216221829991273E-2</v>
      </c>
      <c r="AB299" s="67">
        <f t="shared" si="284"/>
        <v>7.8123280416865143E-2</v>
      </c>
      <c r="AC299" s="67">
        <f t="shared" si="284"/>
        <v>7.8029701949290181E-2</v>
      </c>
    </row>
    <row r="301" spans="1:29" x14ac:dyDescent="0.25">
      <c r="B301" s="40"/>
    </row>
    <row r="324" spans="1:44" s="3" customFormat="1" ht="21" x14ac:dyDescent="0.35">
      <c r="A324" s="2" t="str">
        <f>'Parameter Input'!A114</f>
        <v>Road long-haul: Break bulk</v>
      </c>
    </row>
    <row r="325" spans="1:44" s="3" customFormat="1" ht="21" x14ac:dyDescent="0.35">
      <c r="A325" s="2" t="s">
        <v>100</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Input'!L77</f>
        <v>105000</v>
      </c>
      <c r="C334" s="42">
        <f>'Parameter Input'!M77</f>
        <v>115000</v>
      </c>
      <c r="D334" s="1" t="s">
        <v>138</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151</v>
      </c>
      <c r="B335" s="60">
        <f>'Parameter Input'!L78</f>
        <v>-26250</v>
      </c>
      <c r="C335" s="61">
        <f>'Parameter Input'!M78</f>
        <v>-17250</v>
      </c>
      <c r="D335" s="1" t="s">
        <v>138</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203</v>
      </c>
      <c r="B338" s="60">
        <f>'Parameter Input'!L84</f>
        <v>0.06</v>
      </c>
      <c r="C338" s="61">
        <f>'Parameter Input'!M84</f>
        <v>0.06</v>
      </c>
      <c r="D338" s="1" t="s">
        <v>180</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175</v>
      </c>
      <c r="B340" s="60">
        <f>'Parameter Input'!L80</f>
        <v>20000</v>
      </c>
      <c r="C340" s="61">
        <f>'Parameter Input'!M80</f>
        <v>20000</v>
      </c>
      <c r="D340" s="1" t="s">
        <v>161</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183</v>
      </c>
      <c r="B342" s="60">
        <f>'Parameter Input'!L81</f>
        <v>2.9</v>
      </c>
      <c r="C342" s="61">
        <f>'Parameter Input'!M81</f>
        <v>2.4</v>
      </c>
      <c r="D342" s="1" t="s">
        <v>184</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191</v>
      </c>
      <c r="B343" s="60">
        <f>'Parameter Input'!L82</f>
        <v>0.1</v>
      </c>
      <c r="C343" s="61">
        <f>'Parameter Input'!M82</f>
        <v>0.1</v>
      </c>
      <c r="D343" s="1" t="s">
        <v>94</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458</v>
      </c>
      <c r="B344" s="45">
        <f>'Parameter Input'!$L$85</f>
        <v>0</v>
      </c>
      <c r="C344" s="46">
        <f>'Parameter Input'!$M$85</f>
        <v>0</v>
      </c>
      <c r="D344" s="1" t="s">
        <v>200</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164</v>
      </c>
      <c r="B345" s="60">
        <f>'Parameter Input'!L79</f>
        <v>8</v>
      </c>
      <c r="C345" s="61">
        <f>'Parameter Input'!M79</f>
        <v>8</v>
      </c>
      <c r="D345" s="1" t="s">
        <v>165</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197</v>
      </c>
      <c r="B349" s="45">
        <f>'Parameter Input'!L83</f>
        <v>0</v>
      </c>
      <c r="C349" s="46">
        <f>'Parameter Input'!M83</f>
        <v>0</v>
      </c>
      <c r="D349" s="1" t="s">
        <v>180</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5.7951260504201685E-2</v>
      </c>
      <c r="C363" s="68">
        <f>'Parameter Input'!K8</f>
        <v>5.3954621848739497E-2</v>
      </c>
      <c r="D363" s="68">
        <f>'Parameter Input'!L8</f>
        <v>4.9957983193277315E-2</v>
      </c>
      <c r="E363" s="68">
        <f>'Parameter Input'!M8</f>
        <v>4.5961344537815127E-2</v>
      </c>
      <c r="F363" s="68">
        <f>'Parameter Input'!N8</f>
        <v>4.1964705882352946E-2</v>
      </c>
      <c r="G363" s="68">
        <f>'Parameter Input'!O8</f>
        <v>3.7968067226890764E-2</v>
      </c>
      <c r="H363" s="68">
        <f>'Parameter Input'!P8</f>
        <v>3.3971428571428583E-2</v>
      </c>
      <c r="I363" s="68">
        <f>'Parameter Input'!Q8</f>
        <v>2.9974789915966391E-2</v>
      </c>
      <c r="J363" s="68">
        <f>'Parameter Input'!R8</f>
        <v>2.9368157262905165E-2</v>
      </c>
      <c r="K363" s="68">
        <f>'Parameter Input'!S8</f>
        <v>2.8761524609843939E-2</v>
      </c>
      <c r="L363" s="68">
        <f>'Parameter Input'!T8</f>
        <v>2.8154891956782713E-2</v>
      </c>
      <c r="M363" s="68">
        <f>'Parameter Input'!U8</f>
        <v>2.7548259303721487E-2</v>
      </c>
      <c r="N363" s="68">
        <f>'Parameter Input'!V8</f>
        <v>2.6941626650660268E-2</v>
      </c>
      <c r="O363" s="68">
        <f>'Parameter Input'!W8</f>
        <v>2.6334993997599043E-2</v>
      </c>
      <c r="P363" s="68">
        <f>'Parameter Input'!X8</f>
        <v>2.5728361344537817E-2</v>
      </c>
      <c r="Q363" s="68">
        <f>'Parameter Input'!Y8</f>
        <v>2.5121728691476591E-2</v>
      </c>
      <c r="R363" s="68">
        <f>'Parameter Input'!Z8</f>
        <v>2.4515096038415365E-2</v>
      </c>
      <c r="S363" s="68">
        <f>'Parameter Input'!AA8</f>
        <v>2.3908463385354146E-2</v>
      </c>
      <c r="T363" s="68">
        <f>'Parameter Input'!AB8</f>
        <v>2.330183073229292E-2</v>
      </c>
      <c r="U363" s="68">
        <f>'Parameter Input'!AC8</f>
        <v>2.2695198079231694E-2</v>
      </c>
      <c r="V363" s="68">
        <f>'Parameter Input'!AD8</f>
        <v>2.2088565426170468E-2</v>
      </c>
      <c r="W363" s="68">
        <f>'Parameter Input'!AE8</f>
        <v>2.1481932773109242E-2</v>
      </c>
      <c r="X363" s="68">
        <f>'Parameter Input'!AF8</f>
        <v>2.0875300120048023E-2</v>
      </c>
      <c r="Y363" s="68">
        <f>'Parameter Input'!AG8</f>
        <v>2.0268667466986797E-2</v>
      </c>
      <c r="Z363" s="68">
        <f>'Parameter Input'!AH8</f>
        <v>1.9662034813925571E-2</v>
      </c>
      <c r="AA363" s="68">
        <f>'Parameter Input'!AI8</f>
        <v>1.9055402160864345E-2</v>
      </c>
      <c r="AB363" s="68">
        <f>'Parameter Input'!AJ8</f>
        <v>1.8448769507803119E-2</v>
      </c>
      <c r="AC363" s="68">
        <f>'Parameter Input'!AK8</f>
        <v>1.78421368547419E-2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197</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13078.736984089945</v>
      </c>
      <c r="C380" s="62">
        <f t="shared" ref="C380:AC380" si="361">C362*C363*C370</f>
        <v>12164.86040621453</v>
      </c>
      <c r="D380" s="62">
        <f t="shared" si="361"/>
        <v>11248.121864203909</v>
      </c>
      <c r="E380" s="62">
        <f t="shared" si="361"/>
        <v>10327.937827148171</v>
      </c>
      <c r="F380" s="62">
        <f t="shared" si="361"/>
        <v>9403.789823007608</v>
      </c>
      <c r="G380" s="62">
        <f t="shared" si="361"/>
        <v>8475.4005620154967</v>
      </c>
      <c r="H380" s="62">
        <f t="shared" si="361"/>
        <v>7543.0309743131129</v>
      </c>
      <c r="I380" s="62">
        <f t="shared" si="361"/>
        <v>6607.9206186545598</v>
      </c>
      <c r="J380" s="62">
        <f t="shared" si="361"/>
        <v>6413.1041568424989</v>
      </c>
      <c r="K380" s="62">
        <f t="shared" si="361"/>
        <v>6205.2972973958704</v>
      </c>
      <c r="L380" s="62">
        <f t="shared" si="361"/>
        <v>5985.9209554836452</v>
      </c>
      <c r="M380" s="62">
        <f t="shared" si="361"/>
        <v>5759.0345903135585</v>
      </c>
      <c r="N380" s="62">
        <f t="shared" si="361"/>
        <v>5531.1271989854567</v>
      </c>
      <c r="O380" s="62">
        <f t="shared" si="361"/>
        <v>5309.7166290123196</v>
      </c>
      <c r="P380" s="62">
        <f t="shared" si="361"/>
        <v>5101.2558542068818</v>
      </c>
      <c r="Q380" s="62">
        <f t="shared" si="361"/>
        <v>4909.4874631483708</v>
      </c>
      <c r="R380" s="62">
        <f t="shared" si="361"/>
        <v>4735.0669683268843</v>
      </c>
      <c r="S380" s="62">
        <f t="shared" si="361"/>
        <v>4576.3219318609708</v>
      </c>
      <c r="T380" s="62">
        <f t="shared" si="361"/>
        <v>4430.4211060235721</v>
      </c>
      <c r="U380" s="62">
        <f t="shared" si="361"/>
        <v>4294.3393231651298</v>
      </c>
      <c r="V380" s="62">
        <f t="shared" si="361"/>
        <v>4165.4053076432783</v>
      </c>
      <c r="W380" s="62">
        <f t="shared" si="361"/>
        <v>4041.4993029113866</v>
      </c>
      <c r="X380" s="62">
        <f t="shared" si="361"/>
        <v>3921.0470236520705</v>
      </c>
      <c r="Y380" s="62">
        <f t="shared" si="361"/>
        <v>3802.9283410374737</v>
      </c>
      <c r="Z380" s="62">
        <f t="shared" si="361"/>
        <v>3686.3685189987791</v>
      </c>
      <c r="AA380" s="62">
        <f t="shared" si="361"/>
        <v>3570.8417746179957</v>
      </c>
      <c r="AB380" s="62">
        <f t="shared" si="361"/>
        <v>3455.9958281511485</v>
      </c>
      <c r="AC380" s="62">
        <f t="shared" si="361"/>
        <v>3341.5967133389913</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504</v>
      </c>
      <c r="B382" s="64">
        <f>B373+B374+B375+B376+B377+B378+B379+B380+B381</f>
        <v>128456.7505715607</v>
      </c>
      <c r="C382" s="64">
        <f t="shared" ref="C382:AC382" si="363">C373+C374+C375+C376+C377+C378+C379+C380+C381</f>
        <v>127560.16965892767</v>
      </c>
      <c r="D382" s="64">
        <f t="shared" si="363"/>
        <v>126667.98848219673</v>
      </c>
      <c r="E382" s="64">
        <f t="shared" si="363"/>
        <v>125782.51392115165</v>
      </c>
      <c r="F382" s="64">
        <f t="shared" si="363"/>
        <v>124907.09739511924</v>
      </c>
      <c r="G382" s="64">
        <f t="shared" si="363"/>
        <v>124046.46257877183</v>
      </c>
      <c r="H382" s="64">
        <f t="shared" si="363"/>
        <v>123206.98179997849</v>
      </c>
      <c r="I382" s="64">
        <f t="shared" si="363"/>
        <v>122396.70404993136</v>
      </c>
      <c r="J382" s="64">
        <f t="shared" si="363"/>
        <v>122365.06791953924</v>
      </c>
      <c r="K382" s="64">
        <f t="shared" si="363"/>
        <v>122362.75910646022</v>
      </c>
      <c r="L382" s="64">
        <f t="shared" si="363"/>
        <v>122389.97452136675</v>
      </c>
      <c r="M382" s="64">
        <f t="shared" si="363"/>
        <v>122441.9276181043</v>
      </c>
      <c r="N382" s="64">
        <f t="shared" si="363"/>
        <v>122508.38990266254</v>
      </c>
      <c r="O382" s="64">
        <f t="shared" si="363"/>
        <v>122575.55636395735</v>
      </c>
      <c r="P382" s="64">
        <f t="shared" si="363"/>
        <v>122629.79320065619</v>
      </c>
      <c r="Q382" s="64">
        <f t="shared" si="363"/>
        <v>122661.28037051702</v>
      </c>
      <c r="R382" s="64">
        <f t="shared" si="363"/>
        <v>122665.6475971863</v>
      </c>
      <c r="S382" s="64">
        <f t="shared" si="363"/>
        <v>122643.32552738319</v>
      </c>
      <c r="T382" s="64">
        <f t="shared" si="363"/>
        <v>122597.70652318068</v>
      </c>
      <c r="U382" s="64">
        <f t="shared" si="363"/>
        <v>122533.32479204774</v>
      </c>
      <c r="V382" s="64">
        <f t="shared" si="363"/>
        <v>122454.64192414688</v>
      </c>
      <c r="W382" s="64">
        <f t="shared" si="363"/>
        <v>122365.46255109801</v>
      </c>
      <c r="X382" s="64">
        <f t="shared" si="363"/>
        <v>122268.77543639383</v>
      </c>
      <c r="Y382" s="64">
        <f t="shared" si="363"/>
        <v>122166.81188870725</v>
      </c>
      <c r="Z382" s="64">
        <f t="shared" si="363"/>
        <v>122061.18406670961</v>
      </c>
      <c r="AA382" s="64">
        <f t="shared" si="363"/>
        <v>121953.03206096975</v>
      </c>
      <c r="AB382" s="64">
        <f t="shared" si="363"/>
        <v>121843.15075192139</v>
      </c>
      <c r="AC382" s="64">
        <f t="shared" si="363"/>
        <v>121732.08911271452</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0.16767611518064032</v>
      </c>
      <c r="C392" s="66">
        <f t="shared" ref="C392:AC392" si="372">C362*C363*C370/C370</f>
        <v>0.15595974879762217</v>
      </c>
      <c r="D392" s="66">
        <f t="shared" si="372"/>
        <v>0.14420669056671678</v>
      </c>
      <c r="E392" s="66">
        <f t="shared" si="372"/>
        <v>0.13240945932241244</v>
      </c>
      <c r="F392" s="66">
        <f t="shared" si="372"/>
        <v>0.12056140798727702</v>
      </c>
      <c r="G392" s="66">
        <f t="shared" si="372"/>
        <v>0.10865898156430125</v>
      </c>
      <c r="H392" s="66">
        <f t="shared" si="372"/>
        <v>9.6705525311706578E-2</v>
      </c>
      <c r="I392" s="66">
        <f t="shared" si="372"/>
        <v>8.4716931008391796E-2</v>
      </c>
      <c r="J392" s="66">
        <f t="shared" si="372"/>
        <v>8.2219284062083314E-2</v>
      </c>
      <c r="K392" s="66">
        <f t="shared" si="372"/>
        <v>7.9555093556357315E-2</v>
      </c>
      <c r="L392" s="66">
        <f t="shared" si="372"/>
        <v>7.674257635235443E-2</v>
      </c>
      <c r="M392" s="66">
        <f t="shared" si="372"/>
        <v>7.3833776798891776E-2</v>
      </c>
      <c r="N392" s="66">
        <f t="shared" si="372"/>
        <v>7.0911887166480211E-2</v>
      </c>
      <c r="O392" s="66">
        <f t="shared" si="372"/>
        <v>6.8073290115542556E-2</v>
      </c>
      <c r="P392" s="66">
        <f t="shared" si="372"/>
        <v>6.5400716079575413E-2</v>
      </c>
      <c r="Q392" s="66">
        <f t="shared" si="372"/>
        <v>6.2942146963440651E-2</v>
      </c>
      <c r="R392" s="66">
        <f t="shared" si="372"/>
        <v>6.0705986773421594E-2</v>
      </c>
      <c r="S392" s="66">
        <f t="shared" si="372"/>
        <v>5.8670793998217577E-2</v>
      </c>
      <c r="T392" s="66">
        <f t="shared" si="372"/>
        <v>5.6800270590045797E-2</v>
      </c>
      <c r="U392" s="66">
        <f t="shared" si="372"/>
        <v>5.5055632348270898E-2</v>
      </c>
      <c r="V392" s="66">
        <f t="shared" si="372"/>
        <v>5.3402632149272801E-2</v>
      </c>
      <c r="W392" s="66">
        <f t="shared" si="372"/>
        <v>5.1814093627069062E-2</v>
      </c>
      <c r="X392" s="66">
        <f t="shared" si="372"/>
        <v>5.0269833636565009E-2</v>
      </c>
      <c r="Y392" s="66">
        <f t="shared" si="372"/>
        <v>4.8755491551762481E-2</v>
      </c>
      <c r="Z392" s="66">
        <f t="shared" si="372"/>
        <v>4.7261134858958706E-2</v>
      </c>
      <c r="AA392" s="66">
        <f t="shared" si="372"/>
        <v>4.5780022751512765E-2</v>
      </c>
      <c r="AB392" s="66">
        <f t="shared" si="372"/>
        <v>4.4307638822450625E-2</v>
      </c>
      <c r="AC392" s="66">
        <f t="shared" si="372"/>
        <v>4.2840983504346043E-2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187</v>
      </c>
      <c r="B394" s="76">
        <f>B385+B386+B387-B388+B389+B390+B391+B392+B393</f>
        <v>1.6817193555893379</v>
      </c>
      <c r="C394" s="76">
        <f t="shared" ref="C394:AC394" si="374">C385+C386+C387-C388+C389+C390+C391+C392+C393</f>
        <v>1.6702247285042993</v>
      </c>
      <c r="D394" s="76">
        <f t="shared" si="374"/>
        <v>1.6587865082897999</v>
      </c>
      <c r="E394" s="76">
        <f t="shared" si="374"/>
        <v>1.6474342703276839</v>
      </c>
      <c r="F394" s="76">
        <f t="shared" si="374"/>
        <v>1.6362109815323964</v>
      </c>
      <c r="G394" s="76">
        <f t="shared" si="374"/>
        <v>1.6251772018356347</v>
      </c>
      <c r="H394" s="76">
        <f t="shared" si="374"/>
        <v>1.6144146277485409</v>
      </c>
      <c r="I394" s="76">
        <f t="shared" si="374"/>
        <v>1.6040264514658851</v>
      </c>
      <c r="J394" s="76">
        <f t="shared" si="374"/>
        <v>1.6036208600506017</v>
      </c>
      <c r="K394" s="76">
        <f t="shared" si="374"/>
        <v>1.6035912598829218</v>
      </c>
      <c r="L394" s="76">
        <f t="shared" si="374"/>
        <v>1.6039401754586466</v>
      </c>
      <c r="M394" s="76">
        <f t="shared" si="374"/>
        <v>1.6046062408014354</v>
      </c>
      <c r="N394" s="76">
        <f t="shared" si="374"/>
        <v>1.6054583213726952</v>
      </c>
      <c r="O394" s="76">
        <f t="shared" si="374"/>
        <v>1.6063194298508339</v>
      </c>
      <c r="P394" s="76">
        <f t="shared" si="374"/>
        <v>1.6070147739110749</v>
      </c>
      <c r="Q394" s="76">
        <f t="shared" si="374"/>
        <v>1.6074184555759576</v>
      </c>
      <c r="R394" s="76">
        <f t="shared" si="374"/>
        <v>1.6074744456614614</v>
      </c>
      <c r="S394" s="76">
        <f t="shared" si="374"/>
        <v>1.6071882652793701</v>
      </c>
      <c r="T394" s="76">
        <f t="shared" si="374"/>
        <v>1.6066034062511332</v>
      </c>
      <c r="U394" s="76">
        <f t="shared" si="374"/>
        <v>1.6057779994417363</v>
      </c>
      <c r="V394" s="76">
        <f t="shared" si="374"/>
        <v>1.6047692447250586</v>
      </c>
      <c r="W394" s="76">
        <f t="shared" si="374"/>
        <v>1.6036259194295603</v>
      </c>
      <c r="X394" s="76">
        <f t="shared" si="374"/>
        <v>1.6023863410359169</v>
      </c>
      <c r="Y394" s="76">
        <f t="shared" si="374"/>
        <v>1.6010791160655762</v>
      </c>
      <c r="Z394" s="76">
        <f t="shared" si="374"/>
        <v>1.5997249132194524</v>
      </c>
      <c r="AA394" s="76">
        <f t="shared" si="374"/>
        <v>1.5983383490433005</v>
      </c>
      <c r="AB394" s="76">
        <f t="shared" si="374"/>
        <v>1.5969296143119112</v>
      </c>
      <c r="AC394" s="76">
        <f t="shared" si="374"/>
        <v>1.5955057471425922</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6.7070446072256132E-3</v>
      </c>
      <c r="C404" s="66">
        <f t="shared" ref="C404:AC404" si="383">C362*C363*C370/C370/(C367)</f>
        <v>6.2383899519048869E-3</v>
      </c>
      <c r="D404" s="66">
        <f t="shared" si="383"/>
        <v>5.7682676226686715E-3</v>
      </c>
      <c r="E404" s="66">
        <f t="shared" si="383"/>
        <v>5.2963783728964976E-3</v>
      </c>
      <c r="F404" s="66">
        <f t="shared" si="383"/>
        <v>4.8224563194910804E-3</v>
      </c>
      <c r="G404" s="66">
        <f t="shared" si="383"/>
        <v>4.3463592625720502E-3</v>
      </c>
      <c r="H404" s="66">
        <f t="shared" si="383"/>
        <v>3.8682210124682632E-3</v>
      </c>
      <c r="I404" s="66">
        <f t="shared" si="383"/>
        <v>3.388677240335672E-3</v>
      </c>
      <c r="J404" s="66">
        <f t="shared" si="383"/>
        <v>3.2887713624833326E-3</v>
      </c>
      <c r="K404" s="66">
        <f t="shared" si="383"/>
        <v>3.1822037422542925E-3</v>
      </c>
      <c r="L404" s="66">
        <f t="shared" si="383"/>
        <v>3.0697030540941771E-3</v>
      </c>
      <c r="M404" s="66">
        <f t="shared" si="383"/>
        <v>2.9533510719556709E-3</v>
      </c>
      <c r="N404" s="66">
        <f t="shared" si="383"/>
        <v>2.8364754866592084E-3</v>
      </c>
      <c r="O404" s="66">
        <f t="shared" si="383"/>
        <v>2.7229316046217021E-3</v>
      </c>
      <c r="P404" s="66">
        <f t="shared" si="383"/>
        <v>2.6160286431830167E-3</v>
      </c>
      <c r="Q404" s="66">
        <f t="shared" si="383"/>
        <v>2.5176858785376259E-3</v>
      </c>
      <c r="R404" s="66">
        <f t="shared" si="383"/>
        <v>2.4282394709368637E-3</v>
      </c>
      <c r="S404" s="66">
        <f t="shared" si="383"/>
        <v>2.346831759928703E-3</v>
      </c>
      <c r="T404" s="66">
        <f t="shared" si="383"/>
        <v>2.2720108236018318E-3</v>
      </c>
      <c r="U404" s="66">
        <f t="shared" si="383"/>
        <v>2.2022252939308358E-3</v>
      </c>
      <c r="V404" s="66">
        <f t="shared" si="383"/>
        <v>2.136105285970912E-3</v>
      </c>
      <c r="W404" s="66">
        <f t="shared" si="383"/>
        <v>2.0725637450827623E-3</v>
      </c>
      <c r="X404" s="66">
        <f t="shared" si="383"/>
        <v>2.0107933454626002E-3</v>
      </c>
      <c r="Y404" s="66">
        <f t="shared" si="383"/>
        <v>1.9502196620704993E-3</v>
      </c>
      <c r="Z404" s="66">
        <f t="shared" si="383"/>
        <v>1.8904453943583482E-3</v>
      </c>
      <c r="AA404" s="66">
        <f t="shared" si="383"/>
        <v>1.8312009100605105E-3</v>
      </c>
      <c r="AB404" s="66">
        <f t="shared" si="383"/>
        <v>1.772305552898025E-3</v>
      </c>
      <c r="AC404" s="66">
        <f t="shared" si="383"/>
        <v>1.7136393401738417E-3</v>
      </c>
    </row>
    <row r="405" spans="1:29" x14ac:dyDescent="0.25">
      <c r="A405" s="59" t="str">
        <f>A368</f>
        <v>Market failure (av. utilization)</v>
      </c>
      <c r="B405" s="66">
        <f t="shared" ref="B405:AC405" si="384">B394/B368-B394/B367</f>
        <v>4.2408575053991981E-2</v>
      </c>
      <c r="C405" s="66">
        <f t="shared" si="384"/>
        <v>4.2118710544891011E-2</v>
      </c>
      <c r="D405" s="66">
        <f t="shared" si="384"/>
        <v>4.1830268469916679E-2</v>
      </c>
      <c r="E405" s="66">
        <f t="shared" si="384"/>
        <v>4.1543994643045923E-2</v>
      </c>
      <c r="F405" s="66">
        <f t="shared" si="384"/>
        <v>4.1260972577773461E-2</v>
      </c>
      <c r="G405" s="66">
        <f t="shared" si="384"/>
        <v>4.0982729437594248E-2</v>
      </c>
      <c r="H405" s="66">
        <f t="shared" si="384"/>
        <v>4.0711325395397985E-2</v>
      </c>
      <c r="I405" s="66">
        <f t="shared" si="384"/>
        <v>4.0449362689139692E-2</v>
      </c>
      <c r="J405" s="66">
        <f t="shared" si="384"/>
        <v>4.0439134731710805E-2</v>
      </c>
      <c r="K405" s="66">
        <f t="shared" si="384"/>
        <v>4.0438388292699759E-2</v>
      </c>
      <c r="L405" s="66">
        <f t="shared" si="384"/>
        <v>4.0447187033304979E-2</v>
      </c>
      <c r="M405" s="66">
        <f t="shared" si="384"/>
        <v>4.0463983463688361E-2</v>
      </c>
      <c r="N405" s="66">
        <f t="shared" si="384"/>
        <v>4.0485470712876656E-2</v>
      </c>
      <c r="O405" s="66">
        <f t="shared" si="384"/>
        <v>4.0507185622325359E-2</v>
      </c>
      <c r="P405" s="66">
        <f t="shared" si="384"/>
        <v>4.0524720385583621E-2</v>
      </c>
      <c r="Q405" s="66">
        <f t="shared" si="384"/>
        <v>4.0534900184089354E-2</v>
      </c>
      <c r="R405" s="66">
        <f t="shared" si="384"/>
        <v>4.0536312107984668E-2</v>
      </c>
      <c r="S405" s="66">
        <f t="shared" si="384"/>
        <v>4.0529095385305844E-2</v>
      </c>
      <c r="T405" s="66">
        <f t="shared" si="384"/>
        <v>4.0514346766332907E-2</v>
      </c>
      <c r="U405" s="66">
        <f t="shared" si="384"/>
        <v>4.0493532159835074E-2</v>
      </c>
      <c r="V405" s="66">
        <f t="shared" si="384"/>
        <v>4.0468093997414495E-2</v>
      </c>
      <c r="W405" s="66">
        <f t="shared" si="384"/>
        <v>4.0439262316049759E-2</v>
      </c>
      <c r="X405" s="66">
        <f t="shared" si="384"/>
        <v>4.0408003382644844E-2</v>
      </c>
      <c r="Y405" s="66">
        <f t="shared" si="384"/>
        <v>4.0375038579044939E-2</v>
      </c>
      <c r="Z405" s="66">
        <f t="shared" si="384"/>
        <v>4.0340889115968781E-2</v>
      </c>
      <c r="AA405" s="66">
        <f t="shared" si="384"/>
        <v>4.0305923584570177E-2</v>
      </c>
      <c r="AB405" s="66">
        <f t="shared" si="384"/>
        <v>4.0270398969604701E-2</v>
      </c>
      <c r="AC405" s="66">
        <f t="shared" si="384"/>
        <v>4.0234492754030571E-2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505</v>
      </c>
      <c r="B408" s="67">
        <f>B397+B398+B399+B400+B401+B402+B403+B404+B405+B406+B407</f>
        <v>0.10828383175735644</v>
      </c>
      <c r="C408" s="67">
        <f t="shared" ref="C408:AC408" si="387">C397+C398+C399+C400+C401+C402+C403+C404+C405+C406+C407</f>
        <v>0.10753418216485393</v>
      </c>
      <c r="D408" s="67">
        <f t="shared" si="387"/>
        <v>0.10678821128129962</v>
      </c>
      <c r="E408" s="67">
        <f t="shared" si="387"/>
        <v>0.10604784793594421</v>
      </c>
      <c r="F408" s="67">
        <f t="shared" si="387"/>
        <v>0.10531589431886025</v>
      </c>
      <c r="G408" s="67">
        <f t="shared" si="387"/>
        <v>0.10459629999081058</v>
      </c>
      <c r="H408" s="67">
        <f t="shared" si="387"/>
        <v>0.10389439298513055</v>
      </c>
      <c r="I408" s="67">
        <f t="shared" si="387"/>
        <v>0.10321690322756603</v>
      </c>
      <c r="J408" s="67">
        <f t="shared" si="387"/>
        <v>0.10319045161352582</v>
      </c>
      <c r="K408" s="67">
        <f t="shared" si="387"/>
        <v>0.10318852116780756</v>
      </c>
      <c r="L408" s="67">
        <f t="shared" si="387"/>
        <v>0.10321127653144178</v>
      </c>
      <c r="M408" s="67">
        <f t="shared" si="387"/>
        <v>0.10325471557553673</v>
      </c>
      <c r="N408" s="67">
        <f t="shared" si="387"/>
        <v>0.1033102860475754</v>
      </c>
      <c r="O408" s="67">
        <f t="shared" si="387"/>
        <v>0.10336644529614965</v>
      </c>
      <c r="P408" s="67">
        <f t="shared" si="387"/>
        <v>0.10341179382181756</v>
      </c>
      <c r="Q408" s="67">
        <f t="shared" si="387"/>
        <v>0.1034381208869186</v>
      </c>
      <c r="R408" s="67">
        <f t="shared" si="387"/>
        <v>0.10344177241423405</v>
      </c>
      <c r="S408" s="67">
        <f t="shared" si="387"/>
        <v>0.10342310847627158</v>
      </c>
      <c r="T408" s="67">
        <f t="shared" si="387"/>
        <v>0.10338496549616917</v>
      </c>
      <c r="U408" s="67">
        <f t="shared" si="387"/>
        <v>0.10333113461729546</v>
      </c>
      <c r="V408" s="67">
        <f t="shared" si="387"/>
        <v>0.10326534626620777</v>
      </c>
      <c r="W408" s="67">
        <f t="shared" si="387"/>
        <v>0.10319078157302311</v>
      </c>
      <c r="X408" s="67">
        <f t="shared" si="387"/>
        <v>0.10310993950387246</v>
      </c>
      <c r="Y408" s="67">
        <f t="shared" si="387"/>
        <v>0.10302468570145892</v>
      </c>
      <c r="Z408" s="67">
        <f t="shared" si="387"/>
        <v>0.10293636812453781</v>
      </c>
      <c r="AA408" s="67">
        <f t="shared" si="387"/>
        <v>0.10284594002609314</v>
      </c>
      <c r="AB408" s="67">
        <f t="shared" si="387"/>
        <v>0.10275406602187209</v>
      </c>
      <c r="AC408" s="67">
        <f t="shared" si="387"/>
        <v>0.1026612051195252</v>
      </c>
    </row>
    <row r="410" spans="1:29" x14ac:dyDescent="0.25">
      <c r="B410" s="40"/>
    </row>
    <row r="429" spans="1:1" s="3" customFormat="1" ht="21" x14ac:dyDescent="0.35">
      <c r="A429" s="2" t="str">
        <f>'Parameter Input'!A128</f>
        <v>Road long-haul:  Neo bulk</v>
      </c>
    </row>
    <row r="430" spans="1:1" s="3" customFormat="1" ht="21" x14ac:dyDescent="0.35">
      <c r="A430" s="2" t="s">
        <v>100</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Input'!L77</f>
        <v>105000</v>
      </c>
      <c r="C439" s="42">
        <f>'Parameter Input'!M77</f>
        <v>115000</v>
      </c>
      <c r="D439" s="1" t="s">
        <v>138</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151</v>
      </c>
      <c r="B440" s="60">
        <f>'Parameter Input'!L78</f>
        <v>-26250</v>
      </c>
      <c r="C440" s="61">
        <f>'Parameter Input'!M78</f>
        <v>-17250</v>
      </c>
      <c r="D440" s="1" t="s">
        <v>138</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203</v>
      </c>
      <c r="B443" s="60">
        <f>'Parameter Input'!L84</f>
        <v>0.06</v>
      </c>
      <c r="C443" s="61">
        <f>'Parameter Input'!M84</f>
        <v>0.06</v>
      </c>
      <c r="D443" s="1" t="s">
        <v>180</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175</v>
      </c>
      <c r="B445" s="60">
        <f>'Parameter Input'!L80</f>
        <v>20000</v>
      </c>
      <c r="C445" s="61">
        <f>'Parameter Input'!M80</f>
        <v>20000</v>
      </c>
      <c r="D445" s="1" t="s">
        <v>161</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183</v>
      </c>
      <c r="B447" s="60">
        <f>'Parameter Input'!L81</f>
        <v>2.9</v>
      </c>
      <c r="C447" s="61">
        <f>'Parameter Input'!M81</f>
        <v>2.4</v>
      </c>
      <c r="D447" s="1" t="s">
        <v>184</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191</v>
      </c>
      <c r="B448" s="60">
        <f>'Parameter Input'!L82</f>
        <v>0.1</v>
      </c>
      <c r="C448" s="61">
        <f>'Parameter Input'!M82</f>
        <v>0.1</v>
      </c>
      <c r="D448" s="1" t="s">
        <v>94</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458</v>
      </c>
      <c r="B449" s="45">
        <f>'Parameter Input'!$L$85</f>
        <v>0</v>
      </c>
      <c r="C449" s="46">
        <f>'Parameter Input'!$M$85</f>
        <v>0</v>
      </c>
      <c r="D449" s="1" t="s">
        <v>200</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164</v>
      </c>
      <c r="B450" s="60">
        <f>'Parameter Input'!L79</f>
        <v>8</v>
      </c>
      <c r="C450" s="61">
        <f>'Parameter Input'!M79</f>
        <v>8</v>
      </c>
      <c r="D450" s="1" t="s">
        <v>165</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197</v>
      </c>
      <c r="B454" s="45">
        <f>'Parameter Input'!L83</f>
        <v>0</v>
      </c>
      <c r="C454" s="46">
        <f>'Parameter Input'!M83</f>
        <v>0</v>
      </c>
      <c r="D454" s="1" t="s">
        <v>180</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197</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15090.85036625763</v>
      </c>
      <c r="C485" s="62">
        <f t="shared" ref="C485:AC485" si="464">C467*C468*C475</f>
        <v>14036.377391785996</v>
      </c>
      <c r="D485" s="62">
        <f t="shared" si="464"/>
        <v>12978.60215100451</v>
      </c>
      <c r="E485" s="62">
        <f t="shared" si="464"/>
        <v>11916.851339017119</v>
      </c>
      <c r="F485" s="62">
        <f t="shared" si="464"/>
        <v>10850.526718854931</v>
      </c>
      <c r="G485" s="62">
        <f t="shared" si="464"/>
        <v>9779.3083407871127</v>
      </c>
      <c r="H485" s="62">
        <f t="shared" si="464"/>
        <v>8703.4972780535918</v>
      </c>
      <c r="I485" s="62">
        <f t="shared" si="464"/>
        <v>7624.5237907552619</v>
      </c>
      <c r="J485" s="62">
        <f t="shared" si="464"/>
        <v>7399.7355655874981</v>
      </c>
      <c r="K485" s="62">
        <f t="shared" si="464"/>
        <v>7159.9584200721583</v>
      </c>
      <c r="L485" s="62">
        <f t="shared" si="464"/>
        <v>6906.8318717118991</v>
      </c>
      <c r="M485" s="62">
        <f t="shared" si="464"/>
        <v>6645.0399119002595</v>
      </c>
      <c r="N485" s="62">
        <f t="shared" si="464"/>
        <v>6382.0698449832189</v>
      </c>
      <c r="O485" s="62">
        <f t="shared" si="464"/>
        <v>6126.5961103988302</v>
      </c>
      <c r="P485" s="62">
        <f t="shared" si="464"/>
        <v>5886.064447161787</v>
      </c>
      <c r="Q485" s="62">
        <f t="shared" si="464"/>
        <v>5664.7932267096585</v>
      </c>
      <c r="R485" s="62">
        <f t="shared" si="464"/>
        <v>5463.5388096079432</v>
      </c>
      <c r="S485" s="62">
        <f t="shared" si="464"/>
        <v>5280.3714598395818</v>
      </c>
      <c r="T485" s="62">
        <f t="shared" si="464"/>
        <v>5112.0243531041215</v>
      </c>
      <c r="U485" s="62">
        <f t="shared" si="464"/>
        <v>4955.0069113443806</v>
      </c>
      <c r="V485" s="62">
        <f t="shared" si="464"/>
        <v>4806.2368934345513</v>
      </c>
      <c r="W485" s="62">
        <f t="shared" si="464"/>
        <v>4663.2684264362151</v>
      </c>
      <c r="X485" s="62">
        <f t="shared" si="464"/>
        <v>4524.2850272908508</v>
      </c>
      <c r="Y485" s="62">
        <f t="shared" si="464"/>
        <v>4387.994239658623</v>
      </c>
      <c r="Z485" s="62">
        <f t="shared" si="464"/>
        <v>4253.5021373062837</v>
      </c>
      <c r="AA485" s="62">
        <f t="shared" si="464"/>
        <v>4120.2020476361486</v>
      </c>
      <c r="AB485" s="62">
        <f t="shared" si="464"/>
        <v>3987.6874940205562</v>
      </c>
      <c r="AC485" s="62">
        <f t="shared" si="464"/>
        <v>3855.6885153911439</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504</v>
      </c>
      <c r="B487" s="64">
        <f>B478+B479+B480+B481+B482+B483+B484+B485</f>
        <v>131279.35911040194</v>
      </c>
      <c r="C487" s="64">
        <f t="shared" ref="C487:AC487" si="466">C478+C479+C480+C481+C482+C483+C484+C485</f>
        <v>130242.1818011727</v>
      </c>
      <c r="D487" s="64">
        <f t="shared" si="466"/>
        <v>129208.96392567088</v>
      </c>
      <c r="E487" s="64">
        <f t="shared" si="466"/>
        <v>128181.92258969415</v>
      </c>
      <c r="F487" s="64">
        <f t="shared" si="466"/>
        <v>127164.32944764014</v>
      </c>
      <c r="G487" s="64">
        <f t="shared" si="466"/>
        <v>126160.865514217</v>
      </c>
      <c r="H487" s="64">
        <f t="shared" si="466"/>
        <v>125177.94326039254</v>
      </c>
      <c r="I487" s="64">
        <f t="shared" si="466"/>
        <v>124223.80237870563</v>
      </c>
      <c r="J487" s="64">
        <f t="shared" si="466"/>
        <v>124162.19448495781</v>
      </c>
      <c r="K487" s="64">
        <f t="shared" si="466"/>
        <v>124127.91538581006</v>
      </c>
      <c r="L487" s="64">
        <f t="shared" si="466"/>
        <v>124121.38059426857</v>
      </c>
      <c r="M487" s="64">
        <f t="shared" si="466"/>
        <v>124138.42809636454</v>
      </c>
      <c r="N487" s="64">
        <f t="shared" si="466"/>
        <v>124169.82770533387</v>
      </c>
      <c r="O487" s="64">
        <f t="shared" si="466"/>
        <v>124202.93100201743</v>
      </c>
      <c r="P487" s="64">
        <f t="shared" si="466"/>
        <v>124225.09695028464</v>
      </c>
      <c r="Q487" s="64">
        <f t="shared" si="466"/>
        <v>124227.08129075187</v>
      </c>
      <c r="R487" s="64">
        <f t="shared" si="466"/>
        <v>124204.61459514091</v>
      </c>
      <c r="S487" s="64">
        <f t="shared" si="466"/>
        <v>124157.87021203534</v>
      </c>
      <c r="T487" s="64">
        <f t="shared" si="466"/>
        <v>124089.8049269348</v>
      </c>
      <c r="U487" s="64">
        <f t="shared" si="466"/>
        <v>124004.48753690055</v>
      </c>
      <c r="V487" s="64">
        <f t="shared" si="466"/>
        <v>123905.96866661172</v>
      </c>
      <c r="W487" s="64">
        <f t="shared" si="466"/>
        <v>123797.72683129642</v>
      </c>
      <c r="X487" s="64">
        <f t="shared" si="466"/>
        <v>123682.50859670618</v>
      </c>
      <c r="Y487" s="64">
        <f t="shared" si="466"/>
        <v>123562.37294400197</v>
      </c>
      <c r="Z487" s="64">
        <f t="shared" si="466"/>
        <v>123438.81284169067</v>
      </c>
      <c r="AA487" s="64">
        <f t="shared" si="466"/>
        <v>123312.88749066147</v>
      </c>
      <c r="AB487" s="64">
        <f t="shared" si="466"/>
        <v>123185.33757446436</v>
      </c>
      <c r="AC487" s="64">
        <f t="shared" si="466"/>
        <v>123056.67607144022</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0.16767611518064032</v>
      </c>
      <c r="C497" s="66">
        <f t="shared" ref="C497:AC497" si="475">C467*C468*C475/C475</f>
        <v>0.15595974879762217</v>
      </c>
      <c r="D497" s="66">
        <f t="shared" si="475"/>
        <v>0.14420669056671678</v>
      </c>
      <c r="E497" s="66">
        <f t="shared" si="475"/>
        <v>0.13240945932241244</v>
      </c>
      <c r="F497" s="66">
        <f t="shared" si="475"/>
        <v>0.12056140798727702</v>
      </c>
      <c r="G497" s="66">
        <f t="shared" si="475"/>
        <v>0.10865898156430125</v>
      </c>
      <c r="H497" s="66">
        <f t="shared" si="475"/>
        <v>9.6705525311706578E-2</v>
      </c>
      <c r="I497" s="66">
        <f t="shared" si="475"/>
        <v>8.4716931008391796E-2</v>
      </c>
      <c r="J497" s="66">
        <f t="shared" si="475"/>
        <v>8.2219284062083314E-2</v>
      </c>
      <c r="K497" s="66">
        <f t="shared" si="475"/>
        <v>7.9555093556357315E-2</v>
      </c>
      <c r="L497" s="66">
        <f t="shared" si="475"/>
        <v>7.674257635235443E-2</v>
      </c>
      <c r="M497" s="66">
        <f t="shared" si="475"/>
        <v>7.3833776798891776E-2</v>
      </c>
      <c r="N497" s="66">
        <f t="shared" si="475"/>
        <v>7.0911887166480211E-2</v>
      </c>
      <c r="O497" s="66">
        <f t="shared" si="475"/>
        <v>6.8073290115542556E-2</v>
      </c>
      <c r="P497" s="66">
        <f t="shared" si="475"/>
        <v>6.5400716079575413E-2</v>
      </c>
      <c r="Q497" s="66">
        <f t="shared" si="475"/>
        <v>6.2942146963440651E-2</v>
      </c>
      <c r="R497" s="66">
        <f t="shared" si="475"/>
        <v>6.0705986773421594E-2</v>
      </c>
      <c r="S497" s="66">
        <f t="shared" si="475"/>
        <v>5.8670793998217577E-2</v>
      </c>
      <c r="T497" s="66">
        <f t="shared" si="475"/>
        <v>5.6800270590045797E-2</v>
      </c>
      <c r="U497" s="66">
        <f t="shared" si="475"/>
        <v>5.5055632348270898E-2</v>
      </c>
      <c r="V497" s="66">
        <f t="shared" si="475"/>
        <v>5.3402632149272794E-2</v>
      </c>
      <c r="W497" s="66">
        <f t="shared" si="475"/>
        <v>5.1814093627069055E-2</v>
      </c>
      <c r="X497" s="66">
        <f t="shared" si="475"/>
        <v>5.0269833636565009E-2</v>
      </c>
      <c r="Y497" s="66">
        <f t="shared" si="475"/>
        <v>4.8755491551762481E-2</v>
      </c>
      <c r="Z497" s="66">
        <f t="shared" si="475"/>
        <v>4.7261134858958706E-2</v>
      </c>
      <c r="AA497" s="66">
        <f t="shared" si="475"/>
        <v>4.5780022751512758E-2</v>
      </c>
      <c r="AB497" s="66">
        <f t="shared" si="475"/>
        <v>4.4307638822450625E-2</v>
      </c>
      <c r="AC497" s="66">
        <f t="shared" si="475"/>
        <v>4.2840983504346043E-2</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187</v>
      </c>
      <c r="B499" s="76">
        <f>B490+B491+B492-B493+B494+B495+B496+B497</f>
        <v>1.4850783153250962</v>
      </c>
      <c r="C499" s="67">
        <f t="shared" ref="C499:AC499" si="477">C490+C491+C492-C493+C494+C495+C496+C497</f>
        <v>1.4735541230003268</v>
      </c>
      <c r="D499" s="67">
        <f t="shared" si="477"/>
        <v>1.4620739243836398</v>
      </c>
      <c r="E499" s="67">
        <f t="shared" si="477"/>
        <v>1.4506623539838985</v>
      </c>
      <c r="F499" s="67">
        <f t="shared" si="477"/>
        <v>1.4393557635166316</v>
      </c>
      <c r="G499" s="67">
        <f t="shared" si="477"/>
        <v>1.4282061642563748</v>
      </c>
      <c r="H499" s="67">
        <f t="shared" si="477"/>
        <v>1.4172848058805474</v>
      </c>
      <c r="I499" s="67">
        <f t="shared" si="477"/>
        <v>1.4066832405284706</v>
      </c>
      <c r="J499" s="67">
        <f t="shared" si="477"/>
        <v>1.4059987083757171</v>
      </c>
      <c r="K499" s="67">
        <f t="shared" si="477"/>
        <v>1.4056178294962975</v>
      </c>
      <c r="L499" s="67">
        <f t="shared" si="477"/>
        <v>1.4055452207013921</v>
      </c>
      <c r="M499" s="67">
        <f t="shared" si="477"/>
        <v>1.4057346373913475</v>
      </c>
      <c r="N499" s="67">
        <f t="shared" si="477"/>
        <v>1.4060835219354511</v>
      </c>
      <c r="O499" s="67">
        <f t="shared" si="477"/>
        <v>1.406451336343046</v>
      </c>
      <c r="P499" s="67">
        <f t="shared" si="477"/>
        <v>1.4066976246571263</v>
      </c>
      <c r="Q499" s="67">
        <f t="shared" si="477"/>
        <v>1.4067196728845397</v>
      </c>
      <c r="R499" s="67">
        <f t="shared" si="477"/>
        <v>1.4064700429333075</v>
      </c>
      <c r="S499" s="67">
        <f t="shared" si="477"/>
        <v>1.4059506608988011</v>
      </c>
      <c r="T499" s="67">
        <f t="shared" si="477"/>
        <v>1.4051943799532391</v>
      </c>
      <c r="U499" s="67">
        <f t="shared" si="477"/>
        <v>1.4042464089528586</v>
      </c>
      <c r="V499" s="67">
        <f t="shared" si="477"/>
        <v>1.4031517548385386</v>
      </c>
      <c r="W499" s="67">
        <f t="shared" si="477"/>
        <v>1.4019490677794793</v>
      </c>
      <c r="X499" s="67">
        <f t="shared" si="477"/>
        <v>1.4006688651729209</v>
      </c>
      <c r="Y499" s="67">
        <f t="shared" si="477"/>
        <v>1.3993340245873189</v>
      </c>
      <c r="Z499" s="67">
        <f t="shared" si="477"/>
        <v>1.3979611345616378</v>
      </c>
      <c r="AA499" s="67">
        <f t="shared" si="477"/>
        <v>1.3965619639946467</v>
      </c>
      <c r="AB499" s="67">
        <f t="shared" si="477"/>
        <v>1.3951447427035677</v>
      </c>
      <c r="AC499" s="67">
        <f t="shared" si="477"/>
        <v>1.393715170447744</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6.7070446072256132E-3</v>
      </c>
      <c r="C509" s="66">
        <f t="shared" ref="C509:AC509" si="486">C467*C468*C475/C475/(C472)</f>
        <v>6.2383899519048869E-3</v>
      </c>
      <c r="D509" s="66">
        <f t="shared" si="486"/>
        <v>5.7682676226686715E-3</v>
      </c>
      <c r="E509" s="66">
        <f t="shared" si="486"/>
        <v>5.2963783728964976E-3</v>
      </c>
      <c r="F509" s="66">
        <f t="shared" si="486"/>
        <v>4.8224563194910804E-3</v>
      </c>
      <c r="G509" s="66">
        <f t="shared" si="486"/>
        <v>4.3463592625720502E-3</v>
      </c>
      <c r="H509" s="66">
        <f t="shared" si="486"/>
        <v>3.8682210124682632E-3</v>
      </c>
      <c r="I509" s="66">
        <f t="shared" si="486"/>
        <v>3.388677240335672E-3</v>
      </c>
      <c r="J509" s="66">
        <f t="shared" si="486"/>
        <v>3.2887713624833326E-3</v>
      </c>
      <c r="K509" s="66">
        <f t="shared" si="486"/>
        <v>3.1822037422542925E-3</v>
      </c>
      <c r="L509" s="66">
        <f t="shared" si="486"/>
        <v>3.0697030540941771E-3</v>
      </c>
      <c r="M509" s="66">
        <f t="shared" si="486"/>
        <v>2.9533510719556709E-3</v>
      </c>
      <c r="N509" s="66">
        <f t="shared" si="486"/>
        <v>2.8364754866592084E-3</v>
      </c>
      <c r="O509" s="66">
        <f t="shared" si="486"/>
        <v>2.7229316046217021E-3</v>
      </c>
      <c r="P509" s="66">
        <f t="shared" si="486"/>
        <v>2.6160286431830167E-3</v>
      </c>
      <c r="Q509" s="66">
        <f t="shared" si="486"/>
        <v>2.5176858785376259E-3</v>
      </c>
      <c r="R509" s="66">
        <f t="shared" si="486"/>
        <v>2.4282394709368637E-3</v>
      </c>
      <c r="S509" s="66">
        <f t="shared" si="486"/>
        <v>2.346831759928703E-3</v>
      </c>
      <c r="T509" s="66">
        <f t="shared" si="486"/>
        <v>2.2720108236018318E-3</v>
      </c>
      <c r="U509" s="66">
        <f t="shared" si="486"/>
        <v>2.2022252939308358E-3</v>
      </c>
      <c r="V509" s="66">
        <f t="shared" si="486"/>
        <v>2.1361052859709116E-3</v>
      </c>
      <c r="W509" s="66">
        <f t="shared" si="486"/>
        <v>2.0725637450827623E-3</v>
      </c>
      <c r="X509" s="66">
        <f t="shared" si="486"/>
        <v>2.0107933454626002E-3</v>
      </c>
      <c r="Y509" s="66">
        <f t="shared" si="486"/>
        <v>1.9502196620704993E-3</v>
      </c>
      <c r="Z509" s="66">
        <f t="shared" si="486"/>
        <v>1.8904453943583482E-3</v>
      </c>
      <c r="AA509" s="66">
        <f t="shared" si="486"/>
        <v>1.8312009100605103E-3</v>
      </c>
      <c r="AB509" s="66">
        <f t="shared" si="486"/>
        <v>1.772305552898025E-3</v>
      </c>
      <c r="AC509" s="66">
        <f t="shared" si="486"/>
        <v>1.7136393401738417E-3</v>
      </c>
    </row>
    <row r="510" spans="1:29" x14ac:dyDescent="0.25">
      <c r="A510" s="59" t="str">
        <f>A473</f>
        <v>Market failure (av. utilization)</v>
      </c>
      <c r="B510" s="66">
        <f t="shared" ref="B510:AC510" si="487">B499/B473-B499/B472</f>
        <v>3.3414262094814663E-2</v>
      </c>
      <c r="C510" s="66">
        <f t="shared" si="487"/>
        <v>3.3154967767507357E-2</v>
      </c>
      <c r="D510" s="66">
        <f t="shared" si="487"/>
        <v>3.2896663298631897E-2</v>
      </c>
      <c r="E510" s="66">
        <f t="shared" si="487"/>
        <v>3.2639902964637715E-2</v>
      </c>
      <c r="F510" s="66">
        <f t="shared" si="487"/>
        <v>3.2385504679124211E-2</v>
      </c>
      <c r="G510" s="66">
        <f t="shared" si="487"/>
        <v>3.2134638695768436E-2</v>
      </c>
      <c r="H510" s="66">
        <f t="shared" si="487"/>
        <v>3.1888908132312314E-2</v>
      </c>
      <c r="I510" s="66">
        <f t="shared" si="487"/>
        <v>3.1650372911890587E-2</v>
      </c>
      <c r="J510" s="66">
        <f t="shared" si="487"/>
        <v>3.1634970938453633E-2</v>
      </c>
      <c r="K510" s="66">
        <f t="shared" si="487"/>
        <v>3.1626401163666697E-2</v>
      </c>
      <c r="L510" s="66">
        <f t="shared" si="487"/>
        <v>3.1624767465781321E-2</v>
      </c>
      <c r="M510" s="66">
        <f t="shared" si="487"/>
        <v>3.162902934130532E-2</v>
      </c>
      <c r="N510" s="66">
        <f t="shared" si="487"/>
        <v>3.1636879243547647E-2</v>
      </c>
      <c r="O510" s="66">
        <f t="shared" si="487"/>
        <v>3.1645155067718533E-2</v>
      </c>
      <c r="P510" s="66">
        <f t="shared" si="487"/>
        <v>3.1650696554785342E-2</v>
      </c>
      <c r="Q510" s="66">
        <f t="shared" si="487"/>
        <v>3.165119263990214E-2</v>
      </c>
      <c r="R510" s="66">
        <f t="shared" si="487"/>
        <v>3.1645575965999415E-2</v>
      </c>
      <c r="S510" s="66">
        <f t="shared" si="487"/>
        <v>3.1633889870223024E-2</v>
      </c>
      <c r="T510" s="66">
        <f t="shared" si="487"/>
        <v>3.1616873548947884E-2</v>
      </c>
      <c r="U510" s="66">
        <f t="shared" si="487"/>
        <v>3.159554420143932E-2</v>
      </c>
      <c r="V510" s="66">
        <f t="shared" si="487"/>
        <v>3.1570914483867119E-2</v>
      </c>
      <c r="W510" s="66">
        <f t="shared" si="487"/>
        <v>3.154385402503828E-2</v>
      </c>
      <c r="X510" s="66">
        <f t="shared" si="487"/>
        <v>3.1515049466390721E-2</v>
      </c>
      <c r="Y510" s="66">
        <f t="shared" si="487"/>
        <v>3.1485015553214674E-2</v>
      </c>
      <c r="Z510" s="66">
        <f t="shared" si="487"/>
        <v>3.145412552763685E-2</v>
      </c>
      <c r="AA510" s="66">
        <f t="shared" si="487"/>
        <v>3.1422644189879549E-2</v>
      </c>
      <c r="AB510" s="66">
        <f t="shared" si="487"/>
        <v>3.1390756710830275E-2</v>
      </c>
      <c r="AC510" s="66">
        <f t="shared" si="487"/>
        <v>3.1358591335074237E-2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505</v>
      </c>
      <c r="B513" s="67">
        <f>B502+B503+B504+B505+B506+B507+B508+B509+B510+B511</f>
        <v>9.1760643921659973E-2</v>
      </c>
      <c r="C513" s="67">
        <f t="shared" ref="C513:D513" si="490">C502+C503+C504+C505+C506+C507+C508+C509+C510+C511</f>
        <v>9.1040381901361891E-2</v>
      </c>
      <c r="D513" s="67">
        <f t="shared" si="490"/>
        <v>9.0322869487818952E-2</v>
      </c>
      <c r="E513" s="67">
        <f t="shared" ref="E513:AC513" si="491">E502+E503+E504-E505+E506+E507+E508+E509+E510+E511</f>
        <v>9.0666397123993658E-2</v>
      </c>
      <c r="F513" s="67">
        <f t="shared" si="491"/>
        <v>8.9959735219789477E-2</v>
      </c>
      <c r="G513" s="67">
        <f t="shared" si="491"/>
        <v>8.9262885266023412E-2</v>
      </c>
      <c r="H513" s="67">
        <f t="shared" si="491"/>
        <v>8.8580300367534198E-2</v>
      </c>
      <c r="I513" s="67">
        <f t="shared" si="491"/>
        <v>8.7917702533029413E-2</v>
      </c>
      <c r="J513" s="67">
        <f t="shared" si="491"/>
        <v>8.7874919273482316E-2</v>
      </c>
      <c r="K513" s="67">
        <f t="shared" si="491"/>
        <v>8.785111434351861E-2</v>
      </c>
      <c r="L513" s="67">
        <f t="shared" si="491"/>
        <v>8.7846576293836992E-2</v>
      </c>
      <c r="M513" s="67">
        <f t="shared" si="491"/>
        <v>8.785841483695922E-2</v>
      </c>
      <c r="N513" s="67">
        <f t="shared" si="491"/>
        <v>8.7880220120965691E-2</v>
      </c>
      <c r="O513" s="67">
        <f t="shared" si="491"/>
        <v>8.7903208521440374E-2</v>
      </c>
      <c r="P513" s="67">
        <f t="shared" si="491"/>
        <v>8.7918601541070396E-2</v>
      </c>
      <c r="Q513" s="67">
        <f t="shared" si="491"/>
        <v>8.7919979555283731E-2</v>
      </c>
      <c r="R513" s="67">
        <f t="shared" si="491"/>
        <v>8.7904377683331703E-2</v>
      </c>
      <c r="S513" s="67">
        <f t="shared" si="491"/>
        <v>8.7871916306175052E-2</v>
      </c>
      <c r="T513" s="67">
        <f t="shared" si="491"/>
        <v>8.7824648747077447E-2</v>
      </c>
      <c r="U513" s="67">
        <f t="shared" si="491"/>
        <v>8.7765400559553661E-2</v>
      </c>
      <c r="V513" s="67">
        <f t="shared" si="491"/>
        <v>8.7696984677408649E-2</v>
      </c>
      <c r="W513" s="67">
        <f t="shared" si="491"/>
        <v>8.7621816736217439E-2</v>
      </c>
      <c r="X513" s="67">
        <f t="shared" si="491"/>
        <v>8.7541804073307555E-2</v>
      </c>
      <c r="Y513" s="67">
        <f t="shared" si="491"/>
        <v>8.7458376536707419E-2</v>
      </c>
      <c r="Z513" s="67">
        <f t="shared" si="491"/>
        <v>8.7372570910102365E-2</v>
      </c>
      <c r="AA513" s="67">
        <f t="shared" si="491"/>
        <v>8.7285122749665406E-2</v>
      </c>
      <c r="AB513" s="67">
        <f t="shared" si="491"/>
        <v>8.7196546418972981E-2</v>
      </c>
      <c r="AC513" s="67">
        <f t="shared" si="491"/>
        <v>8.7107198152983983E-2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299</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Input'!$L$89</f>
        <v>400000</v>
      </c>
      <c r="C11" s="42">
        <f>'Parameter Input'!$M$89</f>
        <v>145000</v>
      </c>
      <c r="D11" s="1" t="s">
        <v>138</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151</v>
      </c>
      <c r="B12" s="60">
        <f>'Parameter Input'!$L$90</f>
        <v>-60000</v>
      </c>
      <c r="C12" s="61">
        <f>'Parameter Input'!$M$90</f>
        <v>-36250</v>
      </c>
      <c r="D12" s="1" t="s">
        <v>138</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Input'!$L$96</f>
        <v>0.06</v>
      </c>
      <c r="C15" s="46">
        <f>'Parameter Input'!$M$96</f>
        <v>0.06</v>
      </c>
      <c r="D15" s="1" t="s">
        <v>180</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Input'!$L$92</f>
        <v>15000</v>
      </c>
      <c r="C17" s="44">
        <f>'Parameter Input'!$M$92</f>
        <v>15000</v>
      </c>
      <c r="D17" s="1" t="s">
        <v>161</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Input'!$L$93</f>
        <v>1.52</v>
      </c>
      <c r="C19" s="48">
        <f>'Parameter Input'!$M$93</f>
        <v>1.1499999999999999</v>
      </c>
      <c r="D19" s="1" t="s">
        <v>184</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191</v>
      </c>
      <c r="B20" s="45">
        <f>'Parameter Input'!$L$94</f>
        <v>0.13371034051801745</v>
      </c>
      <c r="C20" s="46">
        <f>'Parameter Input'!$M$94</f>
        <v>8.7585019329602734E-2</v>
      </c>
      <c r="D20" s="1" t="s">
        <v>94</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Input'!$L$97</f>
        <v>0</v>
      </c>
      <c r="C21" s="116">
        <f>'Parameter Input'!$M$97</f>
        <v>0</v>
      </c>
      <c r="D21" s="1" t="s">
        <v>200</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Input'!$L$91</f>
        <v>8</v>
      </c>
      <c r="C22" s="44">
        <f>'Parameter Input'!$M$91</f>
        <v>8</v>
      </c>
      <c r="D22" s="1" t="s">
        <v>165</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197</v>
      </c>
      <c r="B26" s="72">
        <f>'Parameter Input'!L95</f>
        <v>0.1</v>
      </c>
      <c r="C26" s="73">
        <f>'Parameter Input'!M95</f>
        <v>0.05</v>
      </c>
      <c r="D26" s="1" t="s">
        <v>180</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9.4166661249999992E-2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197</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7768.5616139979438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75" thickBot="1" x14ac:dyDescent="0.3">
      <c r="A59" s="31" t="s">
        <v>504</v>
      </c>
      <c r="B59" s="64">
        <f>B50+B51+B52+B53+B54+B55+B56+B57+B58</f>
        <v>155630.21933053943</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0.14124657479996261</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75" thickBot="1" x14ac:dyDescent="0.3">
      <c r="A71" s="31" t="s">
        <v>187</v>
      </c>
      <c r="B71" s="76">
        <f>B62+B63+B64-B65+B66+B67+B68+B69+B70</f>
        <v>2.8790468817263104</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5.6498629919985045E-3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9.0484330568541216E-2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25">
      <c r="A83" s="59" t="str">
        <f>A46</f>
        <v>Payload loss (fuel)</v>
      </c>
      <c r="B83" s="66">
        <f>B71/(B44-B46)-B71/B44</f>
        <v>1.2701981899788134E-2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75" thickBot="1" x14ac:dyDescent="0.3">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75" thickBot="1" x14ac:dyDescent="0.3">
      <c r="A85" s="31" t="s">
        <v>505</v>
      </c>
      <c r="B85" s="67">
        <f>B74+B75+B76+B77+B78+B79+B80+B81+B82+B83+B84</f>
        <v>0.21637192652690349</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25">
      <c r="B87" s="40"/>
    </row>
    <row r="107" spans="1:2" s="3" customFormat="1" ht="21" x14ac:dyDescent="0.35">
      <c r="A107" s="2" t="str">
        <f>'Parameter Input'!A88</f>
        <v>Road long-haul: Liquid bulk</v>
      </c>
    </row>
    <row r="108" spans="1:2" s="3" customFormat="1" ht="21" x14ac:dyDescent="0.35">
      <c r="A108" s="2" t="s">
        <v>299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Input'!$L$89</f>
        <v>400000</v>
      </c>
      <c r="C117" s="42">
        <f>'Parameter Input'!$M$89</f>
        <v>145000</v>
      </c>
      <c r="D117" s="1" t="s">
        <v>138</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151</v>
      </c>
      <c r="B118" s="60">
        <f>'Parameter Input'!$L$90</f>
        <v>-60000</v>
      </c>
      <c r="C118" s="61">
        <f>'Parameter Input'!$M$90</f>
        <v>-36250</v>
      </c>
      <c r="D118" s="1" t="s">
        <v>138</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203</v>
      </c>
      <c r="B121" s="45">
        <f>'Parameter Input'!$L$96</f>
        <v>0.06</v>
      </c>
      <c r="C121" s="46">
        <f>'Parameter Input'!$M$96</f>
        <v>0.06</v>
      </c>
      <c r="D121" s="1" t="s">
        <v>180</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175</v>
      </c>
      <c r="B123" s="43">
        <f>'Parameter Input'!$L$92</f>
        <v>15000</v>
      </c>
      <c r="C123" s="44">
        <f>'Parameter Input'!$M$92</f>
        <v>15000</v>
      </c>
      <c r="D123" s="1" t="s">
        <v>161</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183</v>
      </c>
      <c r="B125" s="47">
        <f>'Parameter Input'!$L$93</f>
        <v>1.52</v>
      </c>
      <c r="C125" s="48">
        <f>'Parameter Input'!$M$93</f>
        <v>1.1499999999999999</v>
      </c>
      <c r="D125" s="1" t="s">
        <v>184</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191</v>
      </c>
      <c r="B126" s="45">
        <f>'Parameter Input'!$L$94</f>
        <v>0.13371034051801745</v>
      </c>
      <c r="C126" s="46">
        <f>'Parameter Input'!$M$94</f>
        <v>8.7585019329602734E-2</v>
      </c>
      <c r="D126" s="1" t="s">
        <v>94</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458</v>
      </c>
      <c r="B127" s="115">
        <f>'Parameter Input'!$L$97</f>
        <v>0</v>
      </c>
      <c r="C127" s="116">
        <f>'Parameter Input'!$M$97</f>
        <v>0</v>
      </c>
      <c r="D127" s="1" t="s">
        <v>200</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164</v>
      </c>
      <c r="B128" s="43">
        <f>'Parameter Input'!$L$91</f>
        <v>8</v>
      </c>
      <c r="C128" s="44">
        <f>'Parameter Input'!$M$91</f>
        <v>8</v>
      </c>
      <c r="D128" s="1" t="s">
        <v>165</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197</v>
      </c>
      <c r="B132" s="72">
        <f>'Parameter Input'!$L$95</f>
        <v>0.1</v>
      </c>
      <c r="C132" s="73">
        <f>'Parameter Input'!$M$95</f>
        <v>0.05</v>
      </c>
      <c r="D132" s="1" t="s">
        <v>180</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197</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15537.123227995888</v>
      </c>
      <c r="C163" s="62">
        <f t="shared" ref="C163:AC163" si="154">C145*C146*C153</f>
        <v>15452.253472541139</v>
      </c>
      <c r="D163" s="62">
        <f t="shared" si="154"/>
        <v>15335.900212796545</v>
      </c>
      <c r="E163" s="62">
        <f t="shared" si="154"/>
        <v>15179.533899611062</v>
      </c>
      <c r="F163" s="62">
        <f t="shared" si="154"/>
        <v>14975.132920527518</v>
      </c>
      <c r="G163" s="62">
        <f t="shared" si="154"/>
        <v>14717.724435621387</v>
      </c>
      <c r="H163" s="62">
        <f t="shared" si="154"/>
        <v>14408.841642645742</v>
      </c>
      <c r="I163" s="62">
        <f t="shared" si="154"/>
        <v>14059.565118170698</v>
      </c>
      <c r="J163" s="62">
        <f t="shared" si="154"/>
        <v>13957.382549408399</v>
      </c>
      <c r="K163" s="62">
        <f t="shared" si="154"/>
        <v>13848.380804718005</v>
      </c>
      <c r="L163" s="62">
        <f t="shared" si="154"/>
        <v>13759.61410676738</v>
      </c>
      <c r="M163" s="62">
        <f t="shared" si="154"/>
        <v>13711.287493792861</v>
      </c>
      <c r="N163" s="62">
        <f t="shared" si="154"/>
        <v>13713.194756307059</v>
      </c>
      <c r="O163" s="62">
        <f t="shared" si="154"/>
        <v>13394.781863292339</v>
      </c>
      <c r="P163" s="62">
        <f t="shared" si="154"/>
        <v>13128.714439982306</v>
      </c>
      <c r="Q163" s="62">
        <f t="shared" si="154"/>
        <v>12903.461211797441</v>
      </c>
      <c r="R163" s="62">
        <f t="shared" si="154"/>
        <v>12708.456686043739</v>
      </c>
      <c r="S163" s="62">
        <f t="shared" si="154"/>
        <v>12535.095625141044</v>
      </c>
      <c r="T163" s="62">
        <f t="shared" si="154"/>
        <v>12376.850585401035</v>
      </c>
      <c r="U163" s="62">
        <f t="shared" si="154"/>
        <v>12228.989508274854</v>
      </c>
      <c r="V163" s="62">
        <f t="shared" si="154"/>
        <v>12088.181821607197</v>
      </c>
      <c r="W163" s="62">
        <f t="shared" si="154"/>
        <v>11952.128710886922</v>
      </c>
      <c r="X163" s="62">
        <f t="shared" si="154"/>
        <v>11819.263994064037</v>
      </c>
      <c r="Y163" s="62">
        <f t="shared" si="154"/>
        <v>11688.529870882794</v>
      </c>
      <c r="Z163" s="62">
        <f t="shared" si="154"/>
        <v>11559.216062916938</v>
      </c>
      <c r="AA163" s="62">
        <f t="shared" si="154"/>
        <v>11430.847516210863</v>
      </c>
      <c r="AB163" s="62">
        <f t="shared" si="154"/>
        <v>11303.107348783331</v>
      </c>
      <c r="AC163" s="62">
        <f t="shared" si="154"/>
        <v>11175.784571359156</v>
      </c>
    </row>
    <row r="164" spans="1:29" ht="15.75" thickBot="1" x14ac:dyDescent="0.3">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75" thickBot="1" x14ac:dyDescent="0.3">
      <c r="A165" s="31" t="s">
        <v>504</v>
      </c>
      <c r="B165" s="64">
        <f>B156+B157+B158+B159+B160+B161+B162+B163+B164</f>
        <v>171486.80031784312</v>
      </c>
      <c r="C165" s="64">
        <f t="shared" ref="C165:AC165" si="156">C156+C157+C158+C159+C160+C161+C162+C163+C164</f>
        <v>170577.28765059446</v>
      </c>
      <c r="D165" s="64">
        <f t="shared" si="156"/>
        <v>169330.37980873309</v>
      </c>
      <c r="E165" s="64">
        <f t="shared" si="156"/>
        <v>167654.66928251393</v>
      </c>
      <c r="F165" s="64">
        <f t="shared" si="156"/>
        <v>165464.19190127961</v>
      </c>
      <c r="G165" s="64">
        <f t="shared" si="156"/>
        <v>162705.65587834691</v>
      </c>
      <c r="H165" s="64">
        <f t="shared" si="156"/>
        <v>159395.49183461655</v>
      </c>
      <c r="I165" s="64">
        <f t="shared" si="156"/>
        <v>155652.44554350266</v>
      </c>
      <c r="J165" s="64">
        <f t="shared" si="156"/>
        <v>151967.47415638671</v>
      </c>
      <c r="K165" s="64">
        <f t="shared" si="156"/>
        <v>148346.18617586931</v>
      </c>
      <c r="L165" s="64">
        <f t="shared" si="156"/>
        <v>145060.11302211028</v>
      </c>
      <c r="M165" s="64">
        <f t="shared" si="156"/>
        <v>142294.53122689362</v>
      </c>
      <c r="N165" s="64">
        <f t="shared" si="156"/>
        <v>140120.4037212636</v>
      </c>
      <c r="O165" s="64">
        <f t="shared" si="156"/>
        <v>138141.5797208398</v>
      </c>
      <c r="P165" s="64">
        <f t="shared" si="156"/>
        <v>136654.97696842081</v>
      </c>
      <c r="Q165" s="64">
        <f t="shared" si="156"/>
        <v>135557.05863699794</v>
      </c>
      <c r="R165" s="64">
        <f t="shared" si="156"/>
        <v>134750.44474875188</v>
      </c>
      <c r="S165" s="64">
        <f t="shared" si="156"/>
        <v>134154.42402591763</v>
      </c>
      <c r="T165" s="64">
        <f t="shared" si="156"/>
        <v>133706.93191757903</v>
      </c>
      <c r="U165" s="64">
        <f t="shared" si="156"/>
        <v>133362.44584297377</v>
      </c>
      <c r="V165" s="64">
        <f t="shared" si="156"/>
        <v>133088.58420843797</v>
      </c>
      <c r="W165" s="64">
        <f t="shared" si="156"/>
        <v>132862.7727655748</v>
      </c>
      <c r="X165" s="64">
        <f t="shared" si="156"/>
        <v>132669.48318543486</v>
      </c>
      <c r="Y165" s="64">
        <f t="shared" si="156"/>
        <v>132498.12847100516</v>
      </c>
      <c r="Z165" s="64">
        <f t="shared" si="156"/>
        <v>132341.53328244918</v>
      </c>
      <c r="AA165" s="64">
        <f t="shared" si="156"/>
        <v>132194.85379298573</v>
      </c>
      <c r="AB165" s="64">
        <f t="shared" si="156"/>
        <v>132054.82877274445</v>
      </c>
      <c r="AC165" s="64">
        <f t="shared" si="156"/>
        <v>131919.2664166269</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0.14124657479996261</v>
      </c>
      <c r="C175" s="66">
        <f t="shared" ref="C175:AC175" si="165">C145*C146*C153/C153</f>
        <v>0.14047503156855581</v>
      </c>
      <c r="D175" s="66">
        <f t="shared" si="165"/>
        <v>0.13941727466178677</v>
      </c>
      <c r="E175" s="66">
        <f t="shared" si="165"/>
        <v>0.13799576272373693</v>
      </c>
      <c r="F175" s="66">
        <f t="shared" si="165"/>
        <v>0.13613757200479562</v>
      </c>
      <c r="G175" s="66">
        <f t="shared" si="165"/>
        <v>0.13379749486928533</v>
      </c>
      <c r="H175" s="66">
        <f t="shared" si="165"/>
        <v>0.13098946947859766</v>
      </c>
      <c r="I175" s="66">
        <f t="shared" si="165"/>
        <v>0.12781422834700634</v>
      </c>
      <c r="J175" s="66">
        <f t="shared" si="165"/>
        <v>0.12688529590371272</v>
      </c>
      <c r="K175" s="66">
        <f t="shared" si="165"/>
        <v>0.12589437095198186</v>
      </c>
      <c r="L175" s="66">
        <f t="shared" si="165"/>
        <v>0.12508740097061255</v>
      </c>
      <c r="M175" s="66">
        <f t="shared" si="165"/>
        <v>0.12464806812538964</v>
      </c>
      <c r="N175" s="66">
        <f t="shared" si="165"/>
        <v>0.12466540687551872</v>
      </c>
      <c r="O175" s="66">
        <f t="shared" si="165"/>
        <v>0.12177074421174854</v>
      </c>
      <c r="P175" s="66">
        <f t="shared" si="165"/>
        <v>0.1193519494543846</v>
      </c>
      <c r="Q175" s="66">
        <f t="shared" si="165"/>
        <v>0.11730419283452219</v>
      </c>
      <c r="R175" s="66">
        <f t="shared" si="165"/>
        <v>0.11553142441857944</v>
      </c>
      <c r="S175" s="66">
        <f t="shared" si="165"/>
        <v>0.1139554147740095</v>
      </c>
      <c r="T175" s="66">
        <f t="shared" si="165"/>
        <v>0.11251682350364577</v>
      </c>
      <c r="U175" s="66">
        <f t="shared" si="165"/>
        <v>0.11117263189340776</v>
      </c>
      <c r="V175" s="66">
        <f t="shared" si="165"/>
        <v>0.10989256201461088</v>
      </c>
      <c r="W175" s="66">
        <f t="shared" si="165"/>
        <v>0.10865571555351747</v>
      </c>
      <c r="X175" s="66">
        <f t="shared" si="165"/>
        <v>0.10744785449149125</v>
      </c>
      <c r="Y175" s="66">
        <f t="shared" si="165"/>
        <v>0.10625936246257085</v>
      </c>
      <c r="Z175" s="66">
        <f t="shared" si="165"/>
        <v>0.10508378239015398</v>
      </c>
      <c r="AA175" s="66">
        <f t="shared" si="165"/>
        <v>0.10391679560191693</v>
      </c>
      <c r="AB175" s="66">
        <f t="shared" si="165"/>
        <v>0.10275552135257573</v>
      </c>
      <c r="AC175" s="66">
        <f t="shared" si="165"/>
        <v>0.10159804155781051</v>
      </c>
    </row>
    <row r="176" spans="1:29" ht="15.75" thickBot="1" x14ac:dyDescent="0.3">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75" thickBot="1" x14ac:dyDescent="0.3">
      <c r="A177" s="31" t="s">
        <v>187</v>
      </c>
      <c r="B177" s="76">
        <f>B168+B169+B170-B171+B172+B173+B174+B175+B176</f>
        <v>1.5960258096768603</v>
      </c>
      <c r="C177" s="76">
        <f t="shared" ref="C177:AC177" si="168">C168+C169+C170-C171+C172+C173+C174+C175+C176</f>
        <v>1.5877575127018724</v>
      </c>
      <c r="D177" s="76">
        <f t="shared" si="168"/>
        <v>1.576421986866769</v>
      </c>
      <c r="E177" s="76">
        <f t="shared" si="168"/>
        <v>1.5611882548102312</v>
      </c>
      <c r="F177" s="76">
        <f t="shared" si="168"/>
        <v>1.5412748240717378</v>
      </c>
      <c r="G177" s="76">
        <f t="shared" si="168"/>
        <v>1.5161972238632582</v>
      </c>
      <c r="H177" s="76">
        <f t="shared" si="168"/>
        <v>1.4861048234657099</v>
      </c>
      <c r="I177" s="76">
        <f t="shared" si="168"/>
        <v>1.4520771299101289</v>
      </c>
      <c r="J177" s="76">
        <f t="shared" si="168"/>
        <v>1.4185773900272565</v>
      </c>
      <c r="K177" s="76">
        <f t="shared" si="168"/>
        <v>1.3856565902043712</v>
      </c>
      <c r="L177" s="76">
        <f t="shared" si="168"/>
        <v>1.355783197897471</v>
      </c>
      <c r="M177" s="76">
        <f t="shared" si="168"/>
        <v>1.3306415452136831</v>
      </c>
      <c r="N177" s="76">
        <f t="shared" si="168"/>
        <v>1.3108767497079556</v>
      </c>
      <c r="O177" s="76">
        <f t="shared" si="168"/>
        <v>1.2928874406131943</v>
      </c>
      <c r="P177" s="76">
        <f t="shared" si="168"/>
        <v>1.2793728701366573</v>
      </c>
      <c r="Q177" s="76">
        <f t="shared" si="168"/>
        <v>1.2693917943964497</v>
      </c>
      <c r="R177" s="76">
        <f t="shared" si="168"/>
        <v>1.26205894086694</v>
      </c>
      <c r="S177" s="76">
        <f t="shared" si="168"/>
        <v>1.2566405706593557</v>
      </c>
      <c r="T177" s="76">
        <f t="shared" si="168"/>
        <v>1.2525724605835507</v>
      </c>
      <c r="U177" s="76">
        <f t="shared" si="168"/>
        <v>1.2494407689962301</v>
      </c>
      <c r="V177" s="76">
        <f t="shared" si="168"/>
        <v>1.2469511177731771</v>
      </c>
      <c r="W177" s="76">
        <f t="shared" si="168"/>
        <v>1.2448982864744209</v>
      </c>
      <c r="X177" s="76">
        <f t="shared" si="168"/>
        <v>1.243141108473149</v>
      </c>
      <c r="Y177" s="76">
        <f t="shared" si="168"/>
        <v>1.2415833383419699</v>
      </c>
      <c r="Z177" s="76">
        <f t="shared" si="168"/>
        <v>1.2401597457187339</v>
      </c>
      <c r="AA177" s="76">
        <f t="shared" si="168"/>
        <v>1.2388262958145204</v>
      </c>
      <c r="AB177" s="76">
        <f t="shared" si="168"/>
        <v>1.2375533410850541</v>
      </c>
      <c r="AC177" s="76">
        <f t="shared" si="168"/>
        <v>1.2363209560294404</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5.6498629919985045E-3</v>
      </c>
      <c r="C187" s="66">
        <f t="shared" ref="C187:AC187" si="177">C145*C146*C153/C153/(C150)</f>
        <v>5.6190012627422327E-3</v>
      </c>
      <c r="D187" s="66">
        <f t="shared" si="177"/>
        <v>5.5766909864714709E-3</v>
      </c>
      <c r="E187" s="66">
        <f t="shared" si="177"/>
        <v>5.5198305089494771E-3</v>
      </c>
      <c r="F187" s="66">
        <f t="shared" si="177"/>
        <v>5.4455028801918244E-3</v>
      </c>
      <c r="G187" s="66">
        <f t="shared" si="177"/>
        <v>5.351899794771413E-3</v>
      </c>
      <c r="H187" s="66">
        <f t="shared" si="177"/>
        <v>5.2395787791439065E-3</v>
      </c>
      <c r="I187" s="66">
        <f t="shared" si="177"/>
        <v>5.1125691338802541E-3</v>
      </c>
      <c r="J187" s="66">
        <f t="shared" si="177"/>
        <v>5.0754118361485091E-3</v>
      </c>
      <c r="K187" s="66">
        <f t="shared" si="177"/>
        <v>5.0357748380792742E-3</v>
      </c>
      <c r="L187" s="66">
        <f t="shared" si="177"/>
        <v>5.0034960388245023E-3</v>
      </c>
      <c r="M187" s="66">
        <f t="shared" si="177"/>
        <v>4.985922725015586E-3</v>
      </c>
      <c r="N187" s="66">
        <f t="shared" si="177"/>
        <v>4.9866162750207485E-3</v>
      </c>
      <c r="O187" s="66">
        <f t="shared" si="177"/>
        <v>4.8708297684699415E-3</v>
      </c>
      <c r="P187" s="66">
        <f t="shared" si="177"/>
        <v>4.7740779781753843E-3</v>
      </c>
      <c r="Q187" s="66">
        <f t="shared" si="177"/>
        <v>4.6921677133808879E-3</v>
      </c>
      <c r="R187" s="66">
        <f t="shared" si="177"/>
        <v>4.6212569767431775E-3</v>
      </c>
      <c r="S187" s="66">
        <f t="shared" si="177"/>
        <v>4.5582165909603799E-3</v>
      </c>
      <c r="T187" s="66">
        <f t="shared" si="177"/>
        <v>4.5006729401458308E-3</v>
      </c>
      <c r="U187" s="66">
        <f t="shared" si="177"/>
        <v>4.4469052757363106E-3</v>
      </c>
      <c r="V187" s="66">
        <f t="shared" si="177"/>
        <v>4.3957024805844356E-3</v>
      </c>
      <c r="W187" s="66">
        <f t="shared" si="177"/>
        <v>4.3462286221406989E-3</v>
      </c>
      <c r="X187" s="66">
        <f t="shared" si="177"/>
        <v>4.2979141796596499E-3</v>
      </c>
      <c r="Y187" s="66">
        <f t="shared" si="177"/>
        <v>4.250374498502834E-3</v>
      </c>
      <c r="Z187" s="66">
        <f t="shared" si="177"/>
        <v>4.2033512956061595E-3</v>
      </c>
      <c r="AA187" s="66">
        <f t="shared" si="177"/>
        <v>4.1566718240766774E-3</v>
      </c>
      <c r="AB187" s="66">
        <f t="shared" si="177"/>
        <v>4.1102208541030291E-3</v>
      </c>
      <c r="AC187" s="66">
        <f t="shared" si="177"/>
        <v>4.06392166231242E-3</v>
      </c>
    </row>
    <row r="188" spans="1:29" x14ac:dyDescent="0.25">
      <c r="A188" s="59" t="str">
        <f>A151</f>
        <v>Market failure (av. utilization)</v>
      </c>
      <c r="B188" s="66">
        <f t="shared" ref="B188:AC188" si="178">B177/B151-B177/B150</f>
        <v>3.591058071772936E-2</v>
      </c>
      <c r="C188" s="66">
        <f t="shared" si="178"/>
        <v>3.572454403579213E-2</v>
      </c>
      <c r="D188" s="66">
        <f t="shared" si="178"/>
        <v>3.5469494704502308E-2</v>
      </c>
      <c r="E188" s="66">
        <f t="shared" si="178"/>
        <v>3.5126735733230198E-2</v>
      </c>
      <c r="F188" s="66">
        <f t="shared" si="178"/>
        <v>3.4678683541614103E-2</v>
      </c>
      <c r="G188" s="66">
        <f t="shared" si="178"/>
        <v>3.4114437536923309E-2</v>
      </c>
      <c r="H188" s="66">
        <f t="shared" si="178"/>
        <v>3.3437358527978474E-2</v>
      </c>
      <c r="I188" s="66">
        <f t="shared" si="178"/>
        <v>3.2671735422977903E-2</v>
      </c>
      <c r="J188" s="66">
        <f t="shared" si="178"/>
        <v>3.1917991275613268E-2</v>
      </c>
      <c r="K188" s="66">
        <f t="shared" si="178"/>
        <v>3.117727327959835E-2</v>
      </c>
      <c r="L188" s="66">
        <f t="shared" si="178"/>
        <v>3.0505121952693101E-2</v>
      </c>
      <c r="M188" s="66">
        <f t="shared" si="178"/>
        <v>2.9939434767307871E-2</v>
      </c>
      <c r="N188" s="66">
        <f t="shared" si="178"/>
        <v>2.9494726868429001E-2</v>
      </c>
      <c r="O188" s="66">
        <f t="shared" si="178"/>
        <v>2.9089967413796873E-2</v>
      </c>
      <c r="P188" s="66">
        <f t="shared" si="178"/>
        <v>2.8785889578074791E-2</v>
      </c>
      <c r="Q188" s="66">
        <f t="shared" si="178"/>
        <v>2.8561315373920121E-2</v>
      </c>
      <c r="R188" s="66">
        <f t="shared" si="178"/>
        <v>2.8396326169506152E-2</v>
      </c>
      <c r="S188" s="66">
        <f t="shared" si="178"/>
        <v>2.8274412839835505E-2</v>
      </c>
      <c r="T188" s="66">
        <f t="shared" si="178"/>
        <v>2.8182880363129888E-2</v>
      </c>
      <c r="U188" s="66">
        <f t="shared" si="178"/>
        <v>2.8112417302415177E-2</v>
      </c>
      <c r="V188" s="66">
        <f t="shared" si="178"/>
        <v>2.8056400149896486E-2</v>
      </c>
      <c r="W188" s="66">
        <f t="shared" si="178"/>
        <v>2.801021144567447E-2</v>
      </c>
      <c r="X188" s="66">
        <f t="shared" si="178"/>
        <v>2.7970674940645854E-2</v>
      </c>
      <c r="Y188" s="66">
        <f t="shared" si="178"/>
        <v>2.7935625112694325E-2</v>
      </c>
      <c r="Z188" s="66">
        <f t="shared" si="178"/>
        <v>2.7903594278671513E-2</v>
      </c>
      <c r="AA188" s="66">
        <f t="shared" si="178"/>
        <v>2.7873591655826709E-2</v>
      </c>
      <c r="AB188" s="66">
        <f t="shared" si="178"/>
        <v>2.784495017441372E-2</v>
      </c>
      <c r="AC188" s="66">
        <f t="shared" si="178"/>
        <v>2.7817221510662411E-2</v>
      </c>
    </row>
    <row r="189" spans="1:29" x14ac:dyDescent="0.25">
      <c r="A189" s="59" t="str">
        <f>A152</f>
        <v>Payload loss (fuel)</v>
      </c>
      <c r="B189" s="66">
        <f>B177/(B150-B152)-B177/B150</f>
        <v>7.0414591282912525E-3</v>
      </c>
      <c r="C189" s="66">
        <f t="shared" ref="C189:AC189" si="179">C177/(C150-C152)-C177/C150</f>
        <v>6.9828588543621173E-3</v>
      </c>
      <c r="D189" s="66">
        <f t="shared" si="179"/>
        <v>6.9018442954157516E-3</v>
      </c>
      <c r="E189" s="66">
        <f t="shared" si="179"/>
        <v>6.791576919394339E-3</v>
      </c>
      <c r="F189" s="66">
        <f t="shared" si="179"/>
        <v>6.6446462056256178E-3</v>
      </c>
      <c r="G189" s="66">
        <f t="shared" si="179"/>
        <v>6.4542293306818349E-3</v>
      </c>
      <c r="H189" s="66">
        <f t="shared" si="179"/>
        <v>6.2158549747534445E-3</v>
      </c>
      <c r="I189" s="66">
        <f t="shared" si="179"/>
        <v>5.9292918566363276E-3</v>
      </c>
      <c r="J189" s="66">
        <f t="shared" si="179"/>
        <v>5.6092583069430324E-3</v>
      </c>
      <c r="K189" s="66">
        <f t="shared" si="179"/>
        <v>5.255162681723019E-3</v>
      </c>
      <c r="L189" s="66">
        <f t="shared" si="179"/>
        <v>4.8810765427735395E-3</v>
      </c>
      <c r="M189" s="66">
        <f t="shared" si="179"/>
        <v>4.5038312884752088E-3</v>
      </c>
      <c r="N189" s="66">
        <f t="shared" si="179"/>
        <v>4.1417431402014024E-3</v>
      </c>
      <c r="O189" s="66">
        <f t="shared" si="179"/>
        <v>3.8024142206096179E-3</v>
      </c>
      <c r="P189" s="66">
        <f t="shared" si="179"/>
        <v>3.5106476484533314E-3</v>
      </c>
      <c r="Q189" s="66">
        <f t="shared" si="179"/>
        <v>3.2725454865086059E-3</v>
      </c>
      <c r="R189" s="66">
        <f t="shared" si="179"/>
        <v>3.0870415618818522E-3</v>
      </c>
      <c r="S189" s="66">
        <f t="shared" si="179"/>
        <v>2.9479012200617771E-3</v>
      </c>
      <c r="T189" s="66">
        <f t="shared" si="179"/>
        <v>2.846497729164732E-3</v>
      </c>
      <c r="U189" s="66">
        <f t="shared" si="179"/>
        <v>2.7740606783168628E-3</v>
      </c>
      <c r="V189" s="66">
        <f t="shared" si="179"/>
        <v>2.7229404701905324E-3</v>
      </c>
      <c r="W189" s="66">
        <f t="shared" si="179"/>
        <v>2.6870483791582855E-3</v>
      </c>
      <c r="X189" s="66">
        <f t="shared" si="179"/>
        <v>2.66181256184405E-3</v>
      </c>
      <c r="Y189" s="66">
        <f t="shared" si="179"/>
        <v>2.643928738708827E-3</v>
      </c>
      <c r="Z189" s="66">
        <f t="shared" si="179"/>
        <v>2.6310684048796371E-3</v>
      </c>
      <c r="AA189" s="66">
        <f t="shared" si="179"/>
        <v>2.6216180997536073E-3</v>
      </c>
      <c r="AB189" s="66">
        <f t="shared" si="179"/>
        <v>2.614472346909702E-3</v>
      </c>
      <c r="AC189" s="66">
        <f t="shared" si="179"/>
        <v>2.6088794044930377E-3</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505</v>
      </c>
      <c r="B191" s="67">
        <f>B180+B181+B182+B183+B184+B185+B186+B187+B188+B189+B190</f>
        <v>0.10531087632523629</v>
      </c>
      <c r="C191" s="67">
        <f t="shared" ref="C191:AC191" si="181">C180+C181+C182+C183+C184+C185+C186+C187+C188+C189+C190</f>
        <v>0.10473550749037042</v>
      </c>
      <c r="D191" s="67">
        <f t="shared" si="181"/>
        <v>0.10394602256673009</v>
      </c>
      <c r="E191" s="67">
        <f t="shared" si="181"/>
        <v>0.10288364693717506</v>
      </c>
      <c r="F191" s="67">
        <f t="shared" si="181"/>
        <v>0.10149212680225049</v>
      </c>
      <c r="G191" s="67">
        <f t="shared" si="181"/>
        <v>9.9734359914276746E-2</v>
      </c>
      <c r="H191" s="67">
        <f t="shared" si="181"/>
        <v>9.7615210533501584E-2</v>
      </c>
      <c r="I191" s="67">
        <f t="shared" si="181"/>
        <v>9.5201916568160655E-2</v>
      </c>
      <c r="J191" s="67">
        <f t="shared" si="181"/>
        <v>9.2788149275787823E-2</v>
      </c>
      <c r="K191" s="67">
        <f t="shared" si="181"/>
        <v>9.0376503661637492E-2</v>
      </c>
      <c r="L191" s="67">
        <f t="shared" si="181"/>
        <v>8.8135330503506748E-2</v>
      </c>
      <c r="M191" s="67">
        <f t="shared" si="181"/>
        <v>8.6186731956471668E-2</v>
      </c>
      <c r="N191" s="67">
        <f t="shared" si="181"/>
        <v>8.4589344089089913E-2</v>
      </c>
      <c r="O191" s="67">
        <f t="shared" si="181"/>
        <v>8.3125683351075508E-2</v>
      </c>
      <c r="P191" s="67">
        <f t="shared" si="181"/>
        <v>8.1989256124135684E-2</v>
      </c>
      <c r="Q191" s="67">
        <f t="shared" si="181"/>
        <v>8.1127336728427979E-2</v>
      </c>
      <c r="R191" s="67">
        <f t="shared" si="181"/>
        <v>8.0483529458206887E-2</v>
      </c>
      <c r="S191" s="67">
        <f t="shared" si="181"/>
        <v>8.0005740978412787E-2</v>
      </c>
      <c r="T191" s="67">
        <f t="shared" si="181"/>
        <v>7.9650080607777923E-2</v>
      </c>
      <c r="U191" s="67">
        <f t="shared" si="181"/>
        <v>7.9381912832722501E-2</v>
      </c>
      <c r="V191" s="67">
        <f t="shared" si="181"/>
        <v>7.9175189423155379E-2</v>
      </c>
      <c r="W191" s="67">
        <f t="shared" si="181"/>
        <v>7.9010995375950868E-2</v>
      </c>
      <c r="X191" s="67">
        <f t="shared" si="181"/>
        <v>7.8875935933557129E-2</v>
      </c>
      <c r="Y191" s="67">
        <f t="shared" si="181"/>
        <v>7.8760691477223227E-2</v>
      </c>
      <c r="Z191" s="67">
        <f t="shared" si="181"/>
        <v>7.8658856604441774E-2</v>
      </c>
      <c r="AA191" s="67">
        <f t="shared" si="181"/>
        <v>7.8566065680302416E-2</v>
      </c>
      <c r="AB191" s="67">
        <f t="shared" si="181"/>
        <v>7.8479360256866859E-2</v>
      </c>
      <c r="AC191" s="67">
        <f t="shared" si="181"/>
        <v>7.8396743248474315E-2</v>
      </c>
    </row>
    <row r="193" spans="2:2" x14ac:dyDescent="0.25">
      <c r="B193" s="40"/>
    </row>
    <row r="215" spans="1:44" s="3" customFormat="1" ht="21" x14ac:dyDescent="0.35">
      <c r="A215" s="2" t="str">
        <f>'Parameter Input'!A101</f>
        <v>Road long-haul: Container</v>
      </c>
    </row>
    <row r="216" spans="1:44" s="3" customFormat="1" ht="21" x14ac:dyDescent="0.35">
      <c r="A216" s="2" t="s">
        <v>299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Input'!$L$89</f>
        <v>400000</v>
      </c>
      <c r="C225" s="42">
        <f>'Parameter Input'!$M$89</f>
        <v>145000</v>
      </c>
      <c r="D225" s="1" t="s">
        <v>138</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151</v>
      </c>
      <c r="B226" s="60">
        <f>'Parameter Input'!$L$90</f>
        <v>-60000</v>
      </c>
      <c r="C226" s="61">
        <f>'Parameter Input'!$M$90</f>
        <v>-36250</v>
      </c>
      <c r="D226" s="1" t="s">
        <v>138</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203</v>
      </c>
      <c r="B229" s="45">
        <f>'Parameter Input'!$L$96</f>
        <v>0.06</v>
      </c>
      <c r="C229" s="46">
        <f>'Parameter Input'!$M$96</f>
        <v>0.06</v>
      </c>
      <c r="D229" s="1" t="s">
        <v>180</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175</v>
      </c>
      <c r="B231" s="43">
        <f>'Parameter Input'!$L$92</f>
        <v>15000</v>
      </c>
      <c r="C231" s="44">
        <f>'Parameter Input'!$M$92</f>
        <v>15000</v>
      </c>
      <c r="D231" s="1" t="s">
        <v>161</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183</v>
      </c>
      <c r="B233" s="47">
        <f>'Parameter Input'!$L$93</f>
        <v>1.52</v>
      </c>
      <c r="C233" s="48">
        <f>'Parameter Input'!$M$93</f>
        <v>1.1499999999999999</v>
      </c>
      <c r="D233" s="1" t="s">
        <v>184</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191</v>
      </c>
      <c r="B234" s="45">
        <f>'Parameter Input'!$L$94</f>
        <v>0.13371034051801745</v>
      </c>
      <c r="C234" s="46">
        <f>'Parameter Input'!$M$94</f>
        <v>8.7585019329602734E-2</v>
      </c>
      <c r="D234" s="1" t="s">
        <v>94</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458</v>
      </c>
      <c r="B235" s="115">
        <f>'Parameter Input'!$L$97</f>
        <v>0</v>
      </c>
      <c r="C235" s="116">
        <f>'Parameter Input'!$M$97</f>
        <v>0</v>
      </c>
      <c r="D235" s="1" t="s">
        <v>200</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164</v>
      </c>
      <c r="B236" s="43">
        <f>'Parameter Input'!$L$91</f>
        <v>8</v>
      </c>
      <c r="C236" s="44">
        <f>'Parameter Input'!$M$91</f>
        <v>8</v>
      </c>
      <c r="D236" s="1" t="s">
        <v>165</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197</v>
      </c>
      <c r="B240" s="72">
        <f>'Parameter Input'!$L$95</f>
        <v>0.1</v>
      </c>
      <c r="C240" s="73">
        <f>'Parameter Input'!$M$95</f>
        <v>0.05</v>
      </c>
      <c r="D240" s="1" t="s">
        <v>180</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197</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14830.890353996074</v>
      </c>
      <c r="C271" s="62">
        <f t="shared" ref="C271:AC271" si="234">C253*C254*C261</f>
        <v>14749.878314698361</v>
      </c>
      <c r="D271" s="62">
        <f t="shared" si="234"/>
        <v>14638.813839487611</v>
      </c>
      <c r="E271" s="62">
        <f t="shared" si="234"/>
        <v>14489.555085992377</v>
      </c>
      <c r="F271" s="62">
        <f t="shared" si="234"/>
        <v>14294.44506050354</v>
      </c>
      <c r="G271" s="62">
        <f t="shared" si="234"/>
        <v>14048.736961274959</v>
      </c>
      <c r="H271" s="62">
        <f t="shared" si="234"/>
        <v>13753.894295252754</v>
      </c>
      <c r="I271" s="62">
        <f t="shared" si="234"/>
        <v>13420.493976435666</v>
      </c>
      <c r="J271" s="62">
        <f t="shared" si="234"/>
        <v>13322.956069889837</v>
      </c>
      <c r="K271" s="62">
        <f t="shared" si="234"/>
        <v>13218.908949958095</v>
      </c>
      <c r="L271" s="62">
        <f t="shared" si="234"/>
        <v>13134.177101914318</v>
      </c>
      <c r="M271" s="62">
        <f t="shared" si="234"/>
        <v>13088.047153165913</v>
      </c>
      <c r="N271" s="62">
        <f t="shared" si="234"/>
        <v>13089.867721929466</v>
      </c>
      <c r="O271" s="62">
        <f t="shared" si="234"/>
        <v>12785.928142233597</v>
      </c>
      <c r="P271" s="62">
        <f t="shared" si="234"/>
        <v>12531.954692710384</v>
      </c>
      <c r="Q271" s="62">
        <f t="shared" si="234"/>
        <v>12316.940247624831</v>
      </c>
      <c r="R271" s="62">
        <f t="shared" si="234"/>
        <v>12130.799563950841</v>
      </c>
      <c r="S271" s="62">
        <f t="shared" si="234"/>
        <v>11965.318551270997</v>
      </c>
      <c r="T271" s="62">
        <f t="shared" si="234"/>
        <v>11814.266467882806</v>
      </c>
      <c r="U271" s="62">
        <f t="shared" si="234"/>
        <v>11673.126348807815</v>
      </c>
      <c r="V271" s="62">
        <f t="shared" si="234"/>
        <v>11538.719011534142</v>
      </c>
      <c r="W271" s="62">
        <f t="shared" si="234"/>
        <v>11408.850133119335</v>
      </c>
      <c r="X271" s="62">
        <f t="shared" si="234"/>
        <v>11282.02472160658</v>
      </c>
      <c r="Y271" s="62">
        <f t="shared" si="234"/>
        <v>11157.23305856994</v>
      </c>
      <c r="Z271" s="62">
        <f t="shared" si="234"/>
        <v>11033.797150966167</v>
      </c>
      <c r="AA271" s="62">
        <f t="shared" si="234"/>
        <v>10911.26353820128</v>
      </c>
      <c r="AB271" s="62">
        <f t="shared" si="234"/>
        <v>10789.329742020453</v>
      </c>
      <c r="AC271" s="62">
        <f t="shared" si="234"/>
        <v>10667.794363570103</v>
      </c>
    </row>
    <row r="272" spans="1:29" ht="15.75" thickBot="1" x14ac:dyDescent="0.3">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75" thickBot="1" x14ac:dyDescent="0.3">
      <c r="A273" s="31" t="s">
        <v>504</v>
      </c>
      <c r="B273" s="64">
        <f>B264+B265+B266+B267+B268+B269+B270+B271+B272</f>
        <v>167173.53838388468</v>
      </c>
      <c r="C273" s="64">
        <f t="shared" ref="C273:AC273" si="236">C264+C265+C266+C267+C268+C269+C270+C271+C272</f>
        <v>166267.88343279305</v>
      </c>
      <c r="D273" s="64">
        <f t="shared" si="236"/>
        <v>165026.26437546551</v>
      </c>
      <c r="E273" s="64">
        <f t="shared" si="236"/>
        <v>163357.6614089366</v>
      </c>
      <c r="F273" s="64">
        <f t="shared" si="236"/>
        <v>161176.47498129704</v>
      </c>
      <c r="G273" s="64">
        <f t="shared" si="236"/>
        <v>158429.63934404185</v>
      </c>
      <c r="H273" s="64">
        <f t="shared" si="236"/>
        <v>155133.51542726494</v>
      </c>
      <c r="I273" s="64">
        <f t="shared" si="236"/>
        <v>151406.34534180898</v>
      </c>
      <c r="J273" s="64">
        <f t="shared" si="236"/>
        <v>147726.01861690951</v>
      </c>
      <c r="K273" s="64">
        <f t="shared" si="236"/>
        <v>144109.68526115079</v>
      </c>
      <c r="L273" s="64">
        <f t="shared" si="236"/>
        <v>140827.6469572986</v>
      </c>
      <c r="M273" s="64">
        <f t="shared" si="236"/>
        <v>138064.26182630804</v>
      </c>
      <c r="N273" s="64">
        <f t="shared" si="236"/>
        <v>135890.04762692738</v>
      </c>
      <c r="O273" s="64">
        <f t="shared" si="236"/>
        <v>133925.69693982246</v>
      </c>
      <c r="P273" s="64">
        <f t="shared" si="236"/>
        <v>132451.18816119025</v>
      </c>
      <c r="Q273" s="64">
        <f t="shared" si="236"/>
        <v>131363.50861286672</v>
      </c>
      <c r="R273" s="64">
        <f t="shared" si="236"/>
        <v>130565.75856670036</v>
      </c>
      <c r="S273" s="64">
        <f t="shared" si="236"/>
        <v>129977.61789208895</v>
      </c>
      <c r="T273" s="64">
        <f t="shared" si="236"/>
        <v>129537.31874010219</v>
      </c>
      <c r="U273" s="64">
        <f t="shared" si="236"/>
        <v>129199.5536235481</v>
      </c>
      <c r="V273" s="64">
        <f t="shared" si="236"/>
        <v>128932.09233840626</v>
      </c>
      <c r="W273" s="64">
        <f t="shared" si="236"/>
        <v>128712.46512784858</v>
      </c>
      <c r="X273" s="64">
        <f t="shared" si="236"/>
        <v>128525.21485301878</v>
      </c>
      <c r="Y273" s="64">
        <f t="shared" si="236"/>
        <v>128359.80259873367</v>
      </c>
      <c r="Z273" s="64">
        <f t="shared" si="236"/>
        <v>128209.0853105398</v>
      </c>
      <c r="AA273" s="64">
        <f t="shared" si="236"/>
        <v>128068.24075501753</v>
      </c>
      <c r="AB273" s="64">
        <f t="shared" si="236"/>
        <v>127934.02210602294</v>
      </c>
      <c r="AC273" s="64">
        <f t="shared" si="236"/>
        <v>127804.24714887921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0.14124657479996261</v>
      </c>
      <c r="C283" s="66">
        <f t="shared" ref="C283:AC283" si="245">C253*C254*C261/C261</f>
        <v>0.14047503156855581</v>
      </c>
      <c r="D283" s="66">
        <f t="shared" si="245"/>
        <v>0.13941727466178677</v>
      </c>
      <c r="E283" s="66">
        <f t="shared" si="245"/>
        <v>0.13799576272373693</v>
      </c>
      <c r="F283" s="66">
        <f t="shared" si="245"/>
        <v>0.13613757200479562</v>
      </c>
      <c r="G283" s="66">
        <f t="shared" si="245"/>
        <v>0.13379749486928533</v>
      </c>
      <c r="H283" s="66">
        <f t="shared" si="245"/>
        <v>0.13098946947859766</v>
      </c>
      <c r="I283" s="66">
        <f t="shared" si="245"/>
        <v>0.12781422834700634</v>
      </c>
      <c r="J283" s="66">
        <f t="shared" si="245"/>
        <v>0.12688529590371272</v>
      </c>
      <c r="K283" s="66">
        <f t="shared" si="245"/>
        <v>0.12589437095198186</v>
      </c>
      <c r="L283" s="66">
        <f t="shared" si="245"/>
        <v>0.12508740097061255</v>
      </c>
      <c r="M283" s="66">
        <f t="shared" si="245"/>
        <v>0.12464806812538964</v>
      </c>
      <c r="N283" s="66">
        <f t="shared" si="245"/>
        <v>0.12466540687551872</v>
      </c>
      <c r="O283" s="66">
        <f t="shared" si="245"/>
        <v>0.12177074421174855</v>
      </c>
      <c r="P283" s="66">
        <f t="shared" si="245"/>
        <v>0.11935194945438461</v>
      </c>
      <c r="Q283" s="66">
        <f t="shared" si="245"/>
        <v>0.1173041928345222</v>
      </c>
      <c r="R283" s="66">
        <f t="shared" si="245"/>
        <v>0.11553142441857944</v>
      </c>
      <c r="S283" s="66">
        <f t="shared" si="245"/>
        <v>0.1139554147740095</v>
      </c>
      <c r="T283" s="66">
        <f t="shared" si="245"/>
        <v>0.11251682350364577</v>
      </c>
      <c r="U283" s="66">
        <f t="shared" si="245"/>
        <v>0.11117263189340776</v>
      </c>
      <c r="V283" s="66">
        <f t="shared" si="245"/>
        <v>0.10989256201461088</v>
      </c>
      <c r="W283" s="66">
        <f t="shared" si="245"/>
        <v>0.10865571555351747</v>
      </c>
      <c r="X283" s="66">
        <f t="shared" si="245"/>
        <v>0.10744785449149123</v>
      </c>
      <c r="Y283" s="66">
        <f t="shared" si="245"/>
        <v>0.10625936246257085</v>
      </c>
      <c r="Z283" s="66">
        <f t="shared" si="245"/>
        <v>0.10508378239015398</v>
      </c>
      <c r="AA283" s="66">
        <f t="shared" si="245"/>
        <v>0.10391679560191695</v>
      </c>
      <c r="AB283" s="66">
        <f t="shared" si="245"/>
        <v>0.10275552135257573</v>
      </c>
      <c r="AC283" s="66">
        <f t="shared" si="245"/>
        <v>0.10159804155781051</v>
      </c>
    </row>
    <row r="284" spans="1:29" ht="15.75" thickBot="1" x14ac:dyDescent="0.3">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75" thickBot="1" x14ac:dyDescent="0.3">
      <c r="A285" s="31" t="s">
        <v>187</v>
      </c>
      <c r="B285" s="76">
        <f>B276+B277+B278-B279+B280+B281+B282+B283+B284</f>
        <v>1.6115386453065756</v>
      </c>
      <c r="C285" s="76">
        <f t="shared" ref="C285:AC285" si="248">C276+C277+C278-C279+C280+C281+C282+C283+C284</f>
        <v>1.6029133600580838</v>
      </c>
      <c r="D285" s="76">
        <f t="shared" si="248"/>
        <v>1.5910884166549644</v>
      </c>
      <c r="E285" s="76">
        <f t="shared" si="248"/>
        <v>1.5751969598308797</v>
      </c>
      <c r="F285" s="76">
        <f t="shared" si="248"/>
        <v>1.5544237557581215</v>
      </c>
      <c r="G285" s="76">
        <f t="shared" si="248"/>
        <v>1.5282634163556912</v>
      </c>
      <c r="H285" s="76">
        <f t="shared" si="248"/>
        <v>1.4968717600054351</v>
      </c>
      <c r="I285" s="76">
        <f t="shared" si="248"/>
        <v>1.4613749020487119</v>
      </c>
      <c r="J285" s="76">
        <f t="shared" si="248"/>
        <v>1.4263241713353836</v>
      </c>
      <c r="K285" s="76">
        <f t="shared" si="248"/>
        <v>1.3918829012805385</v>
      </c>
      <c r="L285" s="76">
        <f t="shared" si="248"/>
        <v>1.3606253936248036</v>
      </c>
      <c r="M285" s="76">
        <f t="shared" si="248"/>
        <v>1.3343074399963217</v>
      </c>
      <c r="N285" s="76">
        <f t="shared" si="248"/>
        <v>1.3136006380974583</v>
      </c>
      <c r="O285" s="76">
        <f t="shared" si="248"/>
        <v>1.2948925363155068</v>
      </c>
      <c r="P285" s="76">
        <f t="shared" si="248"/>
        <v>1.2808495955666286</v>
      </c>
      <c r="Q285" s="76">
        <f t="shared" si="248"/>
        <v>1.2704907427254521</v>
      </c>
      <c r="R285" s="76">
        <f t="shared" si="248"/>
        <v>1.2628931232381535</v>
      </c>
      <c r="S285" s="76">
        <f t="shared" si="248"/>
        <v>1.2572917834799497</v>
      </c>
      <c r="T285" s="76">
        <f t="shared" si="248"/>
        <v>1.2530984582229328</v>
      </c>
      <c r="U285" s="76">
        <f t="shared" si="248"/>
        <v>1.2498816475890844</v>
      </c>
      <c r="V285" s="76">
        <f t="shared" si="248"/>
        <v>1.2473343972544004</v>
      </c>
      <c r="W285" s="76">
        <f t="shared" si="248"/>
        <v>1.2452427095348031</v>
      </c>
      <c r="X285" s="76">
        <f t="shared" si="248"/>
        <v>1.2434593735840431</v>
      </c>
      <c r="Y285" s="76">
        <f t="shared" si="248"/>
        <v>1.241884018781328</v>
      </c>
      <c r="Z285" s="76">
        <f t="shared" si="248"/>
        <v>1.2404486160366244</v>
      </c>
      <c r="AA285" s="76">
        <f t="shared" si="248"/>
        <v>1.2391072393173646</v>
      </c>
      <c r="AB285" s="76">
        <f t="shared" si="248"/>
        <v>1.2378289664697972</v>
      </c>
      <c r="AC285" s="76">
        <f t="shared" si="248"/>
        <v>1.2365930144969997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5.6498629919985045E-3</v>
      </c>
      <c r="C295" s="66">
        <f t="shared" ref="C295:AC295" si="257">C253*C254*C261/C261/(C258)</f>
        <v>5.6190012627422327E-3</v>
      </c>
      <c r="D295" s="66">
        <f t="shared" si="257"/>
        <v>5.5766909864714709E-3</v>
      </c>
      <c r="E295" s="66">
        <f t="shared" si="257"/>
        <v>5.5198305089494771E-3</v>
      </c>
      <c r="F295" s="66">
        <f t="shared" si="257"/>
        <v>5.4455028801918244E-3</v>
      </c>
      <c r="G295" s="66">
        <f t="shared" si="257"/>
        <v>5.351899794771413E-3</v>
      </c>
      <c r="H295" s="66">
        <f t="shared" si="257"/>
        <v>5.2395787791439065E-3</v>
      </c>
      <c r="I295" s="66">
        <f t="shared" si="257"/>
        <v>5.1125691338802541E-3</v>
      </c>
      <c r="J295" s="66">
        <f t="shared" si="257"/>
        <v>5.0754118361485091E-3</v>
      </c>
      <c r="K295" s="66">
        <f t="shared" si="257"/>
        <v>5.0357748380792742E-3</v>
      </c>
      <c r="L295" s="66">
        <f t="shared" si="257"/>
        <v>5.0034960388245023E-3</v>
      </c>
      <c r="M295" s="66">
        <f t="shared" si="257"/>
        <v>4.985922725015586E-3</v>
      </c>
      <c r="N295" s="66">
        <f t="shared" si="257"/>
        <v>4.9866162750207485E-3</v>
      </c>
      <c r="O295" s="66">
        <f t="shared" si="257"/>
        <v>4.8708297684699423E-3</v>
      </c>
      <c r="P295" s="66">
        <f t="shared" si="257"/>
        <v>4.7740779781753843E-3</v>
      </c>
      <c r="Q295" s="66">
        <f t="shared" si="257"/>
        <v>4.6921677133808879E-3</v>
      </c>
      <c r="R295" s="66">
        <f t="shared" si="257"/>
        <v>4.6212569767431775E-3</v>
      </c>
      <c r="S295" s="66">
        <f t="shared" si="257"/>
        <v>4.5582165909603799E-3</v>
      </c>
      <c r="T295" s="66">
        <f t="shared" si="257"/>
        <v>4.5006729401458308E-3</v>
      </c>
      <c r="U295" s="66">
        <f t="shared" si="257"/>
        <v>4.4469052757363106E-3</v>
      </c>
      <c r="V295" s="66">
        <f t="shared" si="257"/>
        <v>4.3957024805844356E-3</v>
      </c>
      <c r="W295" s="66">
        <f t="shared" si="257"/>
        <v>4.3462286221406989E-3</v>
      </c>
      <c r="X295" s="66">
        <f t="shared" si="257"/>
        <v>4.297914179659649E-3</v>
      </c>
      <c r="Y295" s="66">
        <f t="shared" si="257"/>
        <v>4.250374498502834E-3</v>
      </c>
      <c r="Z295" s="66">
        <f t="shared" si="257"/>
        <v>4.2033512956061595E-3</v>
      </c>
      <c r="AA295" s="66">
        <f t="shared" si="257"/>
        <v>4.1566718240766782E-3</v>
      </c>
      <c r="AB295" s="66">
        <f t="shared" si="257"/>
        <v>4.1102208541030291E-3</v>
      </c>
      <c r="AC295" s="66">
        <f t="shared" si="257"/>
        <v>4.06392166231242E-3</v>
      </c>
    </row>
    <row r="296" spans="1:29" x14ac:dyDescent="0.25">
      <c r="A296" s="59" t="str">
        <f>A259</f>
        <v>Market failure (av. utilization)</v>
      </c>
      <c r="B296" s="66">
        <f t="shared" ref="B296:AC296" si="258">B285/B259-B285/B258</f>
        <v>4.063880062077449E-2</v>
      </c>
      <c r="C296" s="66">
        <f t="shared" si="258"/>
        <v>4.0421293427551658E-2</v>
      </c>
      <c r="D296" s="66">
        <f t="shared" si="258"/>
        <v>4.0123099202603443E-2</v>
      </c>
      <c r="E296" s="66">
        <f t="shared" si="258"/>
        <v>3.9722358117474349E-2</v>
      </c>
      <c r="F296" s="66">
        <f t="shared" si="258"/>
        <v>3.9198512101726528E-2</v>
      </c>
      <c r="G296" s="66">
        <f t="shared" si="258"/>
        <v>3.8538816586360887E-2</v>
      </c>
      <c r="H296" s="66">
        <f t="shared" si="258"/>
        <v>3.7747200904484864E-2</v>
      </c>
      <c r="I296" s="66">
        <f t="shared" si="258"/>
        <v>3.6852062747315333E-2</v>
      </c>
      <c r="J296" s="66">
        <f t="shared" si="258"/>
        <v>3.5968174755414008E-2</v>
      </c>
      <c r="K296" s="66">
        <f t="shared" si="258"/>
        <v>3.509965577142226E-2</v>
      </c>
      <c r="L296" s="66">
        <f t="shared" si="258"/>
        <v>3.431142296966895E-2</v>
      </c>
      <c r="M296" s="66">
        <f t="shared" si="258"/>
        <v>3.3647752834689841E-2</v>
      </c>
      <c r="N296" s="66">
        <f t="shared" si="258"/>
        <v>3.312558130854458E-2</v>
      </c>
      <c r="O296" s="66">
        <f t="shared" si="258"/>
        <v>3.2653811785347556E-2</v>
      </c>
      <c r="P296" s="66">
        <f t="shared" si="258"/>
        <v>3.2299685453419325E-2</v>
      </c>
      <c r="Q296" s="66">
        <f t="shared" si="258"/>
        <v>3.203846220785922E-2</v>
      </c>
      <c r="R296" s="66">
        <f t="shared" si="258"/>
        <v>3.184687006426646E-2</v>
      </c>
      <c r="S296" s="66">
        <f t="shared" si="258"/>
        <v>3.1705618887755242E-2</v>
      </c>
      <c r="T296" s="66">
        <f t="shared" si="258"/>
        <v>3.1599874163882637E-2</v>
      </c>
      <c r="U296" s="66">
        <f t="shared" si="258"/>
        <v>3.1518754591376902E-2</v>
      </c>
      <c r="V296" s="66">
        <f t="shared" si="258"/>
        <v>3.1454519582937032E-2</v>
      </c>
      <c r="W296" s="66">
        <f t="shared" si="258"/>
        <v>3.1401772675225453E-2</v>
      </c>
      <c r="X296" s="66">
        <f t="shared" si="258"/>
        <v>3.1356801594728034E-2</v>
      </c>
      <c r="Y296" s="66">
        <f t="shared" si="258"/>
        <v>3.1317075256224784E-2</v>
      </c>
      <c r="Z296" s="66">
        <f t="shared" si="258"/>
        <v>3.1280878143532254E-2</v>
      </c>
      <c r="AA296" s="66">
        <f t="shared" si="258"/>
        <v>3.1247052121916141E-2</v>
      </c>
      <c r="AB296" s="66">
        <f t="shared" si="258"/>
        <v>3.1214817415325301E-2</v>
      </c>
      <c r="AC296" s="66">
        <f t="shared" si="258"/>
        <v>3.1183649930793887E-2</v>
      </c>
    </row>
    <row r="297" spans="1:29" x14ac:dyDescent="0.25">
      <c r="A297" s="59" t="str">
        <f>A260</f>
        <v>Payload loss (fuel)</v>
      </c>
      <c r="B297" s="66">
        <f>B285/(B258-B260)-B285/B258</f>
        <v>7.1098997496071709E-3</v>
      </c>
      <c r="C297" s="66">
        <f t="shared" ref="C297:AC297" si="259">C285/(C258-C260)-C285/C258</f>
        <v>7.0495133290284645E-3</v>
      </c>
      <c r="D297" s="66">
        <f t="shared" si="259"/>
        <v>6.9660564261847246E-3</v>
      </c>
      <c r="E297" s="66">
        <f t="shared" si="259"/>
        <v>6.8525184473591516E-3</v>
      </c>
      <c r="F297" s="66">
        <f t="shared" si="259"/>
        <v>6.7013330454243417E-3</v>
      </c>
      <c r="G297" s="66">
        <f t="shared" si="259"/>
        <v>6.5055933434029975E-3</v>
      </c>
      <c r="H297" s="66">
        <f t="shared" si="259"/>
        <v>6.2608892919809658E-3</v>
      </c>
      <c r="I297" s="66">
        <f t="shared" si="259"/>
        <v>5.9672576116851436E-3</v>
      </c>
      <c r="J297" s="66">
        <f t="shared" si="259"/>
        <v>5.6398901904836582E-3</v>
      </c>
      <c r="K297" s="66">
        <f t="shared" si="259"/>
        <v>5.2787762363682225E-3</v>
      </c>
      <c r="L297" s="66">
        <f t="shared" si="259"/>
        <v>4.8985093653788406E-3</v>
      </c>
      <c r="M297" s="66">
        <f t="shared" si="259"/>
        <v>4.5162392669286788E-3</v>
      </c>
      <c r="N297" s="66">
        <f t="shared" si="259"/>
        <v>4.1503493238524633E-3</v>
      </c>
      <c r="O297" s="66">
        <f t="shared" si="259"/>
        <v>3.8083112570976019E-3</v>
      </c>
      <c r="P297" s="66">
        <f t="shared" si="259"/>
        <v>3.5146998390063397E-3</v>
      </c>
      <c r="Q297" s="66">
        <f t="shared" si="259"/>
        <v>3.2753786215657735E-3</v>
      </c>
      <c r="R297" s="66">
        <f t="shared" si="259"/>
        <v>3.0890820019649073E-3</v>
      </c>
      <c r="S297" s="66">
        <f t="shared" si="259"/>
        <v>2.9494288733249024E-3</v>
      </c>
      <c r="T297" s="66">
        <f t="shared" si="259"/>
        <v>2.8476930700597064E-3</v>
      </c>
      <c r="U297" s="66">
        <f t="shared" si="259"/>
        <v>2.7750395354173285E-3</v>
      </c>
      <c r="V297" s="66">
        <f t="shared" si="259"/>
        <v>2.7237774293912068E-3</v>
      </c>
      <c r="W297" s="66">
        <f t="shared" si="259"/>
        <v>2.6877917984690913E-3</v>
      </c>
      <c r="X297" s="66">
        <f t="shared" si="259"/>
        <v>2.6624940307974909E-3</v>
      </c>
      <c r="Y297" s="66">
        <f t="shared" si="259"/>
        <v>2.6445690321391865E-3</v>
      </c>
      <c r="Z297" s="66">
        <f t="shared" si="259"/>
        <v>2.6316812594486816E-3</v>
      </c>
      <c r="AA297" s="66">
        <f t="shared" si="259"/>
        <v>2.6222126355449002E-3</v>
      </c>
      <c r="AB297" s="66">
        <f t="shared" si="259"/>
        <v>2.6150546369190161E-3</v>
      </c>
      <c r="AC297" s="66">
        <f t="shared" si="259"/>
        <v>2.6094535011540812E-3</v>
      </c>
    </row>
    <row r="298" spans="1:29" ht="15.75" thickBot="1" x14ac:dyDescent="0.3">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75" thickBot="1" x14ac:dyDescent="0.3">
      <c r="A299" s="31" t="s">
        <v>505</v>
      </c>
      <c r="B299" s="67">
        <f>B288+B289+B290+B291+B292+B293+B294+B295+B296+B297+B298</f>
        <v>0.11143385784995678</v>
      </c>
      <c r="C299" s="67">
        <f t="shared" ref="C299:AC299" si="261">C288+C289+C290+C291+C292+C293+C294+C295+C296+C297+C298</f>
        <v>0.11081095282621557</v>
      </c>
      <c r="D299" s="67">
        <f t="shared" si="261"/>
        <v>0.10995630396229884</v>
      </c>
      <c r="E299" s="67">
        <f t="shared" si="261"/>
        <v>0.10880636662538078</v>
      </c>
      <c r="F299" s="67">
        <f t="shared" si="261"/>
        <v>0.10730040704478783</v>
      </c>
      <c r="G299" s="67">
        <f t="shared" si="261"/>
        <v>0.10539855825130365</v>
      </c>
      <c r="H299" s="67">
        <f t="shared" si="261"/>
        <v>0.10310657226399533</v>
      </c>
      <c r="I299" s="67">
        <f t="shared" si="261"/>
        <v>0.10049792810826105</v>
      </c>
      <c r="J299" s="67">
        <f t="shared" si="261"/>
        <v>9.7884643466625093E-2</v>
      </c>
      <c r="K299" s="67">
        <f t="shared" si="261"/>
        <v>9.527735972632409E-2</v>
      </c>
      <c r="L299" s="67">
        <f t="shared" si="261"/>
        <v>9.2858559747352021E-2</v>
      </c>
      <c r="M299" s="67">
        <f t="shared" si="261"/>
        <v>9.075990136878348E-2</v>
      </c>
      <c r="N299" s="67">
        <f t="shared" si="261"/>
        <v>8.9043567823607478E-2</v>
      </c>
      <c r="O299" s="67">
        <f t="shared" si="261"/>
        <v>8.748143616237751E-2</v>
      </c>
      <c r="P299" s="67">
        <f t="shared" si="261"/>
        <v>8.6271980782402891E-2</v>
      </c>
      <c r="Q299" s="67">
        <f t="shared" si="261"/>
        <v>8.5357082205755164E-2</v>
      </c>
      <c r="R299" s="67">
        <f t="shared" si="261"/>
        <v>8.4675288663069601E-2</v>
      </c>
      <c r="S299" s="67">
        <f t="shared" si="261"/>
        <v>8.4170330767590215E-2</v>
      </c>
      <c r="T299" s="67">
        <f t="shared" si="261"/>
        <v>8.3795117230171745E-2</v>
      </c>
      <c r="U299" s="67">
        <f t="shared" si="261"/>
        <v>8.3512671697669696E-2</v>
      </c>
      <c r="V299" s="67">
        <f t="shared" si="261"/>
        <v>8.329528456981633E-2</v>
      </c>
      <c r="W299" s="67">
        <f t="shared" si="261"/>
        <v>8.3122884522398771E-2</v>
      </c>
      <c r="X299" s="67">
        <f t="shared" si="261"/>
        <v>8.2981282236199341E-2</v>
      </c>
      <c r="Y299" s="67">
        <f t="shared" si="261"/>
        <v>8.286061670692918E-2</v>
      </c>
      <c r="Z299" s="67">
        <f t="shared" si="261"/>
        <v>8.2754115711758003E-2</v>
      </c>
      <c r="AA299" s="67">
        <f t="shared" si="261"/>
        <v>8.2657165997467724E-2</v>
      </c>
      <c r="AB299" s="67">
        <f t="shared" si="261"/>
        <v>8.2566642378348293E-2</v>
      </c>
      <c r="AC299" s="67">
        <f t="shared" si="261"/>
        <v>8.2480435679140041E-2</v>
      </c>
    </row>
    <row r="301" spans="1:29" x14ac:dyDescent="0.25">
      <c r="B301" s="40"/>
    </row>
    <row r="324" spans="1:44" s="3" customFormat="1" ht="21" x14ac:dyDescent="0.35">
      <c r="A324" s="2" t="str">
        <f>'Parameter Input'!A114</f>
        <v>Road long-haul: Break bulk</v>
      </c>
    </row>
    <row r="325" spans="1:44" s="3" customFormat="1" ht="21" x14ac:dyDescent="0.35">
      <c r="A325" s="2" t="s">
        <v>299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Input'!$L$89</f>
        <v>400000</v>
      </c>
      <c r="C334" s="42">
        <f>'Parameter Input'!$M$89</f>
        <v>145000</v>
      </c>
      <c r="D334" s="1" t="s">
        <v>138</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151</v>
      </c>
      <c r="B335" s="60">
        <f>'Parameter Input'!$L$90</f>
        <v>-60000</v>
      </c>
      <c r="C335" s="61">
        <f>'Parameter Input'!$M$90</f>
        <v>-36250</v>
      </c>
      <c r="D335" s="1" t="s">
        <v>138</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203</v>
      </c>
      <c r="B338" s="45">
        <f>'Parameter Input'!$L$96</f>
        <v>0.06</v>
      </c>
      <c r="C338" s="46">
        <f>'Parameter Input'!$M$96</f>
        <v>0.06</v>
      </c>
      <c r="D338" s="1" t="s">
        <v>180</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175</v>
      </c>
      <c r="B340" s="43">
        <f>'Parameter Input'!$L$92</f>
        <v>15000</v>
      </c>
      <c r="C340" s="44">
        <f>'Parameter Input'!$M$92</f>
        <v>15000</v>
      </c>
      <c r="D340" s="1" t="s">
        <v>161</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183</v>
      </c>
      <c r="B342" s="47">
        <f>'Parameter Input'!$L$93</f>
        <v>1.52</v>
      </c>
      <c r="C342" s="48">
        <f>'Parameter Input'!$M$93</f>
        <v>1.1499999999999999</v>
      </c>
      <c r="D342" s="1" t="s">
        <v>184</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191</v>
      </c>
      <c r="B343" s="45">
        <f>'Parameter Input'!$L$94</f>
        <v>0.13371034051801745</v>
      </c>
      <c r="C343" s="46">
        <f>'Parameter Input'!$M$94</f>
        <v>8.7585019329602734E-2</v>
      </c>
      <c r="D343" s="1" t="s">
        <v>94</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458</v>
      </c>
      <c r="B344" s="115">
        <f>'Parameter Input'!$L$97</f>
        <v>0</v>
      </c>
      <c r="C344" s="116">
        <f>'Parameter Input'!$M$97</f>
        <v>0</v>
      </c>
      <c r="D344" s="1" t="s">
        <v>200</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164</v>
      </c>
      <c r="B345" s="43">
        <f>'Parameter Input'!$L$91</f>
        <v>8</v>
      </c>
      <c r="C345" s="44">
        <f>'Parameter Input'!$M$91</f>
        <v>8</v>
      </c>
      <c r="D345" s="1" t="s">
        <v>165</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197</v>
      </c>
      <c r="B349" s="72">
        <f>'Parameter Input'!$L$95</f>
        <v>0.1</v>
      </c>
      <c r="C349" s="73">
        <f>'Parameter Input'!$M$95</f>
        <v>0.05</v>
      </c>
      <c r="D349" s="1" t="s">
        <v>180</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197</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11017.232834397084</v>
      </c>
      <c r="C380" s="62">
        <f t="shared" ref="C380:AC380" si="338">C362*C363*C370</f>
        <v>10957.052462347354</v>
      </c>
      <c r="D380" s="62">
        <f t="shared" si="338"/>
        <v>10874.547423619368</v>
      </c>
      <c r="E380" s="62">
        <f t="shared" si="338"/>
        <v>10763.66949245148</v>
      </c>
      <c r="F380" s="62">
        <f t="shared" si="338"/>
        <v>10618.730616374058</v>
      </c>
      <c r="G380" s="62">
        <f t="shared" si="338"/>
        <v>10436.204599804256</v>
      </c>
      <c r="H380" s="62">
        <f t="shared" si="338"/>
        <v>10217.178619330618</v>
      </c>
      <c r="I380" s="62">
        <f t="shared" si="338"/>
        <v>9969.5098110664949</v>
      </c>
      <c r="J380" s="62">
        <f t="shared" si="338"/>
        <v>9897.0530804895934</v>
      </c>
      <c r="K380" s="62">
        <f t="shared" si="338"/>
        <v>9819.7609342545857</v>
      </c>
      <c r="L380" s="62">
        <f t="shared" si="338"/>
        <v>9756.8172757077791</v>
      </c>
      <c r="M380" s="62">
        <f t="shared" si="338"/>
        <v>9722.5493137803915</v>
      </c>
      <c r="N380" s="62">
        <f t="shared" si="338"/>
        <v>9723.9017362904597</v>
      </c>
      <c r="O380" s="62">
        <f t="shared" si="338"/>
        <v>9498.1180485163859</v>
      </c>
      <c r="P380" s="62">
        <f t="shared" si="338"/>
        <v>9309.4520574420003</v>
      </c>
      <c r="Q380" s="62">
        <f t="shared" si="338"/>
        <v>9149.7270410927304</v>
      </c>
      <c r="R380" s="62">
        <f t="shared" si="338"/>
        <v>9011.4511046491971</v>
      </c>
      <c r="S380" s="62">
        <f t="shared" si="338"/>
        <v>8888.5223523727418</v>
      </c>
      <c r="T380" s="62">
        <f t="shared" si="338"/>
        <v>8776.3122332843704</v>
      </c>
      <c r="U380" s="62">
        <f t="shared" si="338"/>
        <v>8671.4652876858054</v>
      </c>
      <c r="V380" s="62">
        <f t="shared" si="338"/>
        <v>8571.6198371396495</v>
      </c>
      <c r="W380" s="62">
        <f t="shared" si="338"/>
        <v>8475.145813174362</v>
      </c>
      <c r="X380" s="62">
        <f t="shared" si="338"/>
        <v>8380.9326503363172</v>
      </c>
      <c r="Y380" s="62">
        <f t="shared" si="338"/>
        <v>8288.2302720805274</v>
      </c>
      <c r="Z380" s="62">
        <f t="shared" si="338"/>
        <v>8196.5350264320095</v>
      </c>
      <c r="AA380" s="62">
        <f t="shared" si="338"/>
        <v>8105.5100569495216</v>
      </c>
      <c r="AB380" s="62">
        <f t="shared" si="338"/>
        <v>8014.9306655009077</v>
      </c>
      <c r="AC380" s="62">
        <f t="shared" si="338"/>
        <v>7924.6472415092194</v>
      </c>
    </row>
    <row r="381" spans="1:29" ht="15.75" thickBot="1" x14ac:dyDescent="0.3">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75" thickBot="1" x14ac:dyDescent="0.3">
      <c r="A382" s="31" t="s">
        <v>504</v>
      </c>
      <c r="B382" s="64">
        <f>B373+B374+B375+B376+B377+B378+B379+B380+B381</f>
        <v>161408.89055093858</v>
      </c>
      <c r="C382" s="64">
        <f t="shared" ref="C382:AC382" si="340">C373+C374+C375+C376+C377+C378+C379+C380+C381</f>
        <v>160524.06726709491</v>
      </c>
      <c r="D382" s="64">
        <f t="shared" si="340"/>
        <v>159311.00764625016</v>
      </c>
      <c r="E382" s="64">
        <f t="shared" si="340"/>
        <v>157680.78550204856</v>
      </c>
      <c r="F382" s="64">
        <f t="shared" si="340"/>
        <v>155549.77022382041</v>
      </c>
      <c r="G382" s="64">
        <f t="shared" si="340"/>
        <v>152866.11666922399</v>
      </c>
      <c r="H382" s="64">
        <f t="shared" si="340"/>
        <v>149645.80943799566</v>
      </c>
      <c r="I382" s="64">
        <f t="shared" si="340"/>
        <v>146004.37086309271</v>
      </c>
      <c r="J382" s="64">
        <f t="shared" si="340"/>
        <v>142349.12531416214</v>
      </c>
      <c r="K382" s="64">
        <f t="shared" si="340"/>
        <v>138759.54693210014</v>
      </c>
      <c r="L382" s="64">
        <f t="shared" si="340"/>
        <v>135499.29681774494</v>
      </c>
      <c r="M382" s="64">
        <f t="shared" si="340"/>
        <v>132747.7736735754</v>
      </c>
      <c r="N382" s="64">
        <f t="shared" si="340"/>
        <v>130573.09132794125</v>
      </c>
      <c r="O382" s="64">
        <f t="shared" si="340"/>
        <v>128686.89653275811</v>
      </c>
      <c r="P382" s="64">
        <f t="shared" si="340"/>
        <v>127277.69521257475</v>
      </c>
      <c r="Q382" s="64">
        <f t="shared" si="340"/>
        <v>126245.30509298749</v>
      </c>
      <c r="R382" s="64">
        <f t="shared" si="340"/>
        <v>125495.41979405159</v>
      </c>
      <c r="S382" s="64">
        <f t="shared" si="340"/>
        <v>124949.83137984358</v>
      </c>
      <c r="T382" s="64">
        <f t="shared" si="340"/>
        <v>124548.37419215663</v>
      </c>
      <c r="U382" s="64">
        <f t="shared" si="340"/>
        <v>124246.90224907896</v>
      </c>
      <c r="V382" s="64">
        <f t="shared" si="340"/>
        <v>124014.00285066466</v>
      </c>
      <c r="W382" s="64">
        <f t="shared" si="340"/>
        <v>123827.77049455648</v>
      </c>
      <c r="X382" s="64">
        <f t="shared" si="340"/>
        <v>123673.13246840138</v>
      </c>
      <c r="Y382" s="64">
        <f t="shared" si="340"/>
        <v>123539.80949889714</v>
      </c>
      <c r="Z382" s="64">
        <f t="shared" si="340"/>
        <v>123420.83287265852</v>
      </c>
      <c r="AA382" s="64">
        <f t="shared" si="340"/>
        <v>123311.49696041865</v>
      </c>
      <c r="AB382" s="64">
        <f t="shared" si="340"/>
        <v>123208.63271615628</v>
      </c>
      <c r="AC382" s="64">
        <f t="shared" si="340"/>
        <v>123110.10971347119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0.14124657479996261</v>
      </c>
      <c r="C392" s="66">
        <f t="shared" ref="C392:AC392" si="349">C362*C363*C370/C370</f>
        <v>0.14047503156855581</v>
      </c>
      <c r="D392" s="66">
        <f t="shared" si="349"/>
        <v>0.13941727466178677</v>
      </c>
      <c r="E392" s="66">
        <f t="shared" si="349"/>
        <v>0.13799576272373693</v>
      </c>
      <c r="F392" s="66">
        <f t="shared" si="349"/>
        <v>0.13613757200479562</v>
      </c>
      <c r="G392" s="66">
        <f t="shared" si="349"/>
        <v>0.13379749486928533</v>
      </c>
      <c r="H392" s="66">
        <f t="shared" si="349"/>
        <v>0.13098946947859766</v>
      </c>
      <c r="I392" s="66">
        <f t="shared" si="349"/>
        <v>0.12781422834700634</v>
      </c>
      <c r="J392" s="66">
        <f t="shared" si="349"/>
        <v>0.12688529590371272</v>
      </c>
      <c r="K392" s="66">
        <f t="shared" si="349"/>
        <v>0.12589437095198186</v>
      </c>
      <c r="L392" s="66">
        <f t="shared" si="349"/>
        <v>0.12508740097061255</v>
      </c>
      <c r="M392" s="66">
        <f t="shared" si="349"/>
        <v>0.12464806812538963</v>
      </c>
      <c r="N392" s="66">
        <f t="shared" si="349"/>
        <v>0.12466540687551872</v>
      </c>
      <c r="O392" s="66">
        <f t="shared" si="349"/>
        <v>0.12177074421174854</v>
      </c>
      <c r="P392" s="66">
        <f t="shared" si="349"/>
        <v>0.11935194945438463</v>
      </c>
      <c r="Q392" s="66">
        <f t="shared" si="349"/>
        <v>0.11730419283452219</v>
      </c>
      <c r="R392" s="66">
        <f t="shared" si="349"/>
        <v>0.11553142441857946</v>
      </c>
      <c r="S392" s="66">
        <f t="shared" si="349"/>
        <v>0.11395541477400951</v>
      </c>
      <c r="T392" s="66">
        <f t="shared" si="349"/>
        <v>0.11251682350364578</v>
      </c>
      <c r="U392" s="66">
        <f t="shared" si="349"/>
        <v>0.11117263189340776</v>
      </c>
      <c r="V392" s="66">
        <f t="shared" si="349"/>
        <v>0.1098925620146109</v>
      </c>
      <c r="W392" s="66">
        <f t="shared" si="349"/>
        <v>0.10865571555351747</v>
      </c>
      <c r="X392" s="66">
        <f t="shared" si="349"/>
        <v>0.10744785449149125</v>
      </c>
      <c r="Y392" s="66">
        <f t="shared" si="349"/>
        <v>0.10625936246257087</v>
      </c>
      <c r="Z392" s="66">
        <f t="shared" si="349"/>
        <v>0.10508378239015397</v>
      </c>
      <c r="AA392" s="66">
        <f t="shared" si="349"/>
        <v>0.10391679560191694</v>
      </c>
      <c r="AB392" s="66">
        <f t="shared" si="349"/>
        <v>0.10275552135257573</v>
      </c>
      <c r="AC392" s="66">
        <f t="shared" si="349"/>
        <v>0.10159804155781051</v>
      </c>
    </row>
    <row r="393" spans="1:29" ht="15.75" thickBot="1" x14ac:dyDescent="0.3">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75" thickBot="1" x14ac:dyDescent="0.3">
      <c r="A394" s="31" t="s">
        <v>187</v>
      </c>
      <c r="B394" s="76">
        <f>B385+B386+B387-B388+B389+B390+B391+B392+B393</f>
        <v>2.1041826886582853</v>
      </c>
      <c r="C394" s="76">
        <f t="shared" ref="C394:AC394" si="352">C385+C386+C387-C388+C389+C390+C391+C392+C393</f>
        <v>2.0928388004038796</v>
      </c>
      <c r="D394" s="76">
        <f t="shared" si="352"/>
        <v>2.0772867539827926</v>
      </c>
      <c r="E394" s="76">
        <f t="shared" si="352"/>
        <v>2.0563864700827725</v>
      </c>
      <c r="F394" s="76">
        <f t="shared" si="352"/>
        <v>2.0290657613875398</v>
      </c>
      <c r="G394" s="76">
        <f t="shared" si="352"/>
        <v>1.9946599465850217</v>
      </c>
      <c r="H394" s="76">
        <f t="shared" si="352"/>
        <v>1.9533739564410688</v>
      </c>
      <c r="I394" s="76">
        <f t="shared" si="352"/>
        <v>1.9066888465064151</v>
      </c>
      <c r="J394" s="76">
        <f t="shared" si="352"/>
        <v>1.8598267240842286</v>
      </c>
      <c r="K394" s="76">
        <f t="shared" si="352"/>
        <v>1.8138064884167671</v>
      </c>
      <c r="L394" s="76">
        <f t="shared" si="352"/>
        <v>1.7720084100275977</v>
      </c>
      <c r="M394" s="76">
        <f t="shared" si="352"/>
        <v>1.7367324722818342</v>
      </c>
      <c r="N394" s="76">
        <f t="shared" si="352"/>
        <v>1.7088519293890889</v>
      </c>
      <c r="O394" s="76">
        <f t="shared" si="352"/>
        <v>1.684669944835459</v>
      </c>
      <c r="P394" s="76">
        <f t="shared" si="352"/>
        <v>1.6666032612433643</v>
      </c>
      <c r="Q394" s="76">
        <f t="shared" si="352"/>
        <v>1.6533674904794253</v>
      </c>
      <c r="R394" s="76">
        <f t="shared" si="352"/>
        <v>1.6437535763905033</v>
      </c>
      <c r="S394" s="76">
        <f t="shared" si="352"/>
        <v>1.6367588531314265</v>
      </c>
      <c r="T394" s="76">
        <f t="shared" si="352"/>
        <v>1.631611966109799</v>
      </c>
      <c r="U394" s="76">
        <f t="shared" si="352"/>
        <v>1.6277469411985468</v>
      </c>
      <c r="V394" s="76">
        <f t="shared" si="352"/>
        <v>1.6247610514752864</v>
      </c>
      <c r="W394" s="76">
        <f t="shared" si="352"/>
        <v>1.6223734571662072</v>
      </c>
      <c r="X394" s="76">
        <f t="shared" si="352"/>
        <v>1.620390918369347</v>
      </c>
      <c r="Y394" s="76">
        <f t="shared" si="352"/>
        <v>1.6186816495295491</v>
      </c>
      <c r="Z394" s="76">
        <f t="shared" si="352"/>
        <v>1.6171563081675153</v>
      </c>
      <c r="AA394" s="76">
        <f t="shared" si="352"/>
        <v>1.6157545657029015</v>
      </c>
      <c r="AB394" s="76">
        <f t="shared" si="352"/>
        <v>1.6144357933405635</v>
      </c>
      <c r="AC394" s="76">
        <f t="shared" si="352"/>
        <v>1.6131726779215243</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5.6498629919985045E-3</v>
      </c>
      <c r="C404" s="66">
        <f t="shared" ref="C404:AC404" si="361">C362*C363*C370/C370/(C367)</f>
        <v>5.6190012627422327E-3</v>
      </c>
      <c r="D404" s="66">
        <f t="shared" si="361"/>
        <v>5.5766909864714709E-3</v>
      </c>
      <c r="E404" s="66">
        <f t="shared" si="361"/>
        <v>5.5198305089494771E-3</v>
      </c>
      <c r="F404" s="66">
        <f t="shared" si="361"/>
        <v>5.4455028801918244E-3</v>
      </c>
      <c r="G404" s="66">
        <f t="shared" si="361"/>
        <v>5.351899794771413E-3</v>
      </c>
      <c r="H404" s="66">
        <f t="shared" si="361"/>
        <v>5.2395787791439065E-3</v>
      </c>
      <c r="I404" s="66">
        <f t="shared" si="361"/>
        <v>5.1125691338802541E-3</v>
      </c>
      <c r="J404" s="66">
        <f t="shared" si="361"/>
        <v>5.0754118361485091E-3</v>
      </c>
      <c r="K404" s="66">
        <f t="shared" si="361"/>
        <v>5.0357748380792742E-3</v>
      </c>
      <c r="L404" s="66">
        <f t="shared" si="361"/>
        <v>5.0034960388245023E-3</v>
      </c>
      <c r="M404" s="66">
        <f t="shared" si="361"/>
        <v>4.9859227250155852E-3</v>
      </c>
      <c r="N404" s="66">
        <f t="shared" si="361"/>
        <v>4.9866162750207485E-3</v>
      </c>
      <c r="O404" s="66">
        <f t="shared" si="361"/>
        <v>4.8708297684699415E-3</v>
      </c>
      <c r="P404" s="66">
        <f t="shared" si="361"/>
        <v>4.7740779781753851E-3</v>
      </c>
      <c r="Q404" s="66">
        <f t="shared" si="361"/>
        <v>4.6921677133808879E-3</v>
      </c>
      <c r="R404" s="66">
        <f t="shared" si="361"/>
        <v>4.6212569767431783E-3</v>
      </c>
      <c r="S404" s="66">
        <f t="shared" si="361"/>
        <v>4.5582165909603808E-3</v>
      </c>
      <c r="T404" s="66">
        <f t="shared" si="361"/>
        <v>4.5006729401458308E-3</v>
      </c>
      <c r="U404" s="66">
        <f t="shared" si="361"/>
        <v>4.4469052757363106E-3</v>
      </c>
      <c r="V404" s="66">
        <f t="shared" si="361"/>
        <v>4.3957024805844356E-3</v>
      </c>
      <c r="W404" s="66">
        <f t="shared" si="361"/>
        <v>4.3462286221406989E-3</v>
      </c>
      <c r="X404" s="66">
        <f t="shared" si="361"/>
        <v>4.2979141796596499E-3</v>
      </c>
      <c r="Y404" s="66">
        <f t="shared" si="361"/>
        <v>4.2503744985028348E-3</v>
      </c>
      <c r="Z404" s="66">
        <f t="shared" si="361"/>
        <v>4.2033512956061586E-3</v>
      </c>
      <c r="AA404" s="66">
        <f t="shared" si="361"/>
        <v>4.1566718240766774E-3</v>
      </c>
      <c r="AB404" s="66">
        <f t="shared" si="361"/>
        <v>4.1102208541030291E-3</v>
      </c>
      <c r="AC404" s="66">
        <f t="shared" si="361"/>
        <v>4.06392166231242E-3</v>
      </c>
    </row>
    <row r="405" spans="1:29" x14ac:dyDescent="0.25">
      <c r="A405" s="59" t="str">
        <f>A368</f>
        <v>Market failure (av. utilization)</v>
      </c>
      <c r="B405" s="66">
        <f t="shared" ref="B405:AC405" si="362">B394/B368-B394/B367</f>
        <v>5.3061998235730642E-2</v>
      </c>
      <c r="C405" s="66">
        <f t="shared" si="362"/>
        <v>5.2775934966706517E-2</v>
      </c>
      <c r="D405" s="66">
        <f t="shared" si="362"/>
        <v>5.2383752926522587E-2</v>
      </c>
      <c r="E405" s="66">
        <f t="shared" si="362"/>
        <v>5.1856702289043807E-2</v>
      </c>
      <c r="F405" s="66">
        <f t="shared" si="362"/>
        <v>5.1167745287164029E-2</v>
      </c>
      <c r="G405" s="66">
        <f t="shared" si="362"/>
        <v>5.0300120392144015E-2</v>
      </c>
      <c r="H405" s="66">
        <f t="shared" si="362"/>
        <v>4.9258995423296495E-2</v>
      </c>
      <c r="I405" s="66">
        <f t="shared" si="362"/>
        <v>4.8081718737987847E-2</v>
      </c>
      <c r="J405" s="66">
        <f t="shared" si="362"/>
        <v>4.6899978259515307E-2</v>
      </c>
      <c r="K405" s="66">
        <f t="shared" si="362"/>
        <v>4.5739467968770625E-2</v>
      </c>
      <c r="L405" s="66">
        <f t="shared" si="362"/>
        <v>4.4685429470261148E-2</v>
      </c>
      <c r="M405" s="66">
        <f t="shared" si="362"/>
        <v>4.3795862344498407E-2</v>
      </c>
      <c r="N405" s="66">
        <f t="shared" si="362"/>
        <v>4.3092787784594397E-2</v>
      </c>
      <c r="O405" s="66">
        <f t="shared" si="362"/>
        <v>4.2482981217589824E-2</v>
      </c>
      <c r="P405" s="66">
        <f t="shared" si="362"/>
        <v>4.2027386587876123E-2</v>
      </c>
      <c r="Q405" s="66">
        <f t="shared" si="362"/>
        <v>4.1693614977307239E-2</v>
      </c>
      <c r="R405" s="66">
        <f t="shared" si="362"/>
        <v>4.1451177143760509E-2</v>
      </c>
      <c r="S405" s="66">
        <f t="shared" si="362"/>
        <v>4.1274788470270746E-2</v>
      </c>
      <c r="T405" s="66">
        <f t="shared" si="362"/>
        <v>4.1144997406247094E-2</v>
      </c>
      <c r="U405" s="66">
        <f t="shared" si="362"/>
        <v>4.104753156065899E-2</v>
      </c>
      <c r="V405" s="66">
        <f t="shared" si="362"/>
        <v>4.0972235211115898E-2</v>
      </c>
      <c r="W405" s="66">
        <f t="shared" si="362"/>
        <v>4.091202631114782E-2</v>
      </c>
      <c r="X405" s="66">
        <f t="shared" si="362"/>
        <v>4.0862031854531342E-2</v>
      </c>
      <c r="Y405" s="66">
        <f t="shared" si="362"/>
        <v>4.0818928553353825E-2</v>
      </c>
      <c r="Z405" s="66">
        <f t="shared" si="362"/>
        <v>4.0780463423354715E-2</v>
      </c>
      <c r="AA405" s="66">
        <f t="shared" si="362"/>
        <v>4.0745115135116625E-2</v>
      </c>
      <c r="AB405" s="66">
        <f t="shared" si="362"/>
        <v>4.0711859136414189E-2</v>
      </c>
      <c r="AC405" s="66">
        <f t="shared" si="362"/>
        <v>4.0680006660629722E-2</v>
      </c>
    </row>
    <row r="406" spans="1:29" x14ac:dyDescent="0.25">
      <c r="A406" s="59" t="str">
        <f>A369</f>
        <v>Payload loss (fuel)</v>
      </c>
      <c r="B406" s="66">
        <f>B394/(B367-B369)-B394/B367</f>
        <v>9.2833814533645614E-3</v>
      </c>
      <c r="C406" s="66">
        <f t="shared" ref="C406:AC406" si="363">C394/(C367-C369)-C394/C367</f>
        <v>9.204174964528633E-3</v>
      </c>
      <c r="D406" s="66">
        <f t="shared" si="363"/>
        <v>9.0947156613913338E-3</v>
      </c>
      <c r="E406" s="66">
        <f t="shared" si="363"/>
        <v>8.9458185741133345E-3</v>
      </c>
      <c r="F406" s="66">
        <f t="shared" si="363"/>
        <v>8.747579537275979E-3</v>
      </c>
      <c r="G406" s="66">
        <f t="shared" si="363"/>
        <v>8.4909750059972283E-3</v>
      </c>
      <c r="H406" s="66">
        <f t="shared" si="363"/>
        <v>8.1702777845658464E-3</v>
      </c>
      <c r="I406" s="66">
        <f t="shared" si="363"/>
        <v>7.785615803638124E-3</v>
      </c>
      <c r="J406" s="66">
        <f t="shared" si="363"/>
        <v>7.3540214124966918E-3</v>
      </c>
      <c r="K406" s="66">
        <f t="shared" si="363"/>
        <v>6.8789397294960475E-3</v>
      </c>
      <c r="L406" s="66">
        <f t="shared" si="363"/>
        <v>6.3795662147136528E-3</v>
      </c>
      <c r="M406" s="66">
        <f t="shared" si="363"/>
        <v>5.8783299503231135E-3</v>
      </c>
      <c r="N406" s="66">
        <f t="shared" si="363"/>
        <v>5.3991542360820599E-3</v>
      </c>
      <c r="O406" s="66">
        <f t="shared" si="363"/>
        <v>4.9546563405688249E-3</v>
      </c>
      <c r="P406" s="66">
        <f t="shared" si="363"/>
        <v>4.5732225190641268E-3</v>
      </c>
      <c r="Q406" s="66">
        <f t="shared" si="363"/>
        <v>4.2624509961332463E-3</v>
      </c>
      <c r="R406" s="66">
        <f t="shared" si="363"/>
        <v>4.0206803687977827E-3</v>
      </c>
      <c r="S406" s="66">
        <f t="shared" si="363"/>
        <v>3.8396050014216643E-3</v>
      </c>
      <c r="T406" s="66">
        <f t="shared" si="363"/>
        <v>3.7078731191693415E-3</v>
      </c>
      <c r="U406" s="66">
        <f t="shared" si="363"/>
        <v>3.6139918721053432E-3</v>
      </c>
      <c r="V406" s="66">
        <f t="shared" si="363"/>
        <v>3.5479559369993863E-3</v>
      </c>
      <c r="W406" s="66">
        <f t="shared" si="363"/>
        <v>3.5018089556647924E-3</v>
      </c>
      <c r="X406" s="66">
        <f t="shared" si="363"/>
        <v>3.469579496820821E-3</v>
      </c>
      <c r="Y406" s="66">
        <f t="shared" si="363"/>
        <v>3.4469526127234723E-3</v>
      </c>
      <c r="Z406" s="66">
        <f t="shared" si="363"/>
        <v>3.430887740760738E-3</v>
      </c>
      <c r="AA406" s="66">
        <f t="shared" si="363"/>
        <v>3.4192779314723698E-3</v>
      </c>
      <c r="AB406" s="66">
        <f t="shared" si="363"/>
        <v>3.4106794409761304E-3</v>
      </c>
      <c r="AC406" s="66">
        <f t="shared" si="363"/>
        <v>3.4041103604977863E-3</v>
      </c>
    </row>
    <row r="407" spans="1:29" ht="15.75" thickBot="1" x14ac:dyDescent="0.3">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75" thickBot="1" x14ac:dyDescent="0.3">
      <c r="A408" s="31" t="s">
        <v>505</v>
      </c>
      <c r="B408" s="67">
        <f>B397+B398+B399+B400+B401+B402+B403+B404+B405+B406+B407</f>
        <v>0.14511916971521754</v>
      </c>
      <c r="C408" s="67">
        <f t="shared" ref="C408:AC408" si="365">C397+C398+C399+C400+C401+C402+C403+C404+C405+C406+C407</f>
        <v>0.14430014442718125</v>
      </c>
      <c r="D408" s="67">
        <f t="shared" si="365"/>
        <v>0.14317642122701657</v>
      </c>
      <c r="E408" s="67">
        <f t="shared" si="365"/>
        <v>0.14166446214625897</v>
      </c>
      <c r="F408" s="67">
        <f t="shared" si="365"/>
        <v>0.13968443775973252</v>
      </c>
      <c r="G408" s="67">
        <f t="shared" si="365"/>
        <v>0.13718397574133306</v>
      </c>
      <c r="H408" s="67">
        <f t="shared" si="365"/>
        <v>0.13417071394529606</v>
      </c>
      <c r="I408" s="67">
        <f t="shared" si="365"/>
        <v>0.13074137088167351</v>
      </c>
      <c r="J408" s="67">
        <f t="shared" si="365"/>
        <v>0.12725355111517206</v>
      </c>
      <c r="K408" s="67">
        <f t="shared" si="365"/>
        <v>0.12377714971472829</v>
      </c>
      <c r="L408" s="67">
        <f t="shared" si="365"/>
        <v>0.12055181456586964</v>
      </c>
      <c r="M408" s="67">
        <f t="shared" si="365"/>
        <v>0.11774997366588581</v>
      </c>
      <c r="N408" s="67">
        <f t="shared" si="365"/>
        <v>0.11545250167603095</v>
      </c>
      <c r="O408" s="67">
        <f t="shared" si="365"/>
        <v>0.11343091783136794</v>
      </c>
      <c r="P408" s="67">
        <f t="shared" si="365"/>
        <v>0.11187122203646577</v>
      </c>
      <c r="Q408" s="67">
        <f t="shared" si="365"/>
        <v>0.11069724807240844</v>
      </c>
      <c r="R408" s="67">
        <f t="shared" si="365"/>
        <v>0.10982848304796937</v>
      </c>
      <c r="S408" s="67">
        <f t="shared" si="365"/>
        <v>0.10919123007674041</v>
      </c>
      <c r="T408" s="67">
        <f t="shared" si="365"/>
        <v>0.10872383164959933</v>
      </c>
      <c r="U408" s="67">
        <f t="shared" si="365"/>
        <v>0.10837788356049714</v>
      </c>
      <c r="V408" s="67">
        <f t="shared" si="365"/>
        <v>0.10811711568691768</v>
      </c>
      <c r="W408" s="67">
        <f t="shared" si="365"/>
        <v>0.10791525603325183</v>
      </c>
      <c r="X408" s="67">
        <f t="shared" si="365"/>
        <v>0.10775373056591699</v>
      </c>
      <c r="Y408" s="67">
        <f t="shared" si="365"/>
        <v>0.1076196296270502</v>
      </c>
      <c r="Z408" s="67">
        <f t="shared" si="365"/>
        <v>0.10750408597060701</v>
      </c>
      <c r="AA408" s="67">
        <f t="shared" si="365"/>
        <v>0.10740105817449599</v>
      </c>
      <c r="AB408" s="67">
        <f t="shared" si="365"/>
        <v>0.10730645279080381</v>
      </c>
      <c r="AC408" s="67">
        <f t="shared" si="365"/>
        <v>0.10721750661777942</v>
      </c>
    </row>
    <row r="410" spans="1:29" x14ac:dyDescent="0.25">
      <c r="B410" s="40"/>
    </row>
    <row r="429" spans="1:1" s="3" customFormat="1" ht="21" x14ac:dyDescent="0.35">
      <c r="A429" s="2" t="str">
        <f>'Parameter Input'!A128</f>
        <v>Road long-haul:  Neo bulk</v>
      </c>
    </row>
    <row r="430" spans="1:1" s="3" customFormat="1" ht="21" x14ac:dyDescent="0.35">
      <c r="A430" s="2" t="s">
        <v>299</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Input'!$L$89</f>
        <v>400000</v>
      </c>
      <c r="C439" s="42">
        <f>'Parameter Input'!$M$89</f>
        <v>145000</v>
      </c>
      <c r="D439" s="1" t="s">
        <v>138</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151</v>
      </c>
      <c r="B440" s="60">
        <f>'Parameter Input'!$L$90</f>
        <v>-60000</v>
      </c>
      <c r="C440" s="61">
        <f>'Parameter Input'!$M$90</f>
        <v>-36250</v>
      </c>
      <c r="D440" s="1" t="s">
        <v>138</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203</v>
      </c>
      <c r="B443" s="45">
        <f>'Parameter Input'!$L$96</f>
        <v>0.06</v>
      </c>
      <c r="C443" s="46">
        <f>'Parameter Input'!$M$96</f>
        <v>0.06</v>
      </c>
      <c r="D443" s="1" t="s">
        <v>180</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175</v>
      </c>
      <c r="B445" s="43">
        <f>'Parameter Input'!$L$92</f>
        <v>15000</v>
      </c>
      <c r="C445" s="44">
        <f>'Parameter Input'!$M$92</f>
        <v>15000</v>
      </c>
      <c r="D445" s="1" t="s">
        <v>161</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183</v>
      </c>
      <c r="B447" s="47">
        <f>'Parameter Input'!$L$93</f>
        <v>1.52</v>
      </c>
      <c r="C447" s="48">
        <f>'Parameter Input'!$M$93</f>
        <v>1.1499999999999999</v>
      </c>
      <c r="D447" s="1" t="s">
        <v>184</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191</v>
      </c>
      <c r="B448" s="45">
        <f>'Parameter Input'!$L$94</f>
        <v>0.13371034051801745</v>
      </c>
      <c r="C448" s="46">
        <f>'Parameter Input'!$M$94</f>
        <v>8.7585019329602734E-2</v>
      </c>
      <c r="D448" s="1" t="s">
        <v>94</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458</v>
      </c>
      <c r="B449" s="115">
        <f>'Parameter Input'!$L$97</f>
        <v>0</v>
      </c>
      <c r="C449" s="116">
        <f>'Parameter Input'!$M$97</f>
        <v>0</v>
      </c>
      <c r="D449" s="1" t="s">
        <v>200</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164</v>
      </c>
      <c r="B450" s="43">
        <f>'Parameter Input'!$L$91</f>
        <v>8</v>
      </c>
      <c r="C450" s="44">
        <f>'Parameter Input'!$M$91</f>
        <v>8</v>
      </c>
      <c r="D450" s="1" t="s">
        <v>165</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197</v>
      </c>
      <c r="B454" s="72">
        <f>'Parameter Input'!$L$95</f>
        <v>0.1</v>
      </c>
      <c r="C454" s="73">
        <f>'Parameter Input'!$M$95</f>
        <v>0.05</v>
      </c>
      <c r="D454" s="1" t="s">
        <v>180</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197</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12712.191731996634</v>
      </c>
      <c r="C485" s="62">
        <f t="shared" ref="C485:AC485" si="442">C467*C468*C475</f>
        <v>12642.752841170024</v>
      </c>
      <c r="D485" s="62">
        <f t="shared" si="442"/>
        <v>12547.554719560809</v>
      </c>
      <c r="E485" s="62">
        <f t="shared" si="442"/>
        <v>12419.618645136323</v>
      </c>
      <c r="F485" s="62">
        <f t="shared" si="442"/>
        <v>12252.381480431606</v>
      </c>
      <c r="G485" s="62">
        <f t="shared" si="442"/>
        <v>12041.774538235679</v>
      </c>
      <c r="H485" s="62">
        <f t="shared" si="442"/>
        <v>11789.052253073789</v>
      </c>
      <c r="I485" s="62">
        <f t="shared" si="442"/>
        <v>11503.280551230571</v>
      </c>
      <c r="J485" s="62">
        <f t="shared" si="442"/>
        <v>11419.676631334145</v>
      </c>
      <c r="K485" s="62">
        <f t="shared" si="442"/>
        <v>11330.493385678368</v>
      </c>
      <c r="L485" s="62">
        <f t="shared" si="442"/>
        <v>11257.866087355129</v>
      </c>
      <c r="M485" s="62">
        <f t="shared" si="442"/>
        <v>11218.326131285068</v>
      </c>
      <c r="N485" s="62">
        <f t="shared" si="442"/>
        <v>11219.886618796685</v>
      </c>
      <c r="O485" s="62">
        <f t="shared" si="442"/>
        <v>10959.366979057368</v>
      </c>
      <c r="P485" s="62">
        <f t="shared" si="442"/>
        <v>10741.675450894614</v>
      </c>
      <c r="Q485" s="62">
        <f t="shared" si="442"/>
        <v>10557.377355106997</v>
      </c>
      <c r="R485" s="62">
        <f t="shared" si="442"/>
        <v>10397.82819767215</v>
      </c>
      <c r="S485" s="62">
        <f t="shared" si="442"/>
        <v>10255.987329660855</v>
      </c>
      <c r="T485" s="62">
        <f t="shared" si="442"/>
        <v>10126.514115328118</v>
      </c>
      <c r="U485" s="62">
        <f t="shared" si="442"/>
        <v>10005.536870406699</v>
      </c>
      <c r="V485" s="62">
        <f t="shared" si="442"/>
        <v>9890.33058131498</v>
      </c>
      <c r="W485" s="62">
        <f t="shared" si="442"/>
        <v>9779.0143998165713</v>
      </c>
      <c r="X485" s="62">
        <f t="shared" si="442"/>
        <v>9670.3069042342122</v>
      </c>
      <c r="Y485" s="62">
        <f t="shared" si="442"/>
        <v>9563.3426216313765</v>
      </c>
      <c r="Z485" s="62">
        <f t="shared" si="442"/>
        <v>9457.5404151138573</v>
      </c>
      <c r="AA485" s="62">
        <f t="shared" si="442"/>
        <v>9352.511604172525</v>
      </c>
      <c r="AB485" s="62">
        <f t="shared" si="442"/>
        <v>9247.9969217318157</v>
      </c>
      <c r="AC485" s="62">
        <f t="shared" si="442"/>
        <v>9143.8237402029463</v>
      </c>
    </row>
    <row r="486" spans="1:29" ht="15.75" thickBot="1" x14ac:dyDescent="0.3">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75" thickBot="1" x14ac:dyDescent="0.3">
      <c r="A487" s="31" t="s">
        <v>504</v>
      </c>
      <c r="B487" s="64">
        <f>B478+B479+B480+B481+B482+B483+B484+B485+B486</f>
        <v>163914.34460521166</v>
      </c>
      <c r="C487" s="64">
        <f t="shared" ref="C487:AC487" si="444">C478+C479+C480+C481+C482+C483+C484+C485+C486</f>
        <v>163020.26280259117</v>
      </c>
      <c r="D487" s="64">
        <f t="shared" si="444"/>
        <v>161794.51009886517</v>
      </c>
      <c r="E487" s="64">
        <f t="shared" si="444"/>
        <v>160147.22981140701</v>
      </c>
      <c r="F487" s="64">
        <f t="shared" si="444"/>
        <v>157993.91624455148</v>
      </c>
      <c r="G487" s="64">
        <f t="shared" si="444"/>
        <v>155282.181764329</v>
      </c>
      <c r="H487" s="64">
        <f t="shared" si="444"/>
        <v>152028.17822841241</v>
      </c>
      <c r="I487" s="64">
        <f t="shared" si="444"/>
        <v>148348.63675993032</v>
      </c>
      <c r="J487" s="64">
        <f t="shared" si="444"/>
        <v>144682.24402168026</v>
      </c>
      <c r="K487" s="64">
        <f t="shared" si="444"/>
        <v>141080.77454019748</v>
      </c>
      <c r="L487" s="64">
        <f t="shared" si="444"/>
        <v>137810.84078606585</v>
      </c>
      <c r="M487" s="64">
        <f t="shared" si="444"/>
        <v>135054.04564775364</v>
      </c>
      <c r="N487" s="64">
        <f t="shared" si="444"/>
        <v>132879.57136712104</v>
      </c>
      <c r="O487" s="64">
        <f t="shared" si="444"/>
        <v>130958.64061997265</v>
      </c>
      <c r="P487" s="64">
        <f t="shared" si="444"/>
        <v>129520.41376270092</v>
      </c>
      <c r="Q487" s="64">
        <f t="shared" si="444"/>
        <v>128463.45056367532</v>
      </c>
      <c r="R487" s="64">
        <f t="shared" si="444"/>
        <v>127692.29204374811</v>
      </c>
      <c r="S487" s="64">
        <f t="shared" si="444"/>
        <v>127127.79151380525</v>
      </c>
      <c r="T487" s="64">
        <f t="shared" si="444"/>
        <v>126709.07123087393</v>
      </c>
      <c r="U487" s="64">
        <f t="shared" si="444"/>
        <v>126391.46898847343</v>
      </c>
      <c r="V487" s="64">
        <f t="shared" si="444"/>
        <v>126143.20875151355</v>
      </c>
      <c r="W487" s="64">
        <f t="shared" si="444"/>
        <v>125942.13423787225</v>
      </c>
      <c r="X487" s="64">
        <f t="shared" si="444"/>
        <v>125773.00187897285</v>
      </c>
      <c r="Y487" s="64">
        <f t="shared" si="444"/>
        <v>125625.41700512155</v>
      </c>
      <c r="Z487" s="64">
        <f t="shared" si="444"/>
        <v>125492.33341801391</v>
      </c>
      <c r="AA487" s="64">
        <f t="shared" si="444"/>
        <v>125368.9936643152</v>
      </c>
      <c r="AB487" s="64">
        <f t="shared" si="444"/>
        <v>125252.19412906074</v>
      </c>
      <c r="AC487" s="64">
        <f t="shared" si="444"/>
        <v>125139.78136883849</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0.14124657479996261</v>
      </c>
      <c r="C497" s="66">
        <f t="shared" ref="C497:AC497" si="453">C467*C468*C475/C475</f>
        <v>0.14047503156855581</v>
      </c>
      <c r="D497" s="66">
        <f t="shared" si="453"/>
        <v>0.13941727466178677</v>
      </c>
      <c r="E497" s="66">
        <f t="shared" si="453"/>
        <v>0.13799576272373693</v>
      </c>
      <c r="F497" s="66">
        <f t="shared" si="453"/>
        <v>0.13613757200479562</v>
      </c>
      <c r="G497" s="66">
        <f t="shared" si="453"/>
        <v>0.13379749486928533</v>
      </c>
      <c r="H497" s="66">
        <f t="shared" si="453"/>
        <v>0.13098946947859766</v>
      </c>
      <c r="I497" s="66">
        <f t="shared" si="453"/>
        <v>0.12781422834700634</v>
      </c>
      <c r="J497" s="66">
        <f t="shared" si="453"/>
        <v>0.12688529590371272</v>
      </c>
      <c r="K497" s="66">
        <f t="shared" si="453"/>
        <v>0.12589437095198186</v>
      </c>
      <c r="L497" s="66">
        <f t="shared" si="453"/>
        <v>0.12508740097061255</v>
      </c>
      <c r="M497" s="66">
        <f t="shared" si="453"/>
        <v>0.12464806812538964</v>
      </c>
      <c r="N497" s="66">
        <f t="shared" si="453"/>
        <v>0.12466540687551872</v>
      </c>
      <c r="O497" s="66">
        <f t="shared" si="453"/>
        <v>0.12177074421174854</v>
      </c>
      <c r="P497" s="66">
        <f t="shared" si="453"/>
        <v>0.1193519494543846</v>
      </c>
      <c r="Q497" s="66">
        <f t="shared" si="453"/>
        <v>0.11730419283452219</v>
      </c>
      <c r="R497" s="66">
        <f t="shared" si="453"/>
        <v>0.11553142441857944</v>
      </c>
      <c r="S497" s="66">
        <f t="shared" si="453"/>
        <v>0.1139554147740095</v>
      </c>
      <c r="T497" s="66">
        <f t="shared" si="453"/>
        <v>0.11251682350364577</v>
      </c>
      <c r="U497" s="66">
        <f t="shared" si="453"/>
        <v>0.11117263189340776</v>
      </c>
      <c r="V497" s="66">
        <f t="shared" si="453"/>
        <v>0.1098925620146109</v>
      </c>
      <c r="W497" s="66">
        <f t="shared" si="453"/>
        <v>0.10865571555351745</v>
      </c>
      <c r="X497" s="66">
        <f t="shared" si="453"/>
        <v>0.10744785449149125</v>
      </c>
      <c r="Y497" s="66">
        <f t="shared" si="453"/>
        <v>0.10625936246257085</v>
      </c>
      <c r="Z497" s="66">
        <f t="shared" si="453"/>
        <v>0.10508378239015397</v>
      </c>
      <c r="AA497" s="66">
        <f t="shared" si="453"/>
        <v>0.10391679560191694</v>
      </c>
      <c r="AB497" s="66">
        <f t="shared" si="453"/>
        <v>0.10275552135257573</v>
      </c>
      <c r="AC497" s="66">
        <f t="shared" si="453"/>
        <v>0.10159804155781052</v>
      </c>
    </row>
    <row r="498" spans="1:29" ht="15.75" thickBot="1" x14ac:dyDescent="0.3">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187</v>
      </c>
      <c r="B499" s="76">
        <f>B490+B491+B492-B493+B494+B495+B496+B497+B498</f>
        <v>1.8476892652674266</v>
      </c>
      <c r="C499" s="76">
        <f t="shared" ref="C499:AC499" si="456">C490+C491+C492-C493+C494+C495+C496+C497+C498</f>
        <v>1.8377550230160877</v>
      </c>
      <c r="D499" s="76">
        <f t="shared" si="456"/>
        <v>1.8241355485302433</v>
      </c>
      <c r="E499" s="76">
        <f t="shared" si="456"/>
        <v>1.8058324342251524</v>
      </c>
      <c r="F499" s="76">
        <f t="shared" si="456"/>
        <v>1.7819067279267582</v>
      </c>
      <c r="G499" s="76">
        <f t="shared" si="456"/>
        <v>1.7517763448131747</v>
      </c>
      <c r="H499" s="76">
        <f t="shared" si="456"/>
        <v>1.7156207499696572</v>
      </c>
      <c r="I499" s="76">
        <f t="shared" si="456"/>
        <v>1.6747369558754117</v>
      </c>
      <c r="J499" s="76">
        <f t="shared" si="456"/>
        <v>1.6339992587837444</v>
      </c>
      <c r="K499" s="76">
        <f t="shared" si="456"/>
        <v>1.5939829312117135</v>
      </c>
      <c r="L499" s="76">
        <f t="shared" si="456"/>
        <v>1.5576503339435841</v>
      </c>
      <c r="M499" s="76">
        <f t="shared" si="456"/>
        <v>1.5270192768512263</v>
      </c>
      <c r="N499" s="76">
        <f t="shared" si="456"/>
        <v>1.5028584515108641</v>
      </c>
      <c r="O499" s="76">
        <f t="shared" si="456"/>
        <v>1.4815147765425489</v>
      </c>
      <c r="P499" s="76">
        <f t="shared" si="456"/>
        <v>1.4655344781284183</v>
      </c>
      <c r="Q499" s="76">
        <f t="shared" si="456"/>
        <v>1.4537904425836894</v>
      </c>
      <c r="R499" s="76">
        <f t="shared" si="456"/>
        <v>1.4452220145844981</v>
      </c>
      <c r="S499" s="76">
        <f t="shared" si="456"/>
        <v>1.4389497864740219</v>
      </c>
      <c r="T499" s="76">
        <f t="shared" si="456"/>
        <v>1.4342973388858964</v>
      </c>
      <c r="U499" s="76">
        <f t="shared" si="456"/>
        <v>1.4307684250814461</v>
      </c>
      <c r="V499" s="76">
        <f t="shared" si="456"/>
        <v>1.4280099780041142</v>
      </c>
      <c r="W499" s="76">
        <f t="shared" si="456"/>
        <v>1.4257758167414332</v>
      </c>
      <c r="X499" s="76">
        <f t="shared" si="456"/>
        <v>1.4238965683092175</v>
      </c>
      <c r="Y499" s="76">
        <f t="shared" si="456"/>
        <v>1.4222567363775365</v>
      </c>
      <c r="Z499" s="76">
        <f t="shared" si="456"/>
        <v>1.4207780298541184</v>
      </c>
      <c r="AA499" s="76">
        <f t="shared" si="456"/>
        <v>1.4194075881463548</v>
      </c>
      <c r="AB499" s="76">
        <f t="shared" si="456"/>
        <v>1.4181098155324163</v>
      </c>
      <c r="AC499" s="76">
        <f t="shared" si="456"/>
        <v>1.4168607848632804</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5.6498629919985045E-3</v>
      </c>
      <c r="C509" s="66">
        <f t="shared" ref="C509:AC509" si="465">C467*C468*C475/C475/(C472)</f>
        <v>5.6190012627422327E-3</v>
      </c>
      <c r="D509" s="66">
        <f t="shared" si="465"/>
        <v>5.5766909864714709E-3</v>
      </c>
      <c r="E509" s="66">
        <f t="shared" si="465"/>
        <v>5.5198305089494771E-3</v>
      </c>
      <c r="F509" s="66">
        <f t="shared" si="465"/>
        <v>5.4455028801918244E-3</v>
      </c>
      <c r="G509" s="66">
        <f t="shared" si="465"/>
        <v>5.351899794771413E-3</v>
      </c>
      <c r="H509" s="66">
        <f t="shared" si="465"/>
        <v>5.2395787791439065E-3</v>
      </c>
      <c r="I509" s="66">
        <f t="shared" si="465"/>
        <v>5.1125691338802541E-3</v>
      </c>
      <c r="J509" s="66">
        <f t="shared" si="465"/>
        <v>5.0754118361485091E-3</v>
      </c>
      <c r="K509" s="66">
        <f t="shared" si="465"/>
        <v>5.0357748380792742E-3</v>
      </c>
      <c r="L509" s="66">
        <f t="shared" si="465"/>
        <v>5.0034960388245023E-3</v>
      </c>
      <c r="M509" s="66">
        <f t="shared" si="465"/>
        <v>4.985922725015586E-3</v>
      </c>
      <c r="N509" s="66">
        <f t="shared" si="465"/>
        <v>4.9866162750207485E-3</v>
      </c>
      <c r="O509" s="66">
        <f t="shared" si="465"/>
        <v>4.8708297684699415E-3</v>
      </c>
      <c r="P509" s="66">
        <f t="shared" si="465"/>
        <v>4.7740779781753843E-3</v>
      </c>
      <c r="Q509" s="66">
        <f t="shared" si="465"/>
        <v>4.6921677133808879E-3</v>
      </c>
      <c r="R509" s="66">
        <f t="shared" si="465"/>
        <v>4.6212569767431775E-3</v>
      </c>
      <c r="S509" s="66">
        <f t="shared" si="465"/>
        <v>4.5582165909603799E-3</v>
      </c>
      <c r="T509" s="66">
        <f t="shared" si="465"/>
        <v>4.5006729401458308E-3</v>
      </c>
      <c r="U509" s="66">
        <f t="shared" si="465"/>
        <v>4.4469052757363106E-3</v>
      </c>
      <c r="V509" s="66">
        <f t="shared" si="465"/>
        <v>4.3957024805844356E-3</v>
      </c>
      <c r="W509" s="66">
        <f t="shared" si="465"/>
        <v>4.3462286221406981E-3</v>
      </c>
      <c r="X509" s="66">
        <f t="shared" si="465"/>
        <v>4.2979141796596499E-3</v>
      </c>
      <c r="Y509" s="66">
        <f t="shared" si="465"/>
        <v>4.250374498502834E-3</v>
      </c>
      <c r="Z509" s="66">
        <f t="shared" si="465"/>
        <v>4.2033512956061586E-3</v>
      </c>
      <c r="AA509" s="66">
        <f t="shared" si="465"/>
        <v>4.1566718240766774E-3</v>
      </c>
      <c r="AB509" s="66">
        <f t="shared" si="465"/>
        <v>4.1102208541030291E-3</v>
      </c>
      <c r="AC509" s="66">
        <f t="shared" si="465"/>
        <v>4.0639216623124209E-3</v>
      </c>
    </row>
    <row r="510" spans="1:29" x14ac:dyDescent="0.25">
      <c r="A510" s="59" t="str">
        <f>A473</f>
        <v>Market failure (av. utilization)</v>
      </c>
      <c r="B510" s="66">
        <f t="shared" ref="B510:AC510" si="466">B499/B473-B499/B472</f>
        <v>4.1573008468517095E-2</v>
      </c>
      <c r="C510" s="66">
        <f t="shared" si="466"/>
        <v>4.1349488017861979E-2</v>
      </c>
      <c r="D510" s="66">
        <f t="shared" si="466"/>
        <v>4.1043049841930468E-2</v>
      </c>
      <c r="E510" s="66">
        <f t="shared" si="466"/>
        <v>4.0631229770065933E-2</v>
      </c>
      <c r="F510" s="66">
        <f t="shared" si="466"/>
        <v>4.0092901378352058E-2</v>
      </c>
      <c r="G510" s="66">
        <f t="shared" si="466"/>
        <v>3.9414967758296435E-2</v>
      </c>
      <c r="H510" s="66">
        <f t="shared" si="466"/>
        <v>3.8601466874317286E-2</v>
      </c>
      <c r="I510" s="66">
        <f t="shared" si="466"/>
        <v>3.7681581507196762E-2</v>
      </c>
      <c r="J510" s="66">
        <f t="shared" si="466"/>
        <v>3.6764983322634254E-2</v>
      </c>
      <c r="K510" s="66">
        <f t="shared" si="466"/>
        <v>3.5864615952263548E-2</v>
      </c>
      <c r="L510" s="66">
        <f t="shared" si="466"/>
        <v>3.5047132513730643E-2</v>
      </c>
      <c r="M510" s="66">
        <f t="shared" si="466"/>
        <v>3.4357933729152593E-2</v>
      </c>
      <c r="N510" s="66">
        <f t="shared" si="466"/>
        <v>3.381431515899444E-2</v>
      </c>
      <c r="O510" s="66">
        <f t="shared" si="466"/>
        <v>3.3334082472207351E-2</v>
      </c>
      <c r="P510" s="66">
        <f t="shared" si="466"/>
        <v>3.2974525757889409E-2</v>
      </c>
      <c r="Q510" s="66">
        <f t="shared" si="466"/>
        <v>3.271028495813301E-2</v>
      </c>
      <c r="R510" s="66">
        <f t="shared" si="466"/>
        <v>3.2517495328151208E-2</v>
      </c>
      <c r="S510" s="66">
        <f t="shared" si="466"/>
        <v>3.2376370195665492E-2</v>
      </c>
      <c r="T510" s="66">
        <f t="shared" si="466"/>
        <v>3.2271690124932667E-2</v>
      </c>
      <c r="U510" s="66">
        <f t="shared" si="466"/>
        <v>3.2192289564332538E-2</v>
      </c>
      <c r="V510" s="66">
        <f t="shared" si="466"/>
        <v>3.2130224505092571E-2</v>
      </c>
      <c r="W510" s="66">
        <f t="shared" si="466"/>
        <v>3.2079955876682248E-2</v>
      </c>
      <c r="X510" s="66">
        <f t="shared" si="466"/>
        <v>3.2037672786957391E-2</v>
      </c>
      <c r="Y510" s="66">
        <f t="shared" si="466"/>
        <v>3.2000776568494572E-2</v>
      </c>
      <c r="Z510" s="66">
        <f t="shared" si="466"/>
        <v>3.1967505671717661E-2</v>
      </c>
      <c r="AA510" s="66">
        <f t="shared" si="466"/>
        <v>3.1936670733292982E-2</v>
      </c>
      <c r="AB510" s="66">
        <f t="shared" si="466"/>
        <v>3.1907470849479369E-2</v>
      </c>
      <c r="AC510" s="66">
        <f t="shared" si="466"/>
        <v>3.1879367659423806E-2</v>
      </c>
    </row>
    <row r="511" spans="1:29" x14ac:dyDescent="0.25">
      <c r="A511" s="59" t="str">
        <f>A474</f>
        <v>Payload loss (fuel)</v>
      </c>
      <c r="B511" s="66">
        <f>B499/(B472-B474)-B499/B472</f>
        <v>8.1517656946896305E-3</v>
      </c>
      <c r="C511" s="66">
        <f t="shared" ref="C511:AC511" si="467">C499/(C472-C474)-C499/C472</f>
        <v>8.0823323662181507E-3</v>
      </c>
      <c r="D511" s="66">
        <f t="shared" si="467"/>
        <v>7.9863765124918717E-3</v>
      </c>
      <c r="E511" s="66">
        <f t="shared" si="467"/>
        <v>7.85584303673105E-3</v>
      </c>
      <c r="F511" s="66">
        <f t="shared" si="467"/>
        <v>7.6820431979924414E-3</v>
      </c>
      <c r="G511" s="66">
        <f t="shared" si="467"/>
        <v>7.4570551162725929E-3</v>
      </c>
      <c r="H511" s="66">
        <f t="shared" si="467"/>
        <v>7.1758395539150144E-3</v>
      </c>
      <c r="I511" s="66">
        <f t="shared" si="467"/>
        <v>6.8384826053245334E-3</v>
      </c>
      <c r="J511" s="66">
        <f t="shared" si="467"/>
        <v>6.4610672497010385E-3</v>
      </c>
      <c r="K511" s="66">
        <f t="shared" si="467"/>
        <v>6.0452493602125429E-3</v>
      </c>
      <c r="L511" s="66">
        <f t="shared" si="467"/>
        <v>5.6078365026547214E-3</v>
      </c>
      <c r="M511" s="66">
        <f t="shared" si="467"/>
        <v>5.1685123029004132E-3</v>
      </c>
      <c r="N511" s="66">
        <f t="shared" si="467"/>
        <v>4.7483134349781825E-3</v>
      </c>
      <c r="O511" s="66">
        <f t="shared" si="467"/>
        <v>4.3571719218626417E-3</v>
      </c>
      <c r="P511" s="66">
        <f t="shared" si="467"/>
        <v>4.0214821569721365E-3</v>
      </c>
      <c r="Q511" s="66">
        <f t="shared" si="467"/>
        <v>3.7479329645963774E-3</v>
      </c>
      <c r="R511" s="66">
        <f t="shared" si="467"/>
        <v>3.5350650280281531E-3</v>
      </c>
      <c r="S511" s="66">
        <f t="shared" si="467"/>
        <v>3.3755728807392388E-3</v>
      </c>
      <c r="T511" s="66">
        <f t="shared" si="467"/>
        <v>3.2594714050983228E-3</v>
      </c>
      <c r="U511" s="66">
        <f t="shared" si="467"/>
        <v>3.1766519280337011E-3</v>
      </c>
      <c r="V511" s="66">
        <f t="shared" si="467"/>
        <v>3.1183148284811904E-3</v>
      </c>
      <c r="W511" s="66">
        <f t="shared" si="467"/>
        <v>3.077463146220559E-3</v>
      </c>
      <c r="X511" s="66">
        <f t="shared" si="467"/>
        <v>3.0488459809258836E-3</v>
      </c>
      <c r="Y511" s="66">
        <f t="shared" si="467"/>
        <v>3.0286693957671945E-3</v>
      </c>
      <c r="Z511" s="66">
        <f t="shared" si="467"/>
        <v>3.0142602173640551E-3</v>
      </c>
      <c r="AA511" s="66">
        <f t="shared" si="467"/>
        <v>3.0037662556762768E-3</v>
      </c>
      <c r="AB511" s="66">
        <f t="shared" si="467"/>
        <v>2.9959184582217524E-3</v>
      </c>
      <c r="AC511" s="66">
        <f t="shared" si="467"/>
        <v>2.9898538099160307E-3</v>
      </c>
    </row>
    <row r="512" spans="1:29" ht="15.75" thickBot="1" x14ac:dyDescent="0.3">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75" thickBot="1" x14ac:dyDescent="0.3">
      <c r="A513" s="31" t="s">
        <v>505</v>
      </c>
      <c r="B513" s="67">
        <f>B502+B503+B504+B505+B506+B507+B508+B509+B510+B511+B512</f>
        <v>0.12257559398774524</v>
      </c>
      <c r="C513" s="67">
        <f t="shared" ref="C513:AC513" si="469">C502+C503+C504+C505+C506+C507+C508+C509+C510+C511+C512</f>
        <v>0.12188527051856508</v>
      </c>
      <c r="D513" s="67">
        <f t="shared" si="469"/>
        <v>0.12093809750947351</v>
      </c>
      <c r="E513" s="67">
        <f t="shared" si="469"/>
        <v>0.11966361938964454</v>
      </c>
      <c r="F513" s="67">
        <f t="shared" si="469"/>
        <v>0.11799446290725628</v>
      </c>
      <c r="G513" s="67">
        <f t="shared" si="469"/>
        <v>0.11588632588093746</v>
      </c>
      <c r="H513" s="67">
        <f t="shared" si="469"/>
        <v>0.11334538564086004</v>
      </c>
      <c r="I513" s="67">
        <f t="shared" si="469"/>
        <v>0.11045279156137923</v>
      </c>
      <c r="J513" s="67">
        <f t="shared" si="469"/>
        <v>0.10752927013752651</v>
      </c>
      <c r="K513" s="67">
        <f t="shared" si="469"/>
        <v>0.10461243177478609</v>
      </c>
      <c r="L513" s="67">
        <f t="shared" si="469"/>
        <v>0.10190423158797018</v>
      </c>
      <c r="M513" s="67">
        <f t="shared" si="469"/>
        <v>9.9550466319943506E-2</v>
      </c>
      <c r="N513" s="67">
        <f t="shared" si="469"/>
        <v>9.7620215868248636E-2</v>
      </c>
      <c r="O513" s="67">
        <f t="shared" si="469"/>
        <v>9.5895094669613379E-2</v>
      </c>
      <c r="P513" s="67">
        <f t="shared" si="469"/>
        <v>9.456063625383973E-2</v>
      </c>
      <c r="Q513" s="67">
        <f t="shared" si="469"/>
        <v>9.3553084839918421E-2</v>
      </c>
      <c r="R513" s="67">
        <f t="shared" si="469"/>
        <v>9.2804690153400746E-2</v>
      </c>
      <c r="S513" s="67">
        <f t="shared" si="469"/>
        <v>9.225318374920706E-2</v>
      </c>
      <c r="T513" s="67">
        <f t="shared" si="469"/>
        <v>9.184630429930829E-2</v>
      </c>
      <c r="U513" s="67">
        <f t="shared" si="469"/>
        <v>9.1542927709465538E-2</v>
      </c>
      <c r="V513" s="67">
        <f t="shared" si="469"/>
        <v>9.1312187667579786E-2</v>
      </c>
      <c r="W513" s="67">
        <f t="shared" si="469"/>
        <v>9.1131700906401603E-2</v>
      </c>
      <c r="X513" s="67">
        <f t="shared" si="469"/>
        <v>9.0985630714093435E-2</v>
      </c>
      <c r="Y513" s="67">
        <f t="shared" si="469"/>
        <v>9.0862964633204688E-2</v>
      </c>
      <c r="Z513" s="67">
        <f t="shared" si="469"/>
        <v>9.0756136297087897E-2</v>
      </c>
      <c r="AA513" s="67">
        <f t="shared" si="469"/>
        <v>9.0659989728664903E-2</v>
      </c>
      <c r="AB513" s="67">
        <f t="shared" si="469"/>
        <v>9.0571031142839237E-2</v>
      </c>
      <c r="AC513" s="67">
        <f t="shared" si="469"/>
        <v>9.0486902077712511E-2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95</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Input'!$L$101</f>
        <v>390000</v>
      </c>
      <c r="C11" s="42">
        <f>'Parameter Input'!$M$101</f>
        <v>155000</v>
      </c>
      <c r="D11" s="1" t="s">
        <v>138</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151</v>
      </c>
      <c r="B12" s="60">
        <f>'Parameter Input'!$L$102</f>
        <v>-58500</v>
      </c>
      <c r="C12" s="61">
        <f>'Parameter Input'!$M$102</f>
        <v>-38750</v>
      </c>
      <c r="D12" s="1" t="s">
        <v>138</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137</v>
      </c>
      <c r="B13" s="43">
        <f>'Parameter Input'!B77</f>
        <v>40000</v>
      </c>
      <c r="C13" s="44">
        <f>'Parameter Input'!C77</f>
        <v>40000</v>
      </c>
      <c r="D13" s="1" t="s">
        <v>138</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148</v>
      </c>
      <c r="B14" s="60">
        <f>'Parameter Input'!B78</f>
        <v>-10000</v>
      </c>
      <c r="C14" s="61">
        <f>'Parameter Input'!C78</f>
        <v>-10000</v>
      </c>
      <c r="D14" s="1" t="s">
        <v>138</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203</v>
      </c>
      <c r="B15" s="45">
        <f>'Parameter Input'!$L$108</f>
        <v>0.06</v>
      </c>
      <c r="C15" s="46">
        <f>'Parameter Input'!$M$108</f>
        <v>0.06</v>
      </c>
      <c r="D15" s="1" t="s">
        <v>180</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160</v>
      </c>
      <c r="B16" s="43">
        <f>'Parameter Input'!B79</f>
        <v>70000</v>
      </c>
      <c r="C16" s="44">
        <f>'Parameter Input'!C79</f>
        <v>70000</v>
      </c>
      <c r="D16" s="1" t="s">
        <v>161</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175</v>
      </c>
      <c r="B17" s="43">
        <f>'Parameter Input'!$L$104</f>
        <v>26000</v>
      </c>
      <c r="C17" s="44">
        <f>'Parameter Input'!$M$104</f>
        <v>18000</v>
      </c>
      <c r="D17" s="1" t="s">
        <v>161</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199</v>
      </c>
      <c r="B18" s="45">
        <f>'Parameter Input'!B84</f>
        <v>0.11</v>
      </c>
      <c r="C18" s="46">
        <f>'Parameter Input'!C84</f>
        <v>0.11</v>
      </c>
      <c r="D18" s="1" t="s">
        <v>200</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183</v>
      </c>
      <c r="B19" s="47">
        <f>'Parameter Input'!$L$105</f>
        <v>2.5299999999999998</v>
      </c>
      <c r="C19" s="48">
        <f>'Parameter Input'!$M$105</f>
        <v>1.79</v>
      </c>
      <c r="D19" s="1" t="s">
        <v>184</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191</v>
      </c>
      <c r="B20" s="45">
        <f>'Parameter Input'!$L$106</f>
        <v>0.2544561408768215</v>
      </c>
      <c r="C20" s="46">
        <f>'Parameter Input'!$M$106</f>
        <v>0.10949010032952979</v>
      </c>
      <c r="D20" s="1" t="s">
        <v>94</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Input'!$L$109</f>
        <v>0</v>
      </c>
      <c r="C21" s="116">
        <f>'Parameter Input'!$M$109</f>
        <v>0</v>
      </c>
      <c r="D21" s="1" t="s">
        <v>200</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43">
        <f>'Parameter Input'!$L$103</f>
        <v>8</v>
      </c>
      <c r="C22" s="44">
        <f>'Parameter Input'!$M$103</f>
        <v>8</v>
      </c>
      <c r="D22" s="1" t="s">
        <v>165</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194</v>
      </c>
      <c r="B23" s="43">
        <f>'Parameter Input'!B83</f>
        <v>10</v>
      </c>
      <c r="C23" s="44">
        <f>'Parameter Input'!C83</f>
        <v>10</v>
      </c>
      <c r="D23" s="1" t="s">
        <v>165</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502</v>
      </c>
      <c r="B24" s="70">
        <f>'Parameter Input'!B80</f>
        <v>25</v>
      </c>
      <c r="C24" s="71">
        <f>'Parameter Input'!C80</f>
        <v>25</v>
      </c>
      <c r="D24" s="1" t="s">
        <v>172</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179</v>
      </c>
      <c r="B25" s="72">
        <f>'Parameter Input'!B81</f>
        <v>0.55999999999999994</v>
      </c>
      <c r="C25" s="73">
        <f>'Parameter Input'!C81</f>
        <v>0.55999999999999994</v>
      </c>
      <c r="D25" s="1" t="s">
        <v>180</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197</v>
      </c>
      <c r="B26" s="72">
        <f>'Parameter Input'!$L$107</f>
        <v>0.05</v>
      </c>
      <c r="C26" s="73">
        <f>'Parameter Input'!$M$107</f>
        <v>0.02</v>
      </c>
      <c r="D26" s="1" t="s">
        <v>180</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188</v>
      </c>
      <c r="B27" s="74">
        <f>'Parameter Input'!B82</f>
        <v>55000</v>
      </c>
      <c r="C27" s="75">
        <f>'Parameter Input'!C82</f>
        <v>55000</v>
      </c>
      <c r="D27" s="1" t="s">
        <v>189</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197</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27100.447484181685</v>
      </c>
      <c r="C57" s="62">
        <f t="shared" ref="C57:AC57" si="49">C39*C40*C47</f>
        <v>26272.345225719884</v>
      </c>
      <c r="D57" s="62">
        <f t="shared" si="49"/>
        <v>25403.622947281663</v>
      </c>
      <c r="E57" s="62">
        <f t="shared" si="49"/>
        <v>24692.371819180993</v>
      </c>
      <c r="F57" s="62">
        <f t="shared" si="49"/>
        <v>23913.61376339904</v>
      </c>
      <c r="G57" s="62">
        <f t="shared" si="49"/>
        <v>23056.896908889499</v>
      </c>
      <c r="H57" s="62">
        <f t="shared" si="49"/>
        <v>22118.567964906197</v>
      </c>
      <c r="I57" s="62">
        <f t="shared" si="49"/>
        <v>21107.396518490506</v>
      </c>
      <c r="J57" s="62">
        <f t="shared" si="49"/>
        <v>20463.190522070268</v>
      </c>
      <c r="K57" s="62">
        <f t="shared" si="49"/>
        <v>19785.234610814412</v>
      </c>
      <c r="L57" s="62">
        <f t="shared" si="49"/>
        <v>19121.403496965198</v>
      </c>
      <c r="M57" s="62">
        <f t="shared" si="49"/>
        <v>18516.638578959024</v>
      </c>
      <c r="N57" s="62">
        <f t="shared" si="49"/>
        <v>18001.130022082383</v>
      </c>
      <c r="O57" s="62">
        <f t="shared" si="49"/>
        <v>17214.536064727938</v>
      </c>
      <c r="P57" s="62">
        <f t="shared" si="49"/>
        <v>16536.124039830574</v>
      </c>
      <c r="Q57" s="62">
        <f t="shared" si="49"/>
        <v>15946.643152835615</v>
      </c>
      <c r="R57" s="62">
        <f t="shared" si="49"/>
        <v>15425.340245734385</v>
      </c>
      <c r="S57" s="62">
        <f t="shared" si="49"/>
        <v>14953.797388862195</v>
      </c>
      <c r="T57" s="62">
        <f t="shared" si="49"/>
        <v>14543.690366846449</v>
      </c>
      <c r="U57" s="62">
        <f t="shared" si="49"/>
        <v>14157.580130330827</v>
      </c>
      <c r="V57" s="62">
        <f t="shared" si="49"/>
        <v>13787.751219577076</v>
      </c>
      <c r="W57" s="62">
        <f t="shared" si="49"/>
        <v>13428.844483636662</v>
      </c>
      <c r="X57" s="62">
        <f t="shared" si="49"/>
        <v>13077.207682543427</v>
      </c>
      <c r="Y57" s="62">
        <f t="shared" si="49"/>
        <v>12788.855480279934</v>
      </c>
      <c r="Z57" s="62">
        <f t="shared" si="49"/>
        <v>12503.624306467944</v>
      </c>
      <c r="AA57" s="62">
        <f t="shared" si="49"/>
        <v>12220.453473322928</v>
      </c>
      <c r="AB57" s="62">
        <f t="shared" si="49"/>
        <v>11938.640166475483</v>
      </c>
      <c r="AC57" s="62">
        <f t="shared" si="49"/>
        <v>11657.720030402674</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184979.10179662262</v>
      </c>
      <c r="C59" s="64">
        <f t="shared" ref="C59:AC59" si="51">C50+C51+C52+C53+C54+C55+C56+C57+C58</f>
        <v>183471.50742700158</v>
      </c>
      <c r="D59" s="64">
        <f t="shared" si="51"/>
        <v>181658.0444507775</v>
      </c>
      <c r="E59" s="64">
        <f t="shared" si="51"/>
        <v>179651.58916883217</v>
      </c>
      <c r="F59" s="64">
        <f t="shared" si="51"/>
        <v>177132.21551874912</v>
      </c>
      <c r="G59" s="64">
        <f t="shared" si="51"/>
        <v>174000.17782028514</v>
      </c>
      <c r="H59" s="64">
        <f t="shared" si="51"/>
        <v>170196.46685247964</v>
      </c>
      <c r="I59" s="64">
        <f t="shared" si="51"/>
        <v>165746.91922828116</v>
      </c>
      <c r="J59" s="64">
        <f t="shared" si="51"/>
        <v>161214.68803743561</v>
      </c>
      <c r="K59" s="64">
        <f t="shared" si="51"/>
        <v>156432.15988059092</v>
      </c>
      <c r="L59" s="64">
        <f t="shared" si="51"/>
        <v>151744.52682555903</v>
      </c>
      <c r="M59" s="64">
        <f t="shared" si="51"/>
        <v>147476.8121763478</v>
      </c>
      <c r="N59" s="64">
        <f t="shared" si="51"/>
        <v>143848.31796201938</v>
      </c>
      <c r="O59" s="64">
        <f t="shared" si="51"/>
        <v>140568.77999719055</v>
      </c>
      <c r="P59" s="64">
        <f t="shared" si="51"/>
        <v>137988.14104983941</v>
      </c>
      <c r="Q59" s="64">
        <f t="shared" si="51"/>
        <v>136000.3708160212</v>
      </c>
      <c r="R59" s="64">
        <f t="shared" si="51"/>
        <v>134479.31125452401</v>
      </c>
      <c r="S59" s="64">
        <f t="shared" si="51"/>
        <v>133307.08662663359</v>
      </c>
      <c r="T59" s="64">
        <f t="shared" si="51"/>
        <v>132412.7654335768</v>
      </c>
      <c r="U59" s="64">
        <f t="shared" si="51"/>
        <v>131695.28331050015</v>
      </c>
      <c r="V59" s="64">
        <f t="shared" si="51"/>
        <v>131100.19370246294</v>
      </c>
      <c r="W59" s="64">
        <f t="shared" si="51"/>
        <v>130588.8555592378</v>
      </c>
      <c r="X59" s="64">
        <f t="shared" si="51"/>
        <v>130134.38837164879</v>
      </c>
      <c r="Y59" s="64">
        <f t="shared" si="51"/>
        <v>129776.81126401435</v>
      </c>
      <c r="Z59" s="64">
        <f t="shared" si="51"/>
        <v>129445.04367404972</v>
      </c>
      <c r="AA59" s="64">
        <f t="shared" si="51"/>
        <v>129130.61830616411</v>
      </c>
      <c r="AB59" s="64">
        <f t="shared" si="51"/>
        <v>128827.82732208168</v>
      </c>
      <c r="AC59" s="64">
        <f t="shared" si="51"/>
        <v>128532.83321501674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0.49273540880330335</v>
      </c>
      <c r="C69" s="66">
        <f t="shared" ref="C69:AC69" si="60">C39*C40*C47/C47</f>
        <v>0.47767900410399788</v>
      </c>
      <c r="D69" s="66">
        <f t="shared" si="60"/>
        <v>0.46188405358693935</v>
      </c>
      <c r="E69" s="66">
        <f t="shared" si="60"/>
        <v>0.4489522148941999</v>
      </c>
      <c r="F69" s="66">
        <f t="shared" si="60"/>
        <v>0.43479297751634616</v>
      </c>
      <c r="G69" s="66">
        <f t="shared" si="60"/>
        <v>0.41921630743435451</v>
      </c>
      <c r="H69" s="66">
        <f t="shared" si="60"/>
        <v>0.40215578118011269</v>
      </c>
      <c r="I69" s="66">
        <f t="shared" si="60"/>
        <v>0.3837708457907365</v>
      </c>
      <c r="J69" s="66">
        <f t="shared" si="60"/>
        <v>0.3720580094921867</v>
      </c>
      <c r="K69" s="66">
        <f t="shared" si="60"/>
        <v>0.35973153837844385</v>
      </c>
      <c r="L69" s="66">
        <f t="shared" si="60"/>
        <v>0.34766188176300361</v>
      </c>
      <c r="M69" s="66">
        <f t="shared" si="60"/>
        <v>0.33666615598107319</v>
      </c>
      <c r="N69" s="66">
        <f t="shared" si="60"/>
        <v>0.3272932731287706</v>
      </c>
      <c r="O69" s="66">
        <f t="shared" si="60"/>
        <v>0.31299156481323526</v>
      </c>
      <c r="P69" s="66">
        <f t="shared" si="60"/>
        <v>0.30065680072419226</v>
      </c>
      <c r="Q69" s="66">
        <f t="shared" si="60"/>
        <v>0.28993896641519301</v>
      </c>
      <c r="R69" s="66">
        <f t="shared" si="60"/>
        <v>0.28046073174062519</v>
      </c>
      <c r="S69" s="66">
        <f t="shared" si="60"/>
        <v>0.2718872252520399</v>
      </c>
      <c r="T69" s="66">
        <f t="shared" si="60"/>
        <v>0.2644307339426627</v>
      </c>
      <c r="U69" s="66">
        <f t="shared" si="60"/>
        <v>0.25741054782419687</v>
      </c>
      <c r="V69" s="66">
        <f t="shared" si="60"/>
        <v>0.2506863858104923</v>
      </c>
      <c r="W69" s="66">
        <f t="shared" si="60"/>
        <v>0.24416080879339386</v>
      </c>
      <c r="X69" s="66">
        <f t="shared" si="60"/>
        <v>0.2377674124098805</v>
      </c>
      <c r="Y69" s="66">
        <f t="shared" si="60"/>
        <v>0.23252464509599879</v>
      </c>
      <c r="Z69" s="66">
        <f t="shared" si="60"/>
        <v>0.2273386237539626</v>
      </c>
      <c r="AA69" s="66">
        <f t="shared" si="60"/>
        <v>0.22219006315132597</v>
      </c>
      <c r="AB69" s="66">
        <f t="shared" si="60"/>
        <v>0.21706618484500878</v>
      </c>
      <c r="AC69" s="66">
        <f t="shared" si="60"/>
        <v>0.21195854600732134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3.4126629265641868</v>
      </c>
      <c r="C71" s="76">
        <f t="shared" ref="C71:AC71" si="63">C62+C63+C64-C65+C66+C67+C68+C69+C70</f>
        <v>3.3852521198438046</v>
      </c>
      <c r="D71" s="76">
        <f t="shared" si="63"/>
        <v>3.3522800657306395</v>
      </c>
      <c r="E71" s="76">
        <f t="shared" si="63"/>
        <v>3.3157990606043612</v>
      </c>
      <c r="F71" s="76">
        <f t="shared" si="63"/>
        <v>3.2699922669664874</v>
      </c>
      <c r="G71" s="76">
        <f t="shared" si="63"/>
        <v>3.2130461269944148</v>
      </c>
      <c r="H71" s="76">
        <f t="shared" si="63"/>
        <v>3.1438877457615875</v>
      </c>
      <c r="I71" s="76">
        <f t="shared" si="63"/>
        <v>3.0629868798670694</v>
      </c>
      <c r="J71" s="76">
        <f t="shared" si="63"/>
        <v>2.9805826763971504</v>
      </c>
      <c r="K71" s="76">
        <f t="shared" si="63"/>
        <v>2.8936276189999743</v>
      </c>
      <c r="L71" s="76">
        <f t="shared" si="63"/>
        <v>2.8083979270903034</v>
      </c>
      <c r="M71" s="76">
        <f t="shared" si="63"/>
        <v>2.7308031152864629</v>
      </c>
      <c r="N71" s="76">
        <f t="shared" si="63"/>
        <v>2.6648304932077647</v>
      </c>
      <c r="O71" s="76">
        <f t="shared" si="63"/>
        <v>2.6052025302108763</v>
      </c>
      <c r="P71" s="76">
        <f t="shared" si="63"/>
        <v>2.5582818220772197</v>
      </c>
      <c r="Q71" s="76">
        <f t="shared" si="63"/>
        <v>2.5221405450987069</v>
      </c>
      <c r="R71" s="76">
        <f t="shared" si="63"/>
        <v>2.4944849167078487</v>
      </c>
      <c r="S71" s="76">
        <f t="shared" si="63"/>
        <v>2.4731717416552952</v>
      </c>
      <c r="T71" s="76">
        <f t="shared" si="63"/>
        <v>2.45691135632699</v>
      </c>
      <c r="U71" s="76">
        <f t="shared" si="63"/>
        <v>2.4438662268165054</v>
      </c>
      <c r="V71" s="76">
        <f t="shared" si="63"/>
        <v>2.4330464157612837</v>
      </c>
      <c r="W71" s="76">
        <f t="shared" si="63"/>
        <v>2.4237493586117358</v>
      </c>
      <c r="X71" s="76">
        <f t="shared" si="63"/>
        <v>2.4154863188373898</v>
      </c>
      <c r="Y71" s="76">
        <f t="shared" si="63"/>
        <v>2.4089849168804003</v>
      </c>
      <c r="Z71" s="76">
        <f t="shared" si="63"/>
        <v>2.4029527788810436</v>
      </c>
      <c r="AA71" s="76">
        <f t="shared" si="63"/>
        <v>2.3972359540103958</v>
      </c>
      <c r="AB71" s="76">
        <f t="shared" si="63"/>
        <v>2.3917306633907152</v>
      </c>
      <c r="AC71" s="76">
        <f t="shared" si="63"/>
        <v>2.3863671341713526</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1.9709416352132133E-2</v>
      </c>
      <c r="C81" s="66">
        <f t="shared" ref="C81:AC81" si="72">C39*C40*C47/C47/(C44)</f>
        <v>1.9107160164159916E-2</v>
      </c>
      <c r="D81" s="66">
        <f t="shared" si="72"/>
        <v>1.8475362143477572E-2</v>
      </c>
      <c r="E81" s="66">
        <f t="shared" si="72"/>
        <v>1.7958088595767994E-2</v>
      </c>
      <c r="F81" s="66">
        <f t="shared" si="72"/>
        <v>1.7391719100653846E-2</v>
      </c>
      <c r="G81" s="66">
        <f t="shared" si="72"/>
        <v>1.6768652297374179E-2</v>
      </c>
      <c r="H81" s="66">
        <f t="shared" si="72"/>
        <v>1.6086231247204506E-2</v>
      </c>
      <c r="I81" s="66">
        <f t="shared" si="72"/>
        <v>1.5350833831629461E-2</v>
      </c>
      <c r="J81" s="66">
        <f t="shared" si="72"/>
        <v>1.4882320379687468E-2</v>
      </c>
      <c r="K81" s="66">
        <f t="shared" si="72"/>
        <v>1.4389261535137754E-2</v>
      </c>
      <c r="L81" s="66">
        <f t="shared" si="72"/>
        <v>1.3906475270520144E-2</v>
      </c>
      <c r="M81" s="66">
        <f t="shared" si="72"/>
        <v>1.3466646239242928E-2</v>
      </c>
      <c r="N81" s="66">
        <f t="shared" si="72"/>
        <v>1.3091730925150823E-2</v>
      </c>
      <c r="O81" s="66">
        <f t="shared" si="72"/>
        <v>1.251966259252941E-2</v>
      </c>
      <c r="P81" s="66">
        <f t="shared" si="72"/>
        <v>1.202627202896769E-2</v>
      </c>
      <c r="Q81" s="66">
        <f t="shared" si="72"/>
        <v>1.159755865660772E-2</v>
      </c>
      <c r="R81" s="66">
        <f t="shared" si="72"/>
        <v>1.1218429269625008E-2</v>
      </c>
      <c r="S81" s="66">
        <f t="shared" si="72"/>
        <v>1.0875489010081596E-2</v>
      </c>
      <c r="T81" s="66">
        <f t="shared" si="72"/>
        <v>1.0577229357706507E-2</v>
      </c>
      <c r="U81" s="66">
        <f t="shared" si="72"/>
        <v>1.0296421912967875E-2</v>
      </c>
      <c r="V81" s="66">
        <f t="shared" si="72"/>
        <v>1.0027455432419691E-2</v>
      </c>
      <c r="W81" s="66">
        <f t="shared" si="72"/>
        <v>9.7664323517357536E-3</v>
      </c>
      <c r="X81" s="66">
        <f t="shared" si="72"/>
        <v>9.5106964963952208E-3</v>
      </c>
      <c r="Y81" s="66">
        <f t="shared" si="72"/>
        <v>9.3009858038399524E-3</v>
      </c>
      <c r="Z81" s="66">
        <f t="shared" si="72"/>
        <v>9.0935449501585042E-3</v>
      </c>
      <c r="AA81" s="66">
        <f t="shared" si="72"/>
        <v>8.8876025260530393E-3</v>
      </c>
      <c r="AB81" s="66">
        <f t="shared" si="72"/>
        <v>8.6826473938003516E-3</v>
      </c>
      <c r="AC81" s="66">
        <f t="shared" si="72"/>
        <v>8.478341840292853E-3</v>
      </c>
    </row>
    <row r="82" spans="1:29" x14ac:dyDescent="0.25">
      <c r="A82" s="59" t="str">
        <f>A45</f>
        <v>Market failure (av. utilization)</v>
      </c>
      <c r="B82" s="66">
        <f t="shared" ref="B82:AC82" si="73">B71/B45-B71/B44</f>
        <v>0.1072551205491602</v>
      </c>
      <c r="C82" s="66">
        <f t="shared" si="73"/>
        <v>0.1063936380522339</v>
      </c>
      <c r="D82" s="66">
        <f t="shared" si="73"/>
        <v>0.10535737349439156</v>
      </c>
      <c r="E82" s="66">
        <f t="shared" si="73"/>
        <v>0.10421082761899425</v>
      </c>
      <c r="F82" s="66">
        <f t="shared" si="73"/>
        <v>0.1027711855332325</v>
      </c>
      <c r="G82" s="66">
        <f t="shared" si="73"/>
        <v>0.10098144970553877</v>
      </c>
      <c r="H82" s="66">
        <f t="shared" si="73"/>
        <v>9.8807900581078495E-2</v>
      </c>
      <c r="I82" s="66">
        <f t="shared" si="73"/>
        <v>9.6265301938679368E-2</v>
      </c>
      <c r="J82" s="66">
        <f t="shared" si="73"/>
        <v>9.3675455543910463E-2</v>
      </c>
      <c r="K82" s="66">
        <f t="shared" si="73"/>
        <v>9.0942582311427794E-2</v>
      </c>
      <c r="L82" s="66">
        <f t="shared" si="73"/>
        <v>8.8263934851409556E-2</v>
      </c>
      <c r="M82" s="66">
        <f t="shared" si="73"/>
        <v>8.5825240766145991E-2</v>
      </c>
      <c r="N82" s="66">
        <f t="shared" si="73"/>
        <v>8.3751815500815494E-2</v>
      </c>
      <c r="O82" s="66">
        <f t="shared" si="73"/>
        <v>8.1877793806627561E-2</v>
      </c>
      <c r="P82" s="66">
        <f t="shared" si="73"/>
        <v>8.0403142979569783E-2</v>
      </c>
      <c r="Q82" s="66">
        <f t="shared" si="73"/>
        <v>7.9267274274530813E-2</v>
      </c>
      <c r="R82" s="66">
        <f t="shared" si="73"/>
        <v>7.8398097382246679E-2</v>
      </c>
      <c r="S82" s="66">
        <f t="shared" si="73"/>
        <v>7.7728254737737867E-2</v>
      </c>
      <c r="T82" s="66">
        <f t="shared" si="73"/>
        <v>7.7217214055991135E-2</v>
      </c>
      <c r="U82" s="66">
        <f t="shared" si="73"/>
        <v>7.6807224271375915E-2</v>
      </c>
      <c r="V82" s="66">
        <f t="shared" si="73"/>
        <v>7.6467173066783217E-2</v>
      </c>
      <c r="W82" s="66">
        <f t="shared" si="73"/>
        <v>7.6174979842083143E-2</v>
      </c>
      <c r="X82" s="66">
        <f t="shared" si="73"/>
        <v>7.5915284306317998E-2</v>
      </c>
      <c r="Y82" s="66">
        <f t="shared" si="73"/>
        <v>7.5710954530526897E-2</v>
      </c>
      <c r="Z82" s="66">
        <f t="shared" si="73"/>
        <v>7.5521373050547097E-2</v>
      </c>
      <c r="AA82" s="66">
        <f t="shared" si="73"/>
        <v>7.5341701411755321E-2</v>
      </c>
      <c r="AB82" s="66">
        <f t="shared" si="73"/>
        <v>7.5168677992279651E-2</v>
      </c>
      <c r="AC82" s="66">
        <f t="shared" si="73"/>
        <v>7.5000109931099665E-2</v>
      </c>
    </row>
    <row r="83" spans="1:29" x14ac:dyDescent="0.25">
      <c r="A83" s="59" t="str">
        <f>A46</f>
        <v>Payload loss (fuel)</v>
      </c>
      <c r="B83" s="66">
        <f>B71/(B44-B46)-B71/B44</f>
        <v>7.1246723029506909E-3</v>
      </c>
      <c r="C83" s="66">
        <f t="shared" ref="C83:AC83" si="74">C71/(C44-C46)-C71/C44</f>
        <v>7.042028020311869E-3</v>
      </c>
      <c r="D83" s="66">
        <f t="shared" si="74"/>
        <v>6.9377159046681847E-3</v>
      </c>
      <c r="E83" s="66">
        <f t="shared" si="74"/>
        <v>6.8123049947090564E-3</v>
      </c>
      <c r="F83" s="66">
        <f t="shared" si="74"/>
        <v>6.6491474944762319E-3</v>
      </c>
      <c r="G83" s="66">
        <f t="shared" si="74"/>
        <v>6.4391380478682203E-3</v>
      </c>
      <c r="H83" s="66">
        <f t="shared" si="74"/>
        <v>6.1743627712619042E-3</v>
      </c>
      <c r="I83" s="66">
        <f t="shared" si="74"/>
        <v>5.8506431320461821E-3</v>
      </c>
      <c r="J83" s="66">
        <f t="shared" si="74"/>
        <v>5.4841853462128665E-3</v>
      </c>
      <c r="K83" s="66">
        <f t="shared" si="74"/>
        <v>5.069564083331049E-3</v>
      </c>
      <c r="L83" s="66">
        <f t="shared" si="74"/>
        <v>4.6250674997866947E-3</v>
      </c>
      <c r="M83" s="66">
        <f t="shared" si="74"/>
        <v>4.1744594293029319E-3</v>
      </c>
      <c r="N83" s="66">
        <f t="shared" si="74"/>
        <v>3.7429787827330946E-3</v>
      </c>
      <c r="O83" s="66">
        <f t="shared" si="74"/>
        <v>3.3442231853809401E-3</v>
      </c>
      <c r="P83" s="66">
        <f t="shared" si="74"/>
        <v>3.0039698975746071E-3</v>
      </c>
      <c r="Q83" s="66">
        <f t="shared" si="74"/>
        <v>2.7280631277260686E-3</v>
      </c>
      <c r="R83" s="66">
        <f t="shared" si="74"/>
        <v>2.5139799555418813E-3</v>
      </c>
      <c r="S83" s="66">
        <f t="shared" si="74"/>
        <v>2.3536122127787856E-3</v>
      </c>
      <c r="T83" s="66">
        <f t="shared" si="74"/>
        <v>2.2369560622080426E-3</v>
      </c>
      <c r="U83" s="66">
        <f t="shared" si="74"/>
        <v>2.1532433804228313E-3</v>
      </c>
      <c r="V83" s="66">
        <f t="shared" si="74"/>
        <v>2.0936483548568974E-3</v>
      </c>
      <c r="W83" s="66">
        <f t="shared" si="74"/>
        <v>2.0512138614940945E-3</v>
      </c>
      <c r="X83" s="66">
        <f t="shared" si="74"/>
        <v>2.0207498292619946E-3</v>
      </c>
      <c r="Y83" s="66">
        <f t="shared" si="74"/>
        <v>1.9994049880665693E-3</v>
      </c>
      <c r="Z83" s="66">
        <f t="shared" si="74"/>
        <v>1.9836649665936762E-3</v>
      </c>
      <c r="AA83" s="66">
        <f t="shared" si="74"/>
        <v>1.9717233964177544E-3</v>
      </c>
      <c r="AB83" s="66">
        <f t="shared" si="74"/>
        <v>1.9623450731892922E-3</v>
      </c>
      <c r="AC83" s="66">
        <f t="shared" si="74"/>
        <v>1.9546914718768515E-3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0.24891004870420008</v>
      </c>
      <c r="C85" s="67">
        <f t="shared" ref="C85:AC85" si="76">C74+C75+C76+C77+C78+C79+C80+C81+C82+C83+C84</f>
        <v>0.24686948965581962</v>
      </c>
      <c r="D85" s="67">
        <f t="shared" si="76"/>
        <v>0.24441003081780699</v>
      </c>
      <c r="E85" s="67">
        <f t="shared" si="76"/>
        <v>0.24167883382739944</v>
      </c>
      <c r="F85" s="67">
        <f t="shared" si="76"/>
        <v>0.23824376249588991</v>
      </c>
      <c r="G85" s="67">
        <f t="shared" si="76"/>
        <v>0.23396617162270528</v>
      </c>
      <c r="H85" s="67">
        <f t="shared" si="76"/>
        <v>0.22876151197232558</v>
      </c>
      <c r="I85" s="67">
        <f t="shared" si="76"/>
        <v>0.22265915905493006</v>
      </c>
      <c r="J85" s="67">
        <f t="shared" si="76"/>
        <v>0.21640668673553104</v>
      </c>
      <c r="K85" s="67">
        <f t="shared" si="76"/>
        <v>0.20978098994427952</v>
      </c>
      <c r="L85" s="67">
        <f t="shared" si="76"/>
        <v>0.20324865822433011</v>
      </c>
      <c r="M85" s="67">
        <f t="shared" si="76"/>
        <v>0.19725556359642915</v>
      </c>
      <c r="N85" s="67">
        <f t="shared" si="76"/>
        <v>0.19211175280138088</v>
      </c>
      <c r="O85" s="67">
        <f t="shared" si="76"/>
        <v>0.18745385698996528</v>
      </c>
      <c r="P85" s="67">
        <f t="shared" si="76"/>
        <v>0.18376212454975488</v>
      </c>
      <c r="Q85" s="67">
        <f t="shared" si="76"/>
        <v>0.18090469799572684</v>
      </c>
      <c r="R85" s="67">
        <f t="shared" si="76"/>
        <v>0.17871521279562419</v>
      </c>
      <c r="S85" s="67">
        <f t="shared" si="76"/>
        <v>0.17703247540625017</v>
      </c>
      <c r="T85" s="67">
        <f t="shared" si="76"/>
        <v>0.17575436316080051</v>
      </c>
      <c r="U85" s="67">
        <f t="shared" si="76"/>
        <v>0.17473885551398066</v>
      </c>
      <c r="V85" s="67">
        <f t="shared" si="76"/>
        <v>0.17390641684161318</v>
      </c>
      <c r="W85" s="67">
        <f t="shared" si="76"/>
        <v>0.17319990683756836</v>
      </c>
      <c r="X85" s="67">
        <f t="shared" si="76"/>
        <v>0.17257922567859729</v>
      </c>
      <c r="Y85" s="67">
        <f t="shared" si="76"/>
        <v>0.17209349498333115</v>
      </c>
      <c r="Z85" s="67">
        <f t="shared" si="76"/>
        <v>0.17164688796190419</v>
      </c>
      <c r="AA85" s="67">
        <f t="shared" si="76"/>
        <v>0.17122660175811061</v>
      </c>
      <c r="AB85" s="67">
        <f t="shared" si="76"/>
        <v>0.17082398839061927</v>
      </c>
      <c r="AC85" s="67">
        <f t="shared" si="76"/>
        <v>0.17043322555935234</v>
      </c>
    </row>
    <row r="87" spans="1:29" x14ac:dyDescent="0.25">
      <c r="B87" s="40"/>
    </row>
    <row r="107" spans="1:2" s="3" customFormat="1" ht="21" x14ac:dyDescent="0.35">
      <c r="A107" s="2" t="str">
        <f>'Parameter Input'!A88</f>
        <v>Road long-haul: Liquid bulk</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Input'!$L$101</f>
        <v>390000</v>
      </c>
      <c r="C117" s="42">
        <f>'Parameter Input'!$M$101</f>
        <v>155000</v>
      </c>
      <c r="D117" s="1" t="s">
        <v>138</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151</v>
      </c>
      <c r="B118" s="60">
        <f>'Parameter Input'!$L$102</f>
        <v>-58500</v>
      </c>
      <c r="C118" s="61">
        <f>'Parameter Input'!$M$102</f>
        <v>-38750</v>
      </c>
      <c r="D118" s="1" t="s">
        <v>138</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137</v>
      </c>
      <c r="B119" s="60">
        <f>'Parameter Input'!B89</f>
        <v>60000</v>
      </c>
      <c r="C119" s="61">
        <f>'Parameter Input'!C89</f>
        <v>60000</v>
      </c>
      <c r="D119" s="1" t="s">
        <v>138</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148</v>
      </c>
      <c r="B120" s="60">
        <f>'Parameter Input'!B90</f>
        <v>-15000</v>
      </c>
      <c r="C120" s="61">
        <f>'Parameter Input'!C90</f>
        <v>-15000</v>
      </c>
      <c r="D120" s="1" t="s">
        <v>138</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203</v>
      </c>
      <c r="B121" s="45">
        <f>'Parameter Input'!$L$108</f>
        <v>0.06</v>
      </c>
      <c r="C121" s="46">
        <f>'Parameter Input'!$M$108</f>
        <v>0.06</v>
      </c>
      <c r="D121" s="1" t="s">
        <v>180</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160</v>
      </c>
      <c r="B122" s="60">
        <f>'Parameter Input'!B91</f>
        <v>70000</v>
      </c>
      <c r="C122" s="61">
        <f>'Parameter Input'!C91</f>
        <v>70000</v>
      </c>
      <c r="D122" s="1" t="s">
        <v>161</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175</v>
      </c>
      <c r="B123" s="43">
        <f>'Parameter Input'!$L$104</f>
        <v>26000</v>
      </c>
      <c r="C123" s="44">
        <f>'Parameter Input'!$M$104</f>
        <v>18000</v>
      </c>
      <c r="D123" s="1" t="s">
        <v>161</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199</v>
      </c>
      <c r="B124" s="60">
        <f>'Parameter Input'!B96</f>
        <v>0.11</v>
      </c>
      <c r="C124" s="61">
        <f>'Parameter Input'!C96</f>
        <v>0.11</v>
      </c>
      <c r="D124" s="1" t="s">
        <v>200</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183</v>
      </c>
      <c r="B125" s="47">
        <f>'Parameter Input'!$L$105</f>
        <v>2.5299999999999998</v>
      </c>
      <c r="C125" s="48">
        <f>'Parameter Input'!$M$105</f>
        <v>1.79</v>
      </c>
      <c r="D125" s="1" t="s">
        <v>184</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191</v>
      </c>
      <c r="B126" s="45">
        <f>'Parameter Input'!$L$106</f>
        <v>0.2544561408768215</v>
      </c>
      <c r="C126" s="46">
        <f>'Parameter Input'!$M$106</f>
        <v>0.10949010032952979</v>
      </c>
      <c r="D126" s="1" t="s">
        <v>94</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458</v>
      </c>
      <c r="B127" s="115">
        <f>'Parameter Input'!$L$109</f>
        <v>0</v>
      </c>
      <c r="C127" s="116">
        <f>'Parameter Input'!$M$109</f>
        <v>0</v>
      </c>
      <c r="D127" s="1" t="s">
        <v>200</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43">
        <f>'Parameter Input'!$L$103</f>
        <v>8</v>
      </c>
      <c r="C128" s="44">
        <f>'Parameter Input'!$M$103</f>
        <v>8</v>
      </c>
      <c r="D128" s="1" t="s">
        <v>165</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194</v>
      </c>
      <c r="B129" s="60">
        <f>'Parameter Input'!B95</f>
        <v>10</v>
      </c>
      <c r="C129" s="61">
        <f>'Parameter Input'!C95</f>
        <v>10</v>
      </c>
      <c r="D129" s="1" t="s">
        <v>165</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502</v>
      </c>
      <c r="B130" s="43">
        <f>'Parameter Input'!B92</f>
        <v>25</v>
      </c>
      <c r="C130" s="44">
        <f>'Parameter Input'!C92</f>
        <v>25</v>
      </c>
      <c r="D130" s="1" t="s">
        <v>172</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179</v>
      </c>
      <c r="B131" s="45">
        <f>'Parameter Input'!B93</f>
        <v>0.64</v>
      </c>
      <c r="C131" s="46">
        <f>'Parameter Input'!C93</f>
        <v>0.64</v>
      </c>
      <c r="D131" s="1" t="s">
        <v>180</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197</v>
      </c>
      <c r="B132" s="72">
        <f>'Parameter Input'!$L$107</f>
        <v>0.05</v>
      </c>
      <c r="C132" s="73">
        <f>'Parameter Input'!$M$107</f>
        <v>0.02</v>
      </c>
      <c r="D132" s="1" t="s">
        <v>180</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188</v>
      </c>
      <c r="B133" s="49">
        <f>'Parameter Input'!B94</f>
        <v>110000</v>
      </c>
      <c r="C133" s="50">
        <f>'Parameter Input'!C94</f>
        <v>110000</v>
      </c>
      <c r="D133" s="1" t="s">
        <v>189</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0.19695917693522813</v>
      </c>
      <c r="C146" s="66">
        <f>'Parameter Input'!K5</f>
        <v>0.1918445490889919</v>
      </c>
      <c r="D146" s="66">
        <f>'Parameter Input'!L5</f>
        <v>0.1867299212427557</v>
      </c>
      <c r="E146" s="66">
        <f>'Parameter Input'!M5</f>
        <v>0.18316543121930073</v>
      </c>
      <c r="F146" s="66">
        <f>'Parameter Input'!N5</f>
        <v>0.1796009411958458</v>
      </c>
      <c r="G146" s="66">
        <f>'Parameter Input'!O5</f>
        <v>0.17603645117239083</v>
      </c>
      <c r="H146" s="66">
        <f>'Parameter Input'!P5</f>
        <v>0.17247196114893587</v>
      </c>
      <c r="I146" s="66">
        <f>'Parameter Input'!Q5</f>
        <v>0.16890747112548093</v>
      </c>
      <c r="J146" s="66">
        <f>'Parameter Input'!R5</f>
        <v>0.16876144856602932</v>
      </c>
      <c r="K146" s="66">
        <f>'Parameter Input'!S5</f>
        <v>0.16861542600657767</v>
      </c>
      <c r="L146" s="66">
        <f>'Parameter Input'!T5</f>
        <v>0.16846940344712602</v>
      </c>
      <c r="M146" s="66">
        <f>'Parameter Input'!U5</f>
        <v>0.1683233808876744</v>
      </c>
      <c r="N146" s="66">
        <f>'Parameter Input'!V5</f>
        <v>0.16817735832822278</v>
      </c>
      <c r="O146" s="66">
        <f>'Parameter Input'!W5</f>
        <v>0.16448316805908789</v>
      </c>
      <c r="P146" s="66">
        <f>'Parameter Input'!X5</f>
        <v>0.16078897778995299</v>
      </c>
      <c r="Q146" s="66">
        <f>'Parameter Input'!Y5</f>
        <v>0.15709478752081807</v>
      </c>
      <c r="R146" s="66">
        <f>'Parameter Input'!Z5</f>
        <v>0.15340059725168312</v>
      </c>
      <c r="S146" s="66">
        <f>'Parameter Input'!AA5</f>
        <v>0.1497064069825482</v>
      </c>
      <c r="T146" s="66">
        <f>'Parameter Input'!AB5</f>
        <v>0.14627718374621171</v>
      </c>
      <c r="U146" s="66">
        <f>'Parameter Input'!AC5</f>
        <v>0.14284796050987525</v>
      </c>
      <c r="V146" s="66">
        <f>'Parameter Input'!AD5</f>
        <v>0.13941873727353876</v>
      </c>
      <c r="W146" s="66">
        <f>'Parameter Input'!AE5</f>
        <v>0.13598951403720227</v>
      </c>
      <c r="X146" s="66">
        <f>'Parameter Input'!AF5</f>
        <v>0.13256029080086582</v>
      </c>
      <c r="Y146" s="66">
        <f>'Parameter Input'!AG5</f>
        <v>0.12972417970496936</v>
      </c>
      <c r="Z146" s="66">
        <f>'Parameter Input'!AH5</f>
        <v>0.12688806860907287</v>
      </c>
      <c r="AA146" s="66">
        <f>'Parameter Input'!AI5</f>
        <v>0.12405195751317638</v>
      </c>
      <c r="AB146" s="66">
        <f>'Parameter Input'!AJ5</f>
        <v>0.12121584641727991</v>
      </c>
      <c r="AC146" s="66">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197</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54200.894968363369</v>
      </c>
      <c r="C163" s="62">
        <f t="shared" ref="C163:AC163" si="127">C145*C146*C153</f>
        <v>52544.690451439768</v>
      </c>
      <c r="D163" s="62">
        <f t="shared" si="127"/>
        <v>50807.245894563326</v>
      </c>
      <c r="E163" s="62">
        <f t="shared" si="127"/>
        <v>49384.743638361986</v>
      </c>
      <c r="F163" s="62">
        <f t="shared" si="127"/>
        <v>47827.22752679808</v>
      </c>
      <c r="G163" s="62">
        <f t="shared" si="127"/>
        <v>46113.793817778998</v>
      </c>
      <c r="H163" s="62">
        <f t="shared" si="127"/>
        <v>44237.135929812393</v>
      </c>
      <c r="I163" s="62">
        <f t="shared" si="127"/>
        <v>42214.793036981013</v>
      </c>
      <c r="J163" s="62">
        <f t="shared" si="127"/>
        <v>40926.381044140537</v>
      </c>
      <c r="K163" s="62">
        <f t="shared" si="127"/>
        <v>39570.469221628824</v>
      </c>
      <c r="L163" s="62">
        <f t="shared" si="127"/>
        <v>38242.806993930397</v>
      </c>
      <c r="M163" s="62">
        <f t="shared" si="127"/>
        <v>37033.277157918048</v>
      </c>
      <c r="N163" s="62">
        <f t="shared" si="127"/>
        <v>36002.260044164766</v>
      </c>
      <c r="O163" s="62">
        <f t="shared" si="127"/>
        <v>34429.072129455875</v>
      </c>
      <c r="P163" s="62">
        <f t="shared" si="127"/>
        <v>33072.248079661149</v>
      </c>
      <c r="Q163" s="62">
        <f t="shared" si="127"/>
        <v>31893.28630567123</v>
      </c>
      <c r="R163" s="62">
        <f t="shared" si="127"/>
        <v>30850.680491468771</v>
      </c>
      <c r="S163" s="62">
        <f t="shared" si="127"/>
        <v>29907.594777724389</v>
      </c>
      <c r="T163" s="62">
        <f t="shared" si="127"/>
        <v>29087.380733692899</v>
      </c>
      <c r="U163" s="62">
        <f t="shared" si="127"/>
        <v>28315.160260661654</v>
      </c>
      <c r="V163" s="62">
        <f t="shared" si="127"/>
        <v>27575.502439154152</v>
      </c>
      <c r="W163" s="62">
        <f t="shared" si="127"/>
        <v>26857.688967273323</v>
      </c>
      <c r="X163" s="62">
        <f t="shared" si="127"/>
        <v>26154.415365086854</v>
      </c>
      <c r="Y163" s="62">
        <f t="shared" si="127"/>
        <v>25577.710960559867</v>
      </c>
      <c r="Z163" s="62">
        <f t="shared" si="127"/>
        <v>25007.248612935888</v>
      </c>
      <c r="AA163" s="62">
        <f t="shared" si="127"/>
        <v>24440.906946645857</v>
      </c>
      <c r="AB163" s="62">
        <f t="shared" si="127"/>
        <v>23877.280332950966</v>
      </c>
      <c r="AC163" s="62">
        <f t="shared" si="127"/>
        <v>23315.440060805347</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220167.56865411007</v>
      </c>
      <c r="C165" s="64">
        <f t="shared" ref="C165:AC165" si="129">C156+C157+C158+C159+C160+C161+C162+C163+C164</f>
        <v>217831.87202602721</v>
      </c>
      <c r="D165" s="64">
        <f t="shared" si="129"/>
        <v>215149.68677136491</v>
      </c>
      <c r="E165" s="64">
        <f t="shared" si="129"/>
        <v>212431.98036131891</v>
      </c>
      <c r="F165" s="64">
        <f t="shared" si="129"/>
        <v>209133.84865545391</v>
      </c>
      <c r="G165" s="64">
        <f t="shared" si="129"/>
        <v>205145.09410248039</v>
      </c>
      <c r="H165" s="64">
        <f t="shared" si="129"/>
        <v>200403.05419069159</v>
      </c>
      <c r="I165" s="64">
        <f t="shared" si="129"/>
        <v>194942.33512007742</v>
      </c>
      <c r="J165" s="64">
        <f t="shared" si="129"/>
        <v>189765.89793281164</v>
      </c>
      <c r="K165" s="64">
        <f t="shared" si="129"/>
        <v>184305.4138647111</v>
      </c>
      <c r="L165" s="64">
        <f t="shared" si="129"/>
        <v>178953.94969583</v>
      </c>
      <c r="M165" s="64">
        <f t="shared" si="129"/>
        <v>174081.47012861259</v>
      </c>
      <c r="N165" s="64">
        <f t="shared" si="129"/>
        <v>169937.4673574075</v>
      </c>
      <c r="O165" s="64">
        <f t="shared" si="129"/>
        <v>165871.33543522423</v>
      </c>
      <c r="P165" s="64">
        <f t="shared" si="129"/>
        <v>162612.28446297575</v>
      </c>
      <c r="Q165" s="64">
        <f t="shared" si="129"/>
        <v>160035.03334216258</v>
      </c>
      <c r="R165" s="64">
        <f t="shared" si="129"/>
        <v>157992.67087356417</v>
      </c>
      <c r="S165" s="64">
        <f t="shared" si="129"/>
        <v>156348.90338880153</v>
      </c>
      <c r="T165" s="64">
        <f t="shared" si="129"/>
        <v>155044.47517372901</v>
      </c>
      <c r="U165" s="64">
        <f t="shared" si="129"/>
        <v>153940.88281413671</v>
      </c>
      <c r="V165" s="64">
        <f t="shared" si="129"/>
        <v>152975.96429534577</v>
      </c>
      <c r="W165" s="64">
        <f t="shared" si="129"/>
        <v>152105.71941618022</v>
      </c>
      <c r="X165" s="64">
        <f t="shared" si="129"/>
        <v>151299.61542749795</v>
      </c>
      <c r="Y165" s="64">
        <f t="shared" si="129"/>
        <v>150653.68611760004</v>
      </c>
      <c r="Z165" s="64">
        <f t="shared" si="129"/>
        <v>150036.68735382342</v>
      </c>
      <c r="AA165" s="64">
        <f t="shared" si="129"/>
        <v>149439.0911527928</v>
      </c>
      <c r="AB165" s="64">
        <f t="shared" si="129"/>
        <v>148854.48686186291</v>
      </c>
      <c r="AC165" s="64">
        <f t="shared" si="129"/>
        <v>148278.57261872516</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0.49273540880330335</v>
      </c>
      <c r="C175" s="66">
        <f t="shared" ref="C175:AC175" si="138">C145*C146*C153/C153</f>
        <v>0.47767900410399788</v>
      </c>
      <c r="D175" s="66">
        <f t="shared" si="138"/>
        <v>0.46188405358693935</v>
      </c>
      <c r="E175" s="66">
        <f t="shared" si="138"/>
        <v>0.4489522148941999</v>
      </c>
      <c r="F175" s="66">
        <f t="shared" si="138"/>
        <v>0.43479297751634616</v>
      </c>
      <c r="G175" s="66">
        <f t="shared" si="138"/>
        <v>0.41921630743435451</v>
      </c>
      <c r="H175" s="66">
        <f t="shared" si="138"/>
        <v>0.40215578118011269</v>
      </c>
      <c r="I175" s="66">
        <f t="shared" si="138"/>
        <v>0.3837708457907365</v>
      </c>
      <c r="J175" s="66">
        <f t="shared" si="138"/>
        <v>0.3720580094921867</v>
      </c>
      <c r="K175" s="66">
        <f t="shared" si="138"/>
        <v>0.35973153837844385</v>
      </c>
      <c r="L175" s="66">
        <f t="shared" si="138"/>
        <v>0.34766188176300361</v>
      </c>
      <c r="M175" s="66">
        <f t="shared" si="138"/>
        <v>0.33666615598107319</v>
      </c>
      <c r="N175" s="66">
        <f t="shared" si="138"/>
        <v>0.3272932731287706</v>
      </c>
      <c r="O175" s="66">
        <f t="shared" si="138"/>
        <v>0.31299156481323526</v>
      </c>
      <c r="P175" s="66">
        <f t="shared" si="138"/>
        <v>0.30065680072419226</v>
      </c>
      <c r="Q175" s="66">
        <f t="shared" si="138"/>
        <v>0.28993896641519301</v>
      </c>
      <c r="R175" s="66">
        <f t="shared" si="138"/>
        <v>0.28046073174062519</v>
      </c>
      <c r="S175" s="66">
        <f t="shared" si="138"/>
        <v>0.2718872252520399</v>
      </c>
      <c r="T175" s="66">
        <f t="shared" si="138"/>
        <v>0.2644307339426627</v>
      </c>
      <c r="U175" s="66">
        <f t="shared" si="138"/>
        <v>0.25741054782419687</v>
      </c>
      <c r="V175" s="66">
        <f t="shared" si="138"/>
        <v>0.2506863858104923</v>
      </c>
      <c r="W175" s="66">
        <f t="shared" si="138"/>
        <v>0.24416080879339386</v>
      </c>
      <c r="X175" s="66">
        <f t="shared" si="138"/>
        <v>0.2377674124098805</v>
      </c>
      <c r="Y175" s="66">
        <f t="shared" si="138"/>
        <v>0.23252464509599879</v>
      </c>
      <c r="Z175" s="66">
        <f t="shared" si="138"/>
        <v>0.2273386237539626</v>
      </c>
      <c r="AA175" s="66">
        <f t="shared" si="138"/>
        <v>0.22219006315132597</v>
      </c>
      <c r="AB175" s="66">
        <f t="shared" si="138"/>
        <v>0.21706618484500878</v>
      </c>
      <c r="AC175" s="66">
        <f t="shared" si="138"/>
        <v>0.21195854600732134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2.0385782490974691</v>
      </c>
      <c r="C177" s="76">
        <f t="shared" ref="C177:AC177" si="141">C168+C169+C170-C171+C172+C173+C174+C175+C176</f>
        <v>2.017344643387625</v>
      </c>
      <c r="D177" s="76">
        <f t="shared" si="141"/>
        <v>1.992961141072513</v>
      </c>
      <c r="E177" s="76">
        <f t="shared" si="141"/>
        <v>1.9682547191630042</v>
      </c>
      <c r="F177" s="76">
        <f t="shared" si="141"/>
        <v>1.9382717036551405</v>
      </c>
      <c r="G177" s="76">
        <f t="shared" si="141"/>
        <v>1.9020102986281084</v>
      </c>
      <c r="H177" s="76">
        <f t="shared" si="141"/>
        <v>1.8589008448845739</v>
      </c>
      <c r="I177" s="76">
        <f t="shared" si="141"/>
        <v>1.8092579442426269</v>
      </c>
      <c r="J177" s="76">
        <f t="shared" si="141"/>
        <v>1.7621994243583923</v>
      </c>
      <c r="K177" s="76">
        <f t="shared" si="141"/>
        <v>1.7125586601029328</v>
      </c>
      <c r="L177" s="76">
        <f t="shared" si="141"/>
        <v>1.6639089858403775</v>
      </c>
      <c r="M177" s="76">
        <f t="shared" si="141"/>
        <v>1.6196137170474918</v>
      </c>
      <c r="N177" s="76">
        <f t="shared" si="141"/>
        <v>1.5819409645819911</v>
      </c>
      <c r="O177" s="76">
        <f t="shared" si="141"/>
        <v>1.5449761289257797</v>
      </c>
      <c r="P177" s="76">
        <f t="shared" si="141"/>
        <v>1.5153483928144296</v>
      </c>
      <c r="Q177" s="76">
        <f t="shared" si="141"/>
        <v>1.4919188371706738</v>
      </c>
      <c r="R177" s="76">
        <f t="shared" si="141"/>
        <v>1.4733519056379607</v>
      </c>
      <c r="S177" s="76">
        <f t="shared" si="141"/>
        <v>1.4584085648673915</v>
      </c>
      <c r="T177" s="76">
        <f t="shared" si="141"/>
        <v>1.4465501265485501</v>
      </c>
      <c r="U177" s="76">
        <f t="shared" si="141"/>
        <v>1.4365174687340747</v>
      </c>
      <c r="V177" s="76">
        <f t="shared" si="141"/>
        <v>1.4277454821996116</v>
      </c>
      <c r="W177" s="76">
        <f t="shared" si="141"/>
        <v>1.4198341651162885</v>
      </c>
      <c r="X177" s="76">
        <f t="shared" si="141"/>
        <v>1.4125059470373589</v>
      </c>
      <c r="Y177" s="76">
        <f t="shared" si="141"/>
        <v>1.4066338624019232</v>
      </c>
      <c r="Z177" s="76">
        <f t="shared" si="141"/>
        <v>1.4010247827312268</v>
      </c>
      <c r="AA177" s="76">
        <f t="shared" si="141"/>
        <v>1.3955920899945848</v>
      </c>
      <c r="AB177" s="76">
        <f t="shared" si="141"/>
        <v>1.3902775055315859</v>
      </c>
      <c r="AC177" s="76">
        <f t="shared" si="141"/>
        <v>1.3850419215030607</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1.9709416352132133E-2</v>
      </c>
      <c r="C187" s="66">
        <f t="shared" ref="C187:AC187" si="150">C145*C146*C153/C153/(C150)</f>
        <v>1.9107160164159916E-2</v>
      </c>
      <c r="D187" s="66">
        <f t="shared" si="150"/>
        <v>1.8475362143477572E-2</v>
      </c>
      <c r="E187" s="66">
        <f t="shared" si="150"/>
        <v>1.7958088595767994E-2</v>
      </c>
      <c r="F187" s="66">
        <f t="shared" si="150"/>
        <v>1.7391719100653846E-2</v>
      </c>
      <c r="G187" s="66">
        <f t="shared" si="150"/>
        <v>1.6768652297374179E-2</v>
      </c>
      <c r="H187" s="66">
        <f t="shared" si="150"/>
        <v>1.6086231247204506E-2</v>
      </c>
      <c r="I187" s="66">
        <f t="shared" si="150"/>
        <v>1.5350833831629461E-2</v>
      </c>
      <c r="J187" s="66">
        <f t="shared" si="150"/>
        <v>1.4882320379687468E-2</v>
      </c>
      <c r="K187" s="66">
        <f t="shared" si="150"/>
        <v>1.4389261535137754E-2</v>
      </c>
      <c r="L187" s="66">
        <f t="shared" si="150"/>
        <v>1.3906475270520144E-2</v>
      </c>
      <c r="M187" s="66">
        <f t="shared" si="150"/>
        <v>1.3466646239242928E-2</v>
      </c>
      <c r="N187" s="66">
        <f t="shared" si="150"/>
        <v>1.3091730925150823E-2</v>
      </c>
      <c r="O187" s="66">
        <f t="shared" si="150"/>
        <v>1.251966259252941E-2</v>
      </c>
      <c r="P187" s="66">
        <f t="shared" si="150"/>
        <v>1.202627202896769E-2</v>
      </c>
      <c r="Q187" s="66">
        <f t="shared" si="150"/>
        <v>1.159755865660772E-2</v>
      </c>
      <c r="R187" s="66">
        <f t="shared" si="150"/>
        <v>1.1218429269625008E-2</v>
      </c>
      <c r="S187" s="66">
        <f t="shared" si="150"/>
        <v>1.0875489010081596E-2</v>
      </c>
      <c r="T187" s="66">
        <f t="shared" si="150"/>
        <v>1.0577229357706507E-2</v>
      </c>
      <c r="U187" s="66">
        <f t="shared" si="150"/>
        <v>1.0296421912967875E-2</v>
      </c>
      <c r="V187" s="66">
        <f t="shared" si="150"/>
        <v>1.0027455432419691E-2</v>
      </c>
      <c r="W187" s="66">
        <f t="shared" si="150"/>
        <v>9.7664323517357536E-3</v>
      </c>
      <c r="X187" s="66">
        <f t="shared" si="150"/>
        <v>9.5106964963952208E-3</v>
      </c>
      <c r="Y187" s="66">
        <f t="shared" si="150"/>
        <v>9.3009858038399524E-3</v>
      </c>
      <c r="Z187" s="66">
        <f t="shared" si="150"/>
        <v>9.0935449501585042E-3</v>
      </c>
      <c r="AA187" s="66">
        <f t="shared" si="150"/>
        <v>8.8876025260530393E-3</v>
      </c>
      <c r="AB187" s="66">
        <f t="shared" si="150"/>
        <v>8.6826473938003516E-3</v>
      </c>
      <c r="AC187" s="66">
        <f t="shared" si="150"/>
        <v>8.478341840292853E-3</v>
      </c>
    </row>
    <row r="188" spans="1:29" x14ac:dyDescent="0.25">
      <c r="A188" s="59" t="str">
        <f>A151</f>
        <v>Market failure (av. utilization)</v>
      </c>
      <c r="B188" s="66">
        <f t="shared" ref="B188:AC188" si="151">B177/B151-B177/B150</f>
        <v>4.586801060469306E-2</v>
      </c>
      <c r="C188" s="66">
        <f t="shared" si="151"/>
        <v>4.5390254476221567E-2</v>
      </c>
      <c r="D188" s="66">
        <f t="shared" si="151"/>
        <v>4.4841625674131538E-2</v>
      </c>
      <c r="E188" s="66">
        <f t="shared" si="151"/>
        <v>4.428573118116759E-2</v>
      </c>
      <c r="F188" s="66">
        <f t="shared" si="151"/>
        <v>4.3611113332240659E-2</v>
      </c>
      <c r="G188" s="66">
        <f t="shared" si="151"/>
        <v>4.2795231719132437E-2</v>
      </c>
      <c r="H188" s="66">
        <f t="shared" si="151"/>
        <v>4.182526900990291E-2</v>
      </c>
      <c r="I188" s="66">
        <f t="shared" si="151"/>
        <v>4.0708303745459098E-2</v>
      </c>
      <c r="J188" s="66">
        <f t="shared" si="151"/>
        <v>3.9649487048063828E-2</v>
      </c>
      <c r="K188" s="66">
        <f t="shared" si="151"/>
        <v>3.8532569852315984E-2</v>
      </c>
      <c r="L188" s="66">
        <f t="shared" si="151"/>
        <v>3.7437952181408496E-2</v>
      </c>
      <c r="M188" s="66">
        <f t="shared" si="151"/>
        <v>3.6441308633568564E-2</v>
      </c>
      <c r="N188" s="66">
        <f t="shared" si="151"/>
        <v>3.5593671703094798E-2</v>
      </c>
      <c r="O188" s="66">
        <f t="shared" si="151"/>
        <v>3.4761962900830043E-2</v>
      </c>
      <c r="P188" s="66">
        <f t="shared" si="151"/>
        <v>3.4095338838324663E-2</v>
      </c>
      <c r="Q188" s="66">
        <f t="shared" si="151"/>
        <v>3.3568173836340157E-2</v>
      </c>
      <c r="R188" s="66">
        <f t="shared" si="151"/>
        <v>3.3150417876854119E-2</v>
      </c>
      <c r="S188" s="66">
        <f t="shared" si="151"/>
        <v>3.2814192709516306E-2</v>
      </c>
      <c r="T188" s="66">
        <f t="shared" si="151"/>
        <v>3.2547377847342379E-2</v>
      </c>
      <c r="U188" s="66">
        <f t="shared" si="151"/>
        <v>3.2321643046516683E-2</v>
      </c>
      <c r="V188" s="66">
        <f t="shared" si="151"/>
        <v>3.2124273349491264E-2</v>
      </c>
      <c r="W188" s="66">
        <f t="shared" si="151"/>
        <v>3.1946268715116494E-2</v>
      </c>
      <c r="X188" s="66">
        <f t="shared" si="151"/>
        <v>3.1781383808340571E-2</v>
      </c>
      <c r="Y188" s="66">
        <f t="shared" si="151"/>
        <v>3.1649261904043276E-2</v>
      </c>
      <c r="Z188" s="66">
        <f t="shared" si="151"/>
        <v>3.1523057611452604E-2</v>
      </c>
      <c r="AA188" s="66">
        <f t="shared" si="151"/>
        <v>3.1400822024878157E-2</v>
      </c>
      <c r="AB188" s="66">
        <f t="shared" si="151"/>
        <v>3.1281243874460685E-2</v>
      </c>
      <c r="AC188" s="66">
        <f t="shared" si="151"/>
        <v>3.1163443233818866E-2</v>
      </c>
    </row>
    <row r="189" spans="1:29" x14ac:dyDescent="0.25">
      <c r="A189" s="59" t="str">
        <f>A152</f>
        <v>Payload loss (fuel)</v>
      </c>
      <c r="B189" s="66">
        <f>B177/(B150-B152)-B177/B150</f>
        <v>4.2559732095678038E-3</v>
      </c>
      <c r="C189" s="66">
        <f t="shared" ref="C189:AC189" si="152">C177/(C150-C152)-C177/C150</f>
        <v>4.1964961552161117E-3</v>
      </c>
      <c r="D189" s="66">
        <f t="shared" si="152"/>
        <v>4.1245355205102308E-3</v>
      </c>
      <c r="E189" s="66">
        <f t="shared" si="152"/>
        <v>4.0437768420652914E-3</v>
      </c>
      <c r="F189" s="66">
        <f t="shared" si="152"/>
        <v>3.9412492109434094E-3</v>
      </c>
      <c r="G189" s="66">
        <f t="shared" si="152"/>
        <v>3.8117432483890101E-3</v>
      </c>
      <c r="H189" s="66">
        <f t="shared" si="152"/>
        <v>3.6507436334506371E-3</v>
      </c>
      <c r="I189" s="66">
        <f t="shared" si="152"/>
        <v>3.4558824378779218E-3</v>
      </c>
      <c r="J189" s="66">
        <f t="shared" si="152"/>
        <v>3.2423956351557842E-3</v>
      </c>
      <c r="K189" s="66">
        <f t="shared" si="152"/>
        <v>3.000360453034312E-3</v>
      </c>
      <c r="L189" s="66">
        <f t="shared" si="152"/>
        <v>2.7402425057999613E-3</v>
      </c>
      <c r="M189" s="66">
        <f t="shared" si="152"/>
        <v>2.4758327376699363E-3</v>
      </c>
      <c r="N189" s="66">
        <f t="shared" si="152"/>
        <v>2.221969270112617E-3</v>
      </c>
      <c r="O189" s="66">
        <f t="shared" si="152"/>
        <v>1.9832411995989729E-3</v>
      </c>
      <c r="P189" s="66">
        <f t="shared" si="152"/>
        <v>1.7793430407352512E-3</v>
      </c>
      <c r="Q189" s="66">
        <f t="shared" si="152"/>
        <v>1.6137279808433394E-3</v>
      </c>
      <c r="R189" s="66">
        <f t="shared" si="152"/>
        <v>1.4848665283258913E-3</v>
      </c>
      <c r="S189" s="66">
        <f t="shared" si="152"/>
        <v>1.3879053167555888E-3</v>
      </c>
      <c r="T189" s="66">
        <f t="shared" si="152"/>
        <v>1.3170475469282406E-3</v>
      </c>
      <c r="U189" s="66">
        <f t="shared" si="152"/>
        <v>1.2656878254922871E-3</v>
      </c>
      <c r="V189" s="66">
        <f t="shared" si="152"/>
        <v>1.2285819787890423E-3</v>
      </c>
      <c r="W189" s="66">
        <f t="shared" si="152"/>
        <v>1.2016025956485751E-3</v>
      </c>
      <c r="X189" s="66">
        <f t="shared" si="152"/>
        <v>1.1816755611686186E-3</v>
      </c>
      <c r="Y189" s="66">
        <f t="shared" si="152"/>
        <v>1.1674754545627497E-3</v>
      </c>
      <c r="Z189" s="66">
        <f t="shared" si="152"/>
        <v>1.1565619612914704E-3</v>
      </c>
      <c r="AA189" s="66">
        <f t="shared" si="152"/>
        <v>1.147872645199749E-3</v>
      </c>
      <c r="AB189" s="66">
        <f t="shared" si="152"/>
        <v>1.1406820404593898E-3</v>
      </c>
      <c r="AC189" s="66">
        <f t="shared" si="152"/>
        <v>1.1344983734424621E-3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0.1301849178703009</v>
      </c>
      <c r="C191" s="67">
        <f t="shared" ref="C191:AC191" si="154">C180+C181+C182+C183+C184+C185+C186+C187+C188+C189+C190</f>
        <v>0.12879834045908395</v>
      </c>
      <c r="D191" s="67">
        <f t="shared" si="154"/>
        <v>0.12720241092968354</v>
      </c>
      <c r="E191" s="67">
        <f t="shared" si="154"/>
        <v>0.12557750088189429</v>
      </c>
      <c r="F191" s="67">
        <f t="shared" si="154"/>
        <v>0.12360103478153095</v>
      </c>
      <c r="G191" s="67">
        <f t="shared" si="154"/>
        <v>0.12120519100478705</v>
      </c>
      <c r="H191" s="67">
        <f t="shared" si="154"/>
        <v>0.11834985053087776</v>
      </c>
      <c r="I191" s="67">
        <f t="shared" si="154"/>
        <v>0.11505230804518336</v>
      </c>
      <c r="J191" s="67">
        <f t="shared" si="154"/>
        <v>0.11189766374969658</v>
      </c>
      <c r="K191" s="67">
        <f t="shared" si="154"/>
        <v>0.10855308080160889</v>
      </c>
      <c r="L191" s="67">
        <f t="shared" si="154"/>
        <v>0.10525235821296482</v>
      </c>
      <c r="M191" s="67">
        <f t="shared" si="154"/>
        <v>0.10221949414527944</v>
      </c>
      <c r="N191" s="67">
        <f t="shared" si="154"/>
        <v>9.9611083648628335E-2</v>
      </c>
      <c r="O191" s="67">
        <f t="shared" si="154"/>
        <v>9.7062053349601468E-2</v>
      </c>
      <c r="P191" s="67">
        <f t="shared" si="154"/>
        <v>9.5006421683778361E-2</v>
      </c>
      <c r="Q191" s="67">
        <f t="shared" si="154"/>
        <v>9.3376459396151718E-2</v>
      </c>
      <c r="R191" s="67">
        <f t="shared" si="154"/>
        <v>9.2087164722839704E-2</v>
      </c>
      <c r="S191" s="67">
        <f t="shared" si="154"/>
        <v>9.1056244713108817E-2</v>
      </c>
      <c r="T191" s="67">
        <f t="shared" si="154"/>
        <v>9.0244234548353897E-2</v>
      </c>
      <c r="U191" s="67">
        <f t="shared" si="154"/>
        <v>8.9565833713513232E-2</v>
      </c>
      <c r="V191" s="67">
        <f t="shared" si="154"/>
        <v>8.8980478708406044E-2</v>
      </c>
      <c r="W191" s="67">
        <f t="shared" si="154"/>
        <v>8.8459042007557886E-2</v>
      </c>
      <c r="X191" s="67">
        <f t="shared" si="154"/>
        <v>8.798110134314481E-2</v>
      </c>
      <c r="Y191" s="67">
        <f t="shared" si="154"/>
        <v>8.7599895946824213E-2</v>
      </c>
      <c r="Z191" s="67">
        <f t="shared" si="154"/>
        <v>8.7238414974134398E-2</v>
      </c>
      <c r="AA191" s="67">
        <f t="shared" si="154"/>
        <v>8.6890182362002549E-2</v>
      </c>
      <c r="AB191" s="67">
        <f t="shared" si="154"/>
        <v>8.6550830228324771E-2</v>
      </c>
      <c r="AC191" s="67">
        <f t="shared" si="154"/>
        <v>8.6217422559525025E-2</v>
      </c>
    </row>
    <row r="193" spans="2:2" x14ac:dyDescent="0.25">
      <c r="B193" s="40"/>
    </row>
    <row r="215" spans="1:44" s="3" customFormat="1" ht="21" x14ac:dyDescent="0.35">
      <c r="A215" s="2" t="str">
        <f>'Parameter Input'!A101</f>
        <v>Road long-haul: Container</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Input'!$L$101</f>
        <v>390000</v>
      </c>
      <c r="C225" s="42">
        <f>'Parameter Input'!$M$101</f>
        <v>155000</v>
      </c>
      <c r="D225" s="1" t="s">
        <v>138</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151</v>
      </c>
      <c r="B226" s="60">
        <f>'Parameter Input'!$L$102</f>
        <v>-58500</v>
      </c>
      <c r="C226" s="61">
        <f>'Parameter Input'!$M$102</f>
        <v>-38750</v>
      </c>
      <c r="D226" s="1" t="s">
        <v>138</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137</v>
      </c>
      <c r="B227" s="60">
        <f>'Parameter Input'!B102</f>
        <v>30000</v>
      </c>
      <c r="C227" s="61">
        <f>'Parameter Input'!C102</f>
        <v>30000</v>
      </c>
      <c r="D227" s="1" t="s">
        <v>138</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148</v>
      </c>
      <c r="B228" s="60">
        <f>'Parameter Input'!B103</f>
        <v>-7500</v>
      </c>
      <c r="C228" s="61">
        <f>'Parameter Input'!C103</f>
        <v>-7500</v>
      </c>
      <c r="D228" s="1" t="s">
        <v>138</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203</v>
      </c>
      <c r="B229" s="45">
        <f>'Parameter Input'!$L$108</f>
        <v>0.06</v>
      </c>
      <c r="C229" s="46">
        <f>'Parameter Input'!$M$108</f>
        <v>0.06</v>
      </c>
      <c r="D229" s="1" t="s">
        <v>180</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160</v>
      </c>
      <c r="B230" s="60">
        <f>'Parameter Input'!B104</f>
        <v>70000</v>
      </c>
      <c r="C230" s="61">
        <f>'Parameter Input'!C104</f>
        <v>70000</v>
      </c>
      <c r="D230" s="1" t="s">
        <v>161</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175</v>
      </c>
      <c r="B231" s="43">
        <f>'Parameter Input'!$L$104</f>
        <v>26000</v>
      </c>
      <c r="C231" s="44">
        <f>'Parameter Input'!$M$104</f>
        <v>18000</v>
      </c>
      <c r="D231" s="1" t="s">
        <v>161</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199</v>
      </c>
      <c r="B232" s="60">
        <f>'Parameter Input'!B109</f>
        <v>0.11</v>
      </c>
      <c r="C232" s="61">
        <f>'Parameter Input'!C109</f>
        <v>0.11</v>
      </c>
      <c r="D232" s="1" t="s">
        <v>200</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183</v>
      </c>
      <c r="B233" s="47">
        <f>'Parameter Input'!$L$105</f>
        <v>2.5299999999999998</v>
      </c>
      <c r="C233" s="48">
        <f>'Parameter Input'!$M$105</f>
        <v>1.79</v>
      </c>
      <c r="D233" s="1" t="s">
        <v>184</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191</v>
      </c>
      <c r="B234" s="45">
        <f>'Parameter Input'!$L$106</f>
        <v>0.2544561408768215</v>
      </c>
      <c r="C234" s="46">
        <f>'Parameter Input'!$M$106</f>
        <v>0.10949010032952979</v>
      </c>
      <c r="D234" s="1" t="s">
        <v>94</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458</v>
      </c>
      <c r="B235" s="115">
        <f>'Parameter Input'!$L$109</f>
        <v>0</v>
      </c>
      <c r="C235" s="116">
        <f>'Parameter Input'!$M$109</f>
        <v>0</v>
      </c>
      <c r="D235" s="1" t="s">
        <v>200</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43">
        <f>'Parameter Input'!$L$103</f>
        <v>8</v>
      </c>
      <c r="C236" s="44">
        <f>'Parameter Input'!$M$103</f>
        <v>8</v>
      </c>
      <c r="D236" s="1" t="s">
        <v>165</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194</v>
      </c>
      <c r="B237" s="60">
        <f>'Parameter Input'!B108</f>
        <v>10</v>
      </c>
      <c r="C237" s="61">
        <f>'Parameter Input'!C108</f>
        <v>10</v>
      </c>
      <c r="D237" s="1" t="s">
        <v>165</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502</v>
      </c>
      <c r="B238" s="43">
        <f>'Parameter Input'!B105</f>
        <v>25</v>
      </c>
      <c r="C238" s="44">
        <f>'Parameter Input'!C105</f>
        <v>25</v>
      </c>
      <c r="D238" s="1" t="s">
        <v>172</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179</v>
      </c>
      <c r="B239" s="45">
        <f>'Parameter Input'!B106</f>
        <v>0.6133333333333334</v>
      </c>
      <c r="C239" s="46">
        <f>'Parameter Input'!C106</f>
        <v>0.6133333333333334</v>
      </c>
      <c r="D239" s="1" t="s">
        <v>180</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197</v>
      </c>
      <c r="B240" s="72">
        <f>'Parameter Input'!$L$107</f>
        <v>0.05</v>
      </c>
      <c r="C240" s="73">
        <f>'Parameter Input'!$M$107</f>
        <v>0.02</v>
      </c>
      <c r="D240" s="1" t="s">
        <v>180</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188</v>
      </c>
      <c r="B241" s="49">
        <f>'Parameter Input'!B107</f>
        <v>105000</v>
      </c>
      <c r="C241" s="50">
        <f>'Parameter Input'!C107</f>
        <v>105000</v>
      </c>
      <c r="D241" s="1" t="s">
        <v>189</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197</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51737.217924346849</v>
      </c>
      <c r="C271" s="62">
        <f t="shared" ref="C271:AC271" si="205">C253*C254*C261</f>
        <v>50156.295430919781</v>
      </c>
      <c r="D271" s="62">
        <f t="shared" si="205"/>
        <v>48497.825626628633</v>
      </c>
      <c r="E271" s="62">
        <f t="shared" si="205"/>
        <v>47139.982563890982</v>
      </c>
      <c r="F271" s="62">
        <f t="shared" si="205"/>
        <v>45653.262639216351</v>
      </c>
      <c r="G271" s="62">
        <f t="shared" si="205"/>
        <v>44017.712280607229</v>
      </c>
      <c r="H271" s="62">
        <f t="shared" si="205"/>
        <v>42226.357023911834</v>
      </c>
      <c r="I271" s="62">
        <f t="shared" si="205"/>
        <v>40295.938808027327</v>
      </c>
      <c r="J271" s="62">
        <f t="shared" si="205"/>
        <v>39066.090996679603</v>
      </c>
      <c r="K271" s="62">
        <f t="shared" si="205"/>
        <v>37771.811529736602</v>
      </c>
      <c r="L271" s="62">
        <f t="shared" si="205"/>
        <v>36504.497585115379</v>
      </c>
      <c r="M271" s="62">
        <f t="shared" si="205"/>
        <v>35349.946378012683</v>
      </c>
      <c r="N271" s="62">
        <f t="shared" si="205"/>
        <v>34365.793678520917</v>
      </c>
      <c r="O271" s="62">
        <f t="shared" si="205"/>
        <v>32864.114305389703</v>
      </c>
      <c r="P271" s="62">
        <f t="shared" si="205"/>
        <v>31568.964076040189</v>
      </c>
      <c r="Q271" s="62">
        <f t="shared" si="205"/>
        <v>30443.591473595265</v>
      </c>
      <c r="R271" s="62">
        <f t="shared" si="205"/>
        <v>29448.376832765643</v>
      </c>
      <c r="S271" s="62">
        <f t="shared" si="205"/>
        <v>28548.158651464189</v>
      </c>
      <c r="T271" s="62">
        <f t="shared" si="205"/>
        <v>27765.227063979582</v>
      </c>
      <c r="U271" s="62">
        <f t="shared" si="205"/>
        <v>27028.107521540671</v>
      </c>
      <c r="V271" s="62">
        <f t="shared" si="205"/>
        <v>26322.07051010169</v>
      </c>
      <c r="W271" s="62">
        <f t="shared" si="205"/>
        <v>25636.884923306356</v>
      </c>
      <c r="X271" s="62">
        <f t="shared" si="205"/>
        <v>24965.578303037451</v>
      </c>
      <c r="Y271" s="62">
        <f t="shared" si="205"/>
        <v>24415.087735079873</v>
      </c>
      <c r="Z271" s="62">
        <f t="shared" si="205"/>
        <v>23870.555494166074</v>
      </c>
      <c r="AA271" s="62">
        <f t="shared" si="205"/>
        <v>23329.956630889228</v>
      </c>
      <c r="AB271" s="62">
        <f t="shared" si="205"/>
        <v>22791.949408725923</v>
      </c>
      <c r="AC271" s="62">
        <f t="shared" si="205"/>
        <v>22255.647330768741</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214096.86255013492</v>
      </c>
      <c r="C273" s="64">
        <f t="shared" ref="C273:AC273" si="207">C264+C265+C266+C267+C268+C269+C270+C271+C272</f>
        <v>211836.44794554863</v>
      </c>
      <c r="D273" s="64">
        <f t="shared" si="207"/>
        <v>209233.23744347156</v>
      </c>
      <c r="E273" s="64">
        <f t="shared" si="207"/>
        <v>206580.1902268893</v>
      </c>
      <c r="F273" s="64">
        <f t="shared" si="207"/>
        <v>203352.85470791353</v>
      </c>
      <c r="G273" s="64">
        <f t="shared" si="207"/>
        <v>199441.98350535001</v>
      </c>
      <c r="H273" s="64">
        <f t="shared" si="207"/>
        <v>194785.24622483243</v>
      </c>
      <c r="I273" s="64">
        <f t="shared" si="207"/>
        <v>189416.45183116512</v>
      </c>
      <c r="J273" s="64">
        <f t="shared" si="207"/>
        <v>184298.57882539206</v>
      </c>
      <c r="K273" s="64">
        <f t="shared" si="207"/>
        <v>178899.72711286024</v>
      </c>
      <c r="L273" s="64">
        <f t="shared" si="207"/>
        <v>173608.61122705633</v>
      </c>
      <c r="M273" s="64">
        <f t="shared" si="207"/>
        <v>168791.1102887486</v>
      </c>
      <c r="N273" s="64">
        <f t="shared" si="207"/>
        <v>164693.97193180505</v>
      </c>
      <c r="O273" s="64">
        <f t="shared" si="207"/>
        <v>160699.34855119942</v>
      </c>
      <c r="P273" s="64">
        <f t="shared" si="207"/>
        <v>157501.97139939613</v>
      </c>
      <c r="Q273" s="64">
        <f t="shared" si="207"/>
        <v>154978.30945012797</v>
      </c>
      <c r="R273" s="64">
        <f t="shared" si="207"/>
        <v>152983.33815490239</v>
      </c>
      <c r="S273" s="64">
        <f t="shared" si="207"/>
        <v>151382.43820258268</v>
      </c>
      <c r="T273" s="64">
        <f t="shared" si="207"/>
        <v>150115.29244405706</v>
      </c>
      <c r="U273" s="64">
        <f t="shared" si="207"/>
        <v>149046.80101505708</v>
      </c>
      <c r="V273" s="64">
        <f t="shared" si="207"/>
        <v>148115.50330633466</v>
      </c>
      <c r="W273" s="64">
        <f t="shared" si="207"/>
        <v>147277.88631225462</v>
      </c>
      <c r="X273" s="64">
        <f t="shared" si="207"/>
        <v>146503.74930548994</v>
      </c>
      <c r="Y273" s="64">
        <f t="shared" si="207"/>
        <v>145884.0338321614</v>
      </c>
      <c r="Z273" s="64">
        <f t="shared" si="207"/>
        <v>145292.96517509499</v>
      </c>
      <c r="AA273" s="64">
        <f t="shared" si="207"/>
        <v>144721.11177707752</v>
      </c>
      <c r="AB273" s="64">
        <f t="shared" si="207"/>
        <v>144162.12687767923</v>
      </c>
      <c r="AC273" s="64">
        <f t="shared" si="207"/>
        <v>143611.75082872994</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0.4927354088033033</v>
      </c>
      <c r="C283" s="66">
        <f t="shared" ref="C283:AC283" si="216">C253*C254*C261/C261</f>
        <v>0.47767900410399794</v>
      </c>
      <c r="D283" s="66">
        <f t="shared" si="216"/>
        <v>0.46188405358693935</v>
      </c>
      <c r="E283" s="66">
        <f t="shared" si="216"/>
        <v>0.44895221489419984</v>
      </c>
      <c r="F283" s="66">
        <f t="shared" si="216"/>
        <v>0.43479297751634621</v>
      </c>
      <c r="G283" s="66">
        <f t="shared" si="216"/>
        <v>0.41921630743435456</v>
      </c>
      <c r="H283" s="66">
        <f t="shared" si="216"/>
        <v>0.40215578118011269</v>
      </c>
      <c r="I283" s="66">
        <f t="shared" si="216"/>
        <v>0.38377084579073645</v>
      </c>
      <c r="J283" s="66">
        <f t="shared" si="216"/>
        <v>0.3720580094921867</v>
      </c>
      <c r="K283" s="66">
        <f t="shared" si="216"/>
        <v>0.35973153837844385</v>
      </c>
      <c r="L283" s="66">
        <f t="shared" si="216"/>
        <v>0.34766188176300361</v>
      </c>
      <c r="M283" s="66">
        <f t="shared" si="216"/>
        <v>0.33666615598107319</v>
      </c>
      <c r="N283" s="66">
        <f t="shared" si="216"/>
        <v>0.32729327312877066</v>
      </c>
      <c r="O283" s="66">
        <f t="shared" si="216"/>
        <v>0.31299156481323526</v>
      </c>
      <c r="P283" s="66">
        <f t="shared" si="216"/>
        <v>0.30065680072419226</v>
      </c>
      <c r="Q283" s="66">
        <f t="shared" si="216"/>
        <v>0.28993896641519301</v>
      </c>
      <c r="R283" s="66">
        <f t="shared" si="216"/>
        <v>0.28046073174062519</v>
      </c>
      <c r="S283" s="66">
        <f t="shared" si="216"/>
        <v>0.2718872252520399</v>
      </c>
      <c r="T283" s="66">
        <f t="shared" si="216"/>
        <v>0.2644307339426627</v>
      </c>
      <c r="U283" s="66">
        <f t="shared" si="216"/>
        <v>0.25741054782419687</v>
      </c>
      <c r="V283" s="66">
        <f t="shared" si="216"/>
        <v>0.2506863858104923</v>
      </c>
      <c r="W283" s="66">
        <f t="shared" si="216"/>
        <v>0.24416080879339386</v>
      </c>
      <c r="X283" s="66">
        <f t="shared" si="216"/>
        <v>0.2377674124098805</v>
      </c>
      <c r="Y283" s="66">
        <f t="shared" si="216"/>
        <v>0.23252464509599879</v>
      </c>
      <c r="Z283" s="66">
        <f t="shared" si="216"/>
        <v>0.2273386237539626</v>
      </c>
      <c r="AA283" s="66">
        <f t="shared" si="216"/>
        <v>0.22219006315132597</v>
      </c>
      <c r="AB283" s="66">
        <f t="shared" si="216"/>
        <v>0.21706618484500878</v>
      </c>
      <c r="AC283" s="66">
        <f t="shared" si="216"/>
        <v>0.21195854600732134</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2.0584274468899113</v>
      </c>
      <c r="C285" s="76">
        <f t="shared" ref="C285:AC285" si="219">C276+C277+C278-C279+C280+C281+C282+C283+C284</f>
        <v>2.036899688750994</v>
      </c>
      <c r="D285" s="76">
        <f t="shared" si="219"/>
        <v>2.0121072077788318</v>
      </c>
      <c r="E285" s="76">
        <f t="shared" si="219"/>
        <v>1.9868400914304287</v>
      </c>
      <c r="F285" s="76">
        <f t="shared" si="219"/>
        <v>1.956103562678279</v>
      </c>
      <c r="G285" s="76">
        <f t="shared" si="219"/>
        <v>1.9188571702729122</v>
      </c>
      <c r="H285" s="76">
        <f t="shared" si="219"/>
        <v>1.8745072914108396</v>
      </c>
      <c r="I285" s="76">
        <f t="shared" si="219"/>
        <v>1.8233759162330558</v>
      </c>
      <c r="J285" s="76">
        <f t="shared" si="219"/>
        <v>1.7746342685590273</v>
      </c>
      <c r="K285" s="76">
        <f t="shared" si="219"/>
        <v>1.723216633201581</v>
      </c>
      <c r="L285" s="76">
        <f t="shared" si="219"/>
        <v>1.6728250533367821</v>
      </c>
      <c r="M285" s="76">
        <f t="shared" si="219"/>
        <v>1.6269440920195652</v>
      </c>
      <c r="N285" s="76">
        <f t="shared" si="219"/>
        <v>1.5879237267153408</v>
      </c>
      <c r="O285" s="76">
        <f t="shared" si="219"/>
        <v>1.5498796945190971</v>
      </c>
      <c r="P285" s="76">
        <f t="shared" si="219"/>
        <v>1.519428483549542</v>
      </c>
      <c r="Q285" s="76">
        <f t="shared" si="219"/>
        <v>1.4953936078422261</v>
      </c>
      <c r="R285" s="76">
        <f t="shared" si="219"/>
        <v>1.47639388122103</v>
      </c>
      <c r="S285" s="76">
        <f t="shared" si="219"/>
        <v>1.4611472150084617</v>
      </c>
      <c r="T285" s="76">
        <f t="shared" si="219"/>
        <v>1.4490791601653603</v>
      </c>
      <c r="U285" s="76">
        <f t="shared" si="219"/>
        <v>1.4389030513177414</v>
      </c>
      <c r="V285" s="76">
        <f t="shared" si="219"/>
        <v>1.430033549329909</v>
      </c>
      <c r="W285" s="76">
        <f t="shared" si="219"/>
        <v>1.4220562446243847</v>
      </c>
      <c r="X285" s="76">
        <f t="shared" si="219"/>
        <v>1.4146835112266256</v>
      </c>
      <c r="Y285" s="76">
        <f t="shared" si="219"/>
        <v>1.4087814590996872</v>
      </c>
      <c r="Z285" s="76">
        <f t="shared" si="219"/>
        <v>1.4031522337942928</v>
      </c>
      <c r="AA285" s="76">
        <f t="shared" si="219"/>
        <v>1.3977060109560315</v>
      </c>
      <c r="AB285" s="76">
        <f t="shared" si="219"/>
        <v>1.3923823452474762</v>
      </c>
      <c r="AC285" s="76">
        <f t="shared" si="219"/>
        <v>1.3871406685908161</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1.9709416352132133E-2</v>
      </c>
      <c r="C295" s="66">
        <f t="shared" ref="C295:AC295" si="228">C253*C254*C261/C261/(C258)</f>
        <v>1.9107160164159916E-2</v>
      </c>
      <c r="D295" s="66">
        <f t="shared" si="228"/>
        <v>1.8475362143477572E-2</v>
      </c>
      <c r="E295" s="66">
        <f t="shared" si="228"/>
        <v>1.7958088595767994E-2</v>
      </c>
      <c r="F295" s="66">
        <f t="shared" si="228"/>
        <v>1.739171910065385E-2</v>
      </c>
      <c r="G295" s="66">
        <f t="shared" si="228"/>
        <v>1.6768652297374183E-2</v>
      </c>
      <c r="H295" s="66">
        <f t="shared" si="228"/>
        <v>1.6086231247204506E-2</v>
      </c>
      <c r="I295" s="66">
        <f t="shared" si="228"/>
        <v>1.5350833831629457E-2</v>
      </c>
      <c r="J295" s="66">
        <f t="shared" si="228"/>
        <v>1.4882320379687468E-2</v>
      </c>
      <c r="K295" s="66">
        <f t="shared" si="228"/>
        <v>1.4389261535137754E-2</v>
      </c>
      <c r="L295" s="66">
        <f t="shared" si="228"/>
        <v>1.3906475270520144E-2</v>
      </c>
      <c r="M295" s="66">
        <f t="shared" si="228"/>
        <v>1.3466646239242928E-2</v>
      </c>
      <c r="N295" s="66">
        <f t="shared" si="228"/>
        <v>1.3091730925150827E-2</v>
      </c>
      <c r="O295" s="66">
        <f t="shared" si="228"/>
        <v>1.251966259252941E-2</v>
      </c>
      <c r="P295" s="66">
        <f t="shared" si="228"/>
        <v>1.202627202896769E-2</v>
      </c>
      <c r="Q295" s="66">
        <f t="shared" si="228"/>
        <v>1.159755865660772E-2</v>
      </c>
      <c r="R295" s="66">
        <f t="shared" si="228"/>
        <v>1.1218429269625008E-2</v>
      </c>
      <c r="S295" s="66">
        <f t="shared" si="228"/>
        <v>1.0875489010081596E-2</v>
      </c>
      <c r="T295" s="66">
        <f t="shared" si="228"/>
        <v>1.0577229357706507E-2</v>
      </c>
      <c r="U295" s="66">
        <f t="shared" si="228"/>
        <v>1.0296421912967875E-2</v>
      </c>
      <c r="V295" s="66">
        <f t="shared" si="228"/>
        <v>1.0027455432419691E-2</v>
      </c>
      <c r="W295" s="66">
        <f t="shared" si="228"/>
        <v>9.7664323517357536E-3</v>
      </c>
      <c r="X295" s="66">
        <f t="shared" si="228"/>
        <v>9.5106964963952208E-3</v>
      </c>
      <c r="Y295" s="66">
        <f t="shared" si="228"/>
        <v>9.3009858038399524E-3</v>
      </c>
      <c r="Z295" s="66">
        <f t="shared" si="228"/>
        <v>9.0935449501585042E-3</v>
      </c>
      <c r="AA295" s="66">
        <f t="shared" si="228"/>
        <v>8.8876025260530393E-3</v>
      </c>
      <c r="AB295" s="66">
        <f t="shared" si="228"/>
        <v>8.6826473938003516E-3</v>
      </c>
      <c r="AC295" s="66">
        <f t="shared" si="228"/>
        <v>8.478341840292853E-3</v>
      </c>
    </row>
    <row r="296" spans="1:29" x14ac:dyDescent="0.25">
      <c r="A296" s="59" t="str">
        <f>A259</f>
        <v>Market failure (av. utilization)</v>
      </c>
      <c r="B296" s="66">
        <f t="shared" ref="B296:AC296" si="229">B285/B259-B285/B258</f>
        <v>5.1908170399832532E-2</v>
      </c>
      <c r="C296" s="66">
        <f t="shared" si="229"/>
        <v>5.136529649893809E-2</v>
      </c>
      <c r="D296" s="66">
        <f t="shared" si="229"/>
        <v>5.0740094804857486E-2</v>
      </c>
      <c r="E296" s="66">
        <f t="shared" si="229"/>
        <v>5.0102924044767322E-2</v>
      </c>
      <c r="F296" s="66">
        <f t="shared" si="229"/>
        <v>4.9327828971887006E-2</v>
      </c>
      <c r="G296" s="66">
        <f t="shared" si="229"/>
        <v>4.8388572119925602E-2</v>
      </c>
      <c r="H296" s="66">
        <f t="shared" si="229"/>
        <v>4.7270183870360291E-2</v>
      </c>
      <c r="I296" s="66">
        <f t="shared" si="229"/>
        <v>4.5980783974572698E-2</v>
      </c>
      <c r="J296" s="66">
        <f t="shared" si="229"/>
        <v>4.4751646772358059E-2</v>
      </c>
      <c r="K296" s="66">
        <f t="shared" si="229"/>
        <v>4.3455028141605068E-2</v>
      </c>
      <c r="L296" s="66">
        <f t="shared" si="229"/>
        <v>4.2184283953710142E-2</v>
      </c>
      <c r="M296" s="66">
        <f t="shared" si="229"/>
        <v>4.102728579875424E-2</v>
      </c>
      <c r="N296" s="66">
        <f t="shared" si="229"/>
        <v>4.0043293978039005E-2</v>
      </c>
      <c r="O296" s="66">
        <f t="shared" si="229"/>
        <v>3.9083922731351133E-2</v>
      </c>
      <c r="P296" s="66">
        <f t="shared" si="229"/>
        <v>3.831602262864061E-2</v>
      </c>
      <c r="Q296" s="66">
        <f t="shared" si="229"/>
        <v>3.770992576297786E-2</v>
      </c>
      <c r="R296" s="66">
        <f t="shared" si="229"/>
        <v>3.723080222209553E-2</v>
      </c>
      <c r="S296" s="66">
        <f t="shared" si="229"/>
        <v>3.6846321074126408E-2</v>
      </c>
      <c r="T296" s="66">
        <f t="shared" si="229"/>
        <v>3.65419962128656E-2</v>
      </c>
      <c r="U296" s="66">
        <f t="shared" si="229"/>
        <v>3.6285381294099556E-2</v>
      </c>
      <c r="V296" s="66">
        <f t="shared" si="229"/>
        <v>3.6061715591797688E-2</v>
      </c>
      <c r="W296" s="66">
        <f t="shared" si="229"/>
        <v>3.5860548777484472E-2</v>
      </c>
      <c r="X296" s="66">
        <f t="shared" si="229"/>
        <v>3.5674627674410542E-2</v>
      </c>
      <c r="Y296" s="66">
        <f t="shared" si="229"/>
        <v>3.5525793316426878E-2</v>
      </c>
      <c r="Z296" s="66">
        <f t="shared" si="229"/>
        <v>3.5383838939160417E-2</v>
      </c>
      <c r="AA296" s="66">
        <f t="shared" si="229"/>
        <v>3.5246499406717299E-2</v>
      </c>
      <c r="AB296" s="66">
        <f t="shared" si="229"/>
        <v>3.5112250445371126E-2</v>
      </c>
      <c r="AC296" s="66">
        <f t="shared" si="229"/>
        <v>3.4980069034029261E-2</v>
      </c>
    </row>
    <row r="297" spans="1:29" x14ac:dyDescent="0.25">
      <c r="A297" s="59" t="str">
        <f>A260</f>
        <v>Payload loss (fuel)</v>
      </c>
      <c r="B297" s="66">
        <f>B285/(B258-B260)-B285/B258</f>
        <v>4.2974127049972416E-3</v>
      </c>
      <c r="C297" s="66">
        <f t="shared" ref="C297:AC297" si="230">C285/(C258-C260)-C285/C258</f>
        <v>4.2371747140094451E-3</v>
      </c>
      <c r="D297" s="66">
        <f t="shared" si="230"/>
        <v>4.1641592896750346E-3</v>
      </c>
      <c r="E297" s="66">
        <f t="shared" si="230"/>
        <v>4.0819604659857595E-3</v>
      </c>
      <c r="F297" s="66">
        <f t="shared" si="230"/>
        <v>3.9775082143494178E-3</v>
      </c>
      <c r="G297" s="66">
        <f t="shared" si="230"/>
        <v>3.8455053943116102E-3</v>
      </c>
      <c r="H297" s="66">
        <f t="shared" si="230"/>
        <v>3.6813935389866798E-3</v>
      </c>
      <c r="I297" s="66">
        <f t="shared" si="230"/>
        <v>3.4828493231777446E-3</v>
      </c>
      <c r="J297" s="66">
        <f t="shared" si="230"/>
        <v>3.2652753864498979E-3</v>
      </c>
      <c r="K297" s="66">
        <f t="shared" si="230"/>
        <v>3.0190329585313008E-3</v>
      </c>
      <c r="L297" s="66">
        <f t="shared" si="230"/>
        <v>2.7549261137052861E-3</v>
      </c>
      <c r="M297" s="66">
        <f t="shared" si="230"/>
        <v>2.4870383616679564E-3</v>
      </c>
      <c r="N297" s="66">
        <f t="shared" si="230"/>
        <v>2.2303725632242671E-3</v>
      </c>
      <c r="O297" s="66">
        <f t="shared" si="230"/>
        <v>1.9895357650149201E-3</v>
      </c>
      <c r="P297" s="66">
        <f t="shared" si="230"/>
        <v>1.7841339397057579E-3</v>
      </c>
      <c r="Q297" s="66">
        <f t="shared" si="230"/>
        <v>1.6174864524974228E-3</v>
      </c>
      <c r="R297" s="66">
        <f t="shared" si="230"/>
        <v>1.4879322777276438E-3</v>
      </c>
      <c r="S297" s="66">
        <f t="shared" si="230"/>
        <v>1.3905115734542187E-3</v>
      </c>
      <c r="T297" s="66">
        <f t="shared" si="230"/>
        <v>1.3193501684966094E-3</v>
      </c>
      <c r="U297" s="66">
        <f t="shared" si="230"/>
        <v>1.2677897162792565E-3</v>
      </c>
      <c r="V297" s="66">
        <f t="shared" si="230"/>
        <v>1.2305508717588218E-3</v>
      </c>
      <c r="W297" s="66">
        <f t="shared" si="230"/>
        <v>1.2034831367499707E-3</v>
      </c>
      <c r="X297" s="66">
        <f t="shared" si="230"/>
        <v>1.1834972698776952E-3</v>
      </c>
      <c r="Y297" s="66">
        <f t="shared" si="230"/>
        <v>1.1692579130247252E-3</v>
      </c>
      <c r="Z297" s="66">
        <f t="shared" si="230"/>
        <v>1.1583181964447478E-3</v>
      </c>
      <c r="AA297" s="66">
        <f t="shared" si="230"/>
        <v>1.1496113423901111E-3</v>
      </c>
      <c r="AB297" s="66">
        <f t="shared" si="230"/>
        <v>1.1424089998990777E-3</v>
      </c>
      <c r="AC297" s="66">
        <f t="shared" si="230"/>
        <v>1.1362174731464891E-3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0.13776629264773832</v>
      </c>
      <c r="C299" s="67">
        <f t="shared" ref="C299:AC299" si="232">C288+C289+C290+C291+C292+C293+C294+C295+C296+C297+C298</f>
        <v>0.13630207043029938</v>
      </c>
      <c r="D299" s="67">
        <f t="shared" si="232"/>
        <v>0.1346121540729979</v>
      </c>
      <c r="E299" s="67">
        <f t="shared" si="232"/>
        <v>0.13288209983528232</v>
      </c>
      <c r="F299" s="67">
        <f t="shared" si="232"/>
        <v>0.13077309136067969</v>
      </c>
      <c r="G299" s="67">
        <f t="shared" si="232"/>
        <v>0.12821197599246581</v>
      </c>
      <c r="H299" s="67">
        <f t="shared" si="232"/>
        <v>0.12515548073309263</v>
      </c>
      <c r="I299" s="67">
        <f t="shared" si="232"/>
        <v>0.12162228161438476</v>
      </c>
      <c r="J299" s="67">
        <f t="shared" si="232"/>
        <v>0.11822590456848113</v>
      </c>
      <c r="K299" s="67">
        <f t="shared" si="232"/>
        <v>0.1146263380955117</v>
      </c>
      <c r="L299" s="67">
        <f t="shared" si="232"/>
        <v>0.11107582386819879</v>
      </c>
      <c r="M299" s="67">
        <f t="shared" si="232"/>
        <v>0.10781569950851688</v>
      </c>
      <c r="N299" s="67">
        <f t="shared" si="232"/>
        <v>0.10501422727718901</v>
      </c>
      <c r="O299" s="67">
        <f t="shared" si="232"/>
        <v>0.10229225794444202</v>
      </c>
      <c r="P299" s="67">
        <f t="shared" si="232"/>
        <v>0.10010090757764012</v>
      </c>
      <c r="Q299" s="67">
        <f t="shared" si="232"/>
        <v>9.8366768196476412E-2</v>
      </c>
      <c r="R299" s="67">
        <f t="shared" si="232"/>
        <v>9.6998101415976465E-2</v>
      </c>
      <c r="S299" s="67">
        <f t="shared" si="232"/>
        <v>9.5906332915231179E-2</v>
      </c>
      <c r="T299" s="67">
        <f t="shared" si="232"/>
        <v>9.5048124455288707E-2</v>
      </c>
      <c r="U299" s="67">
        <f t="shared" si="232"/>
        <v>9.4332904730400541E-2</v>
      </c>
      <c r="V299" s="67">
        <f t="shared" si="232"/>
        <v>9.3717220104064969E-2</v>
      </c>
      <c r="W299" s="67">
        <f t="shared" si="232"/>
        <v>9.31698933665219E-2</v>
      </c>
      <c r="X299" s="67">
        <f t="shared" si="232"/>
        <v>9.2669077060665364E-2</v>
      </c>
      <c r="Y299" s="67">
        <f t="shared" si="232"/>
        <v>9.2269921260751175E-2</v>
      </c>
      <c r="Z299" s="67">
        <f t="shared" si="232"/>
        <v>9.1891858154688949E-2</v>
      </c>
      <c r="AA299" s="67">
        <f t="shared" si="232"/>
        <v>9.1527962854660749E-2</v>
      </c>
      <c r="AB299" s="67">
        <f t="shared" si="232"/>
        <v>9.117356492248134E-2</v>
      </c>
      <c r="AC299" s="67">
        <f t="shared" si="232"/>
        <v>9.0825524918120487E-2</v>
      </c>
    </row>
    <row r="301" spans="1:29" x14ac:dyDescent="0.25">
      <c r="B301" s="40"/>
    </row>
    <row r="324" spans="1:44" s="3" customFormat="1" ht="21" x14ac:dyDescent="0.35">
      <c r="A324" s="2" t="str">
        <f>'Parameter Input'!A114</f>
        <v>Road long-haul: Break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Input'!$L$101</f>
        <v>390000</v>
      </c>
      <c r="C334" s="42">
        <f>'Parameter Input'!$M$101</f>
        <v>155000</v>
      </c>
      <c r="D334" s="1" t="s">
        <v>138</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151</v>
      </c>
      <c r="B335" s="60">
        <f>'Parameter Input'!$L$102</f>
        <v>-58500</v>
      </c>
      <c r="C335" s="61">
        <f>'Parameter Input'!$M$102</f>
        <v>-38750</v>
      </c>
      <c r="D335" s="1" t="s">
        <v>138</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137</v>
      </c>
      <c r="B336" s="60">
        <f>'Parameter Input'!B115</f>
        <v>40000</v>
      </c>
      <c r="C336" s="61">
        <f>'Parameter Input'!C115</f>
        <v>40000</v>
      </c>
      <c r="D336" s="1" t="s">
        <v>138</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148</v>
      </c>
      <c r="B337" s="60">
        <f>'Parameter Input'!B116</f>
        <v>-10000</v>
      </c>
      <c r="C337" s="61">
        <f>'Parameter Input'!C116</f>
        <v>-10000</v>
      </c>
      <c r="D337" s="1" t="s">
        <v>138</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203</v>
      </c>
      <c r="B338" s="45">
        <f>'Parameter Input'!$L$108</f>
        <v>0.06</v>
      </c>
      <c r="C338" s="46">
        <f>'Parameter Input'!$M$108</f>
        <v>0.06</v>
      </c>
      <c r="D338" s="1" t="s">
        <v>180</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160</v>
      </c>
      <c r="B339" s="60">
        <f>'Parameter Input'!B117</f>
        <v>70000</v>
      </c>
      <c r="C339" s="61">
        <f>'Parameter Input'!C117</f>
        <v>70000</v>
      </c>
      <c r="D339" s="1" t="s">
        <v>161</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175</v>
      </c>
      <c r="B340" s="43">
        <f>'Parameter Input'!$L$104</f>
        <v>26000</v>
      </c>
      <c r="C340" s="44">
        <f>'Parameter Input'!$M$104</f>
        <v>18000</v>
      </c>
      <c r="D340" s="1" t="s">
        <v>161</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199</v>
      </c>
      <c r="B341" s="60">
        <f>'Parameter Input'!B122</f>
        <v>0.11</v>
      </c>
      <c r="C341" s="61">
        <f>'Parameter Input'!C122</f>
        <v>0.11</v>
      </c>
      <c r="D341" s="1" t="s">
        <v>200</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183</v>
      </c>
      <c r="B342" s="47">
        <f>'Parameter Input'!$L$105</f>
        <v>2.5299999999999998</v>
      </c>
      <c r="C342" s="48">
        <f>'Parameter Input'!$M$105</f>
        <v>1.79</v>
      </c>
      <c r="D342" s="1" t="s">
        <v>184</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191</v>
      </c>
      <c r="B343" s="45">
        <f>'Parameter Input'!$L$106</f>
        <v>0.2544561408768215</v>
      </c>
      <c r="C343" s="46">
        <f>'Parameter Input'!$M$106</f>
        <v>0.10949010032952979</v>
      </c>
      <c r="D343" s="1" t="s">
        <v>94</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458</v>
      </c>
      <c r="B344" s="115">
        <f>'Parameter Input'!$L$109</f>
        <v>0</v>
      </c>
      <c r="C344" s="116">
        <f>'Parameter Input'!$M$109</f>
        <v>0</v>
      </c>
      <c r="D344" s="1" t="s">
        <v>200</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43">
        <f>'Parameter Input'!$L$103</f>
        <v>8</v>
      </c>
      <c r="C345" s="44">
        <f>'Parameter Input'!$M$103</f>
        <v>8</v>
      </c>
      <c r="D345" s="1" t="s">
        <v>165</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194</v>
      </c>
      <c r="B346" s="60">
        <f>'Parameter Input'!B121</f>
        <v>10</v>
      </c>
      <c r="C346" s="61">
        <f>'Parameter Input'!C121</f>
        <v>10</v>
      </c>
      <c r="D346" s="1" t="s">
        <v>165</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502</v>
      </c>
      <c r="B347" s="43">
        <f>'Parameter Input'!B118</f>
        <v>25</v>
      </c>
      <c r="C347" s="44">
        <f>'Parameter Input'!C118</f>
        <v>25</v>
      </c>
      <c r="D347" s="1" t="s">
        <v>172</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179</v>
      </c>
      <c r="B348" s="45">
        <f>'Parameter Input'!B119</f>
        <v>0.6133333333333334</v>
      </c>
      <c r="C348" s="46">
        <f>'Parameter Input'!C119</f>
        <v>0.6133333333333334</v>
      </c>
      <c r="D348" s="1" t="s">
        <v>180</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197</v>
      </c>
      <c r="B349" s="72">
        <f>'Parameter Input'!$L$107</f>
        <v>0.05</v>
      </c>
      <c r="C349" s="73">
        <f>'Parameter Input'!$M$107</f>
        <v>0.02</v>
      </c>
      <c r="D349" s="1" t="s">
        <v>180</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188</v>
      </c>
      <c r="B350" s="49">
        <f>'Parameter Input'!B120</f>
        <v>78000</v>
      </c>
      <c r="C350" s="50">
        <f>'Parameter Input'!C120</f>
        <v>78000</v>
      </c>
      <c r="D350" s="1" t="s">
        <v>189</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197</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38433.361886657658</v>
      </c>
      <c r="C380" s="62">
        <f t="shared" ref="C380:AC380" si="283">C362*C363*C370</f>
        <v>37258.962320111837</v>
      </c>
      <c r="D380" s="62">
        <f t="shared" si="283"/>
        <v>36026.956179781271</v>
      </c>
      <c r="E380" s="62">
        <f t="shared" si="283"/>
        <v>35018.27276174759</v>
      </c>
      <c r="F380" s="62">
        <f t="shared" si="283"/>
        <v>33913.852246275004</v>
      </c>
      <c r="G380" s="62">
        <f t="shared" si="283"/>
        <v>32698.871979879656</v>
      </c>
      <c r="H380" s="62">
        <f t="shared" si="283"/>
        <v>31368.150932048789</v>
      </c>
      <c r="I380" s="62">
        <f t="shared" si="283"/>
        <v>29934.125971677444</v>
      </c>
      <c r="J380" s="62">
        <f t="shared" si="283"/>
        <v>29020.524740390563</v>
      </c>
      <c r="K380" s="62">
        <f t="shared" si="283"/>
        <v>28059.059993518622</v>
      </c>
      <c r="L380" s="62">
        <f t="shared" si="283"/>
        <v>27117.626777514281</v>
      </c>
      <c r="M380" s="62">
        <f t="shared" si="283"/>
        <v>26259.96016652371</v>
      </c>
      <c r="N380" s="62">
        <f t="shared" si="283"/>
        <v>25528.875304044108</v>
      </c>
      <c r="O380" s="62">
        <f t="shared" si="283"/>
        <v>24413.342055432349</v>
      </c>
      <c r="P380" s="62">
        <f t="shared" si="283"/>
        <v>23451.230456486996</v>
      </c>
      <c r="Q380" s="62">
        <f t="shared" si="283"/>
        <v>22615.239380385054</v>
      </c>
      <c r="R380" s="62">
        <f t="shared" si="283"/>
        <v>21875.937075768765</v>
      </c>
      <c r="S380" s="62">
        <f t="shared" si="283"/>
        <v>21207.203569659112</v>
      </c>
      <c r="T380" s="62">
        <f t="shared" si="283"/>
        <v>20625.59724752769</v>
      </c>
      <c r="U380" s="62">
        <f t="shared" si="283"/>
        <v>20078.022730287357</v>
      </c>
      <c r="V380" s="62">
        <f t="shared" si="283"/>
        <v>19553.538093218398</v>
      </c>
      <c r="W380" s="62">
        <f t="shared" si="283"/>
        <v>19044.543085884721</v>
      </c>
      <c r="X380" s="62">
        <f t="shared" si="283"/>
        <v>18545.85816797068</v>
      </c>
      <c r="Y380" s="62">
        <f t="shared" si="283"/>
        <v>18136.922317487904</v>
      </c>
      <c r="Z380" s="62">
        <f t="shared" si="283"/>
        <v>17732.412652809082</v>
      </c>
      <c r="AA380" s="62">
        <f t="shared" si="283"/>
        <v>17330.824925803427</v>
      </c>
      <c r="AB380" s="62">
        <f t="shared" si="283"/>
        <v>16931.162417910684</v>
      </c>
      <c r="AC380" s="62">
        <f t="shared" si="283"/>
        <v>16532.766588571063</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198842.01619909861</v>
      </c>
      <c r="C382" s="64">
        <f t="shared" ref="C382:AC382" si="285">C373+C374+C375+C376+C377+C378+C379+C380+C381</f>
        <v>196988.12452139353</v>
      </c>
      <c r="D382" s="64">
        <f t="shared" si="285"/>
        <v>194811.3776832771</v>
      </c>
      <c r="E382" s="64">
        <f t="shared" si="285"/>
        <v>192507.49011139877</v>
      </c>
      <c r="F382" s="64">
        <f t="shared" si="285"/>
        <v>189662.45400162507</v>
      </c>
      <c r="G382" s="64">
        <f t="shared" si="285"/>
        <v>186172.1528912753</v>
      </c>
      <c r="H382" s="64">
        <f t="shared" si="285"/>
        <v>181976.04981962225</v>
      </c>
      <c r="I382" s="64">
        <f t="shared" si="285"/>
        <v>177103.6486814681</v>
      </c>
      <c r="J382" s="64">
        <f t="shared" si="285"/>
        <v>172302.0222557559</v>
      </c>
      <c r="K382" s="64">
        <f t="shared" si="285"/>
        <v>167235.98526329515</v>
      </c>
      <c r="L382" s="64">
        <f t="shared" si="285"/>
        <v>162270.75010610814</v>
      </c>
      <c r="M382" s="64">
        <f t="shared" si="285"/>
        <v>157750.13376391248</v>
      </c>
      <c r="N382" s="64">
        <f t="shared" si="285"/>
        <v>153906.0632439811</v>
      </c>
      <c r="O382" s="64">
        <f t="shared" si="285"/>
        <v>150297.58598789497</v>
      </c>
      <c r="P382" s="64">
        <f t="shared" si="285"/>
        <v>147433.24746649581</v>
      </c>
      <c r="Q382" s="64">
        <f t="shared" si="285"/>
        <v>145198.96704357065</v>
      </c>
      <c r="R382" s="64">
        <f t="shared" si="285"/>
        <v>143459.90808455841</v>
      </c>
      <c r="S382" s="64">
        <f t="shared" si="285"/>
        <v>142090.49280743051</v>
      </c>
      <c r="T382" s="64">
        <f t="shared" si="285"/>
        <v>141024.67231425803</v>
      </c>
      <c r="U382" s="64">
        <f t="shared" si="285"/>
        <v>140145.72591045668</v>
      </c>
      <c r="V382" s="64">
        <f t="shared" si="285"/>
        <v>139395.98057610428</v>
      </c>
      <c r="W382" s="64">
        <f t="shared" si="285"/>
        <v>138734.55416148587</v>
      </c>
      <c r="X382" s="64">
        <f t="shared" si="285"/>
        <v>138133.03885707603</v>
      </c>
      <c r="Y382" s="64">
        <f t="shared" si="285"/>
        <v>137654.87810122233</v>
      </c>
      <c r="Z382" s="64">
        <f t="shared" si="285"/>
        <v>137203.83202039087</v>
      </c>
      <c r="AA382" s="64">
        <f t="shared" si="285"/>
        <v>136770.9897586446</v>
      </c>
      <c r="AB382" s="64">
        <f t="shared" si="285"/>
        <v>136350.34957351687</v>
      </c>
      <c r="AC382" s="64">
        <f t="shared" si="285"/>
        <v>135937.87977318512</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0.4927354088033033</v>
      </c>
      <c r="C392" s="66">
        <f t="shared" ref="C392:AC392" si="294">C362*C363*C370/C370</f>
        <v>0.47767900410399794</v>
      </c>
      <c r="D392" s="66">
        <f t="shared" si="294"/>
        <v>0.46188405358693935</v>
      </c>
      <c r="E392" s="66">
        <f t="shared" si="294"/>
        <v>0.4489522148941999</v>
      </c>
      <c r="F392" s="66">
        <f t="shared" si="294"/>
        <v>0.43479297751634621</v>
      </c>
      <c r="G392" s="66">
        <f t="shared" si="294"/>
        <v>0.41921630743435456</v>
      </c>
      <c r="H392" s="66">
        <f t="shared" si="294"/>
        <v>0.40215578118011269</v>
      </c>
      <c r="I392" s="66">
        <f t="shared" si="294"/>
        <v>0.38377084579073645</v>
      </c>
      <c r="J392" s="66">
        <f t="shared" si="294"/>
        <v>0.3720580094921867</v>
      </c>
      <c r="K392" s="66">
        <f t="shared" si="294"/>
        <v>0.35973153837844385</v>
      </c>
      <c r="L392" s="66">
        <f t="shared" si="294"/>
        <v>0.34766188176300361</v>
      </c>
      <c r="M392" s="66">
        <f t="shared" si="294"/>
        <v>0.33666615598107319</v>
      </c>
      <c r="N392" s="66">
        <f t="shared" si="294"/>
        <v>0.3272932731287706</v>
      </c>
      <c r="O392" s="66">
        <f t="shared" si="294"/>
        <v>0.31299156481323526</v>
      </c>
      <c r="P392" s="66">
        <f t="shared" si="294"/>
        <v>0.30065680072419226</v>
      </c>
      <c r="Q392" s="66">
        <f t="shared" si="294"/>
        <v>0.28993896641519301</v>
      </c>
      <c r="R392" s="66">
        <f t="shared" si="294"/>
        <v>0.28046073174062519</v>
      </c>
      <c r="S392" s="66">
        <f t="shared" si="294"/>
        <v>0.2718872252520399</v>
      </c>
      <c r="T392" s="66">
        <f t="shared" si="294"/>
        <v>0.2644307339426627</v>
      </c>
      <c r="U392" s="66">
        <f t="shared" si="294"/>
        <v>0.25741054782419687</v>
      </c>
      <c r="V392" s="66">
        <f t="shared" si="294"/>
        <v>0.2506863858104923</v>
      </c>
      <c r="W392" s="66">
        <f t="shared" si="294"/>
        <v>0.24416080879339386</v>
      </c>
      <c r="X392" s="66">
        <f t="shared" si="294"/>
        <v>0.23776741240988053</v>
      </c>
      <c r="Y392" s="66">
        <f t="shared" si="294"/>
        <v>0.23252464509599877</v>
      </c>
      <c r="Z392" s="66">
        <f t="shared" si="294"/>
        <v>0.22733862375396258</v>
      </c>
      <c r="AA392" s="66">
        <f t="shared" si="294"/>
        <v>0.22219006315132597</v>
      </c>
      <c r="AB392" s="66">
        <f t="shared" si="294"/>
        <v>0.21706618484500878</v>
      </c>
      <c r="AC392" s="66">
        <f t="shared" si="294"/>
        <v>0.21195854600732131</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2.5840945559423885</v>
      </c>
      <c r="C394" s="76">
        <f t="shared" ref="C394:AC394" si="297">C385+C386+C387-C388+C389+C390+C391+C392+C393</f>
        <v>2.5603267139205279</v>
      </c>
      <c r="D394" s="76">
        <f t="shared" si="297"/>
        <v>2.5324197031754458</v>
      </c>
      <c r="E394" s="76">
        <f t="shared" si="297"/>
        <v>2.5028826830231599</v>
      </c>
      <c r="F394" s="76">
        <f t="shared" si="297"/>
        <v>2.4664078611029843</v>
      </c>
      <c r="G394" s="76">
        <f t="shared" si="297"/>
        <v>2.4216604109702944</v>
      </c>
      <c r="H394" s="76">
        <f t="shared" si="297"/>
        <v>2.3678642177439735</v>
      </c>
      <c r="I394" s="76">
        <f t="shared" si="297"/>
        <v>2.3053975364855872</v>
      </c>
      <c r="J394" s="76">
        <f t="shared" si="297"/>
        <v>2.2438382233354308</v>
      </c>
      <c r="K394" s="76">
        <f t="shared" si="297"/>
        <v>2.1788890311243954</v>
      </c>
      <c r="L394" s="76">
        <f t="shared" si="297"/>
        <v>2.115232170134818</v>
      </c>
      <c r="M394" s="76">
        <f t="shared" si="297"/>
        <v>2.0572755503630793</v>
      </c>
      <c r="N394" s="76">
        <f t="shared" si="297"/>
        <v>2.0079925949793433</v>
      </c>
      <c r="O394" s="76">
        <f t="shared" si="297"/>
        <v>1.961730066055162</v>
      </c>
      <c r="P394" s="76">
        <f t="shared" si="297"/>
        <v>1.9250077773192757</v>
      </c>
      <c r="Q394" s="76">
        <f t="shared" si="297"/>
        <v>1.8963631565125427</v>
      </c>
      <c r="R394" s="76">
        <f t="shared" si="297"/>
        <v>1.8740675288328985</v>
      </c>
      <c r="S394" s="76">
        <f t="shared" si="297"/>
        <v>1.856510922715874</v>
      </c>
      <c r="T394" s="76">
        <f t="shared" si="297"/>
        <v>1.8428465574187913</v>
      </c>
      <c r="U394" s="76">
        <f t="shared" si="297"/>
        <v>1.8315780137803122</v>
      </c>
      <c r="V394" s="76">
        <f t="shared" si="297"/>
        <v>1.8219658941091277</v>
      </c>
      <c r="W394" s="76">
        <f t="shared" si="297"/>
        <v>1.8134860682806861</v>
      </c>
      <c r="X394" s="76">
        <f t="shared" si="297"/>
        <v>1.8057743336087657</v>
      </c>
      <c r="Y394" s="76">
        <f t="shared" si="297"/>
        <v>1.7996440675080769</v>
      </c>
      <c r="Z394" s="76">
        <f t="shared" si="297"/>
        <v>1.7938614254461351</v>
      </c>
      <c r="AA394" s="76">
        <f t="shared" si="297"/>
        <v>1.7883121656801575</v>
      </c>
      <c r="AB394" s="76">
        <f t="shared" si="297"/>
        <v>1.7829193427939047</v>
      </c>
      <c r="AC394" s="76">
        <f t="shared" si="297"/>
        <v>1.7776312684306768</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1.9709416352132133E-2</v>
      </c>
      <c r="C404" s="66">
        <f t="shared" ref="C404:AC404" si="306">C362*C363*C370/C370/(C367)</f>
        <v>1.9107160164159916E-2</v>
      </c>
      <c r="D404" s="66">
        <f t="shared" si="306"/>
        <v>1.8475362143477572E-2</v>
      </c>
      <c r="E404" s="66">
        <f t="shared" si="306"/>
        <v>1.7958088595767994E-2</v>
      </c>
      <c r="F404" s="66">
        <f t="shared" si="306"/>
        <v>1.739171910065385E-2</v>
      </c>
      <c r="G404" s="66">
        <f t="shared" si="306"/>
        <v>1.6768652297374183E-2</v>
      </c>
      <c r="H404" s="66">
        <f t="shared" si="306"/>
        <v>1.6086231247204506E-2</v>
      </c>
      <c r="I404" s="66">
        <f t="shared" si="306"/>
        <v>1.5350833831629457E-2</v>
      </c>
      <c r="J404" s="66">
        <f t="shared" si="306"/>
        <v>1.4882320379687468E-2</v>
      </c>
      <c r="K404" s="66">
        <f t="shared" si="306"/>
        <v>1.4389261535137754E-2</v>
      </c>
      <c r="L404" s="66">
        <f t="shared" si="306"/>
        <v>1.3906475270520144E-2</v>
      </c>
      <c r="M404" s="66">
        <f t="shared" si="306"/>
        <v>1.3466646239242928E-2</v>
      </c>
      <c r="N404" s="66">
        <f t="shared" si="306"/>
        <v>1.3091730925150823E-2</v>
      </c>
      <c r="O404" s="66">
        <f t="shared" si="306"/>
        <v>1.251966259252941E-2</v>
      </c>
      <c r="P404" s="66">
        <f t="shared" si="306"/>
        <v>1.202627202896769E-2</v>
      </c>
      <c r="Q404" s="66">
        <f t="shared" si="306"/>
        <v>1.159755865660772E-2</v>
      </c>
      <c r="R404" s="66">
        <f t="shared" si="306"/>
        <v>1.1218429269625008E-2</v>
      </c>
      <c r="S404" s="66">
        <f t="shared" si="306"/>
        <v>1.0875489010081596E-2</v>
      </c>
      <c r="T404" s="66">
        <f t="shared" si="306"/>
        <v>1.0577229357706507E-2</v>
      </c>
      <c r="U404" s="66">
        <f t="shared" si="306"/>
        <v>1.0296421912967875E-2</v>
      </c>
      <c r="V404" s="66">
        <f t="shared" si="306"/>
        <v>1.0027455432419691E-2</v>
      </c>
      <c r="W404" s="66">
        <f t="shared" si="306"/>
        <v>9.7664323517357536E-3</v>
      </c>
      <c r="X404" s="66">
        <f t="shared" si="306"/>
        <v>9.5106964963952208E-3</v>
      </c>
      <c r="Y404" s="66">
        <f t="shared" si="306"/>
        <v>9.3009858038399507E-3</v>
      </c>
      <c r="Z404" s="66">
        <f t="shared" si="306"/>
        <v>9.0935449501585025E-3</v>
      </c>
      <c r="AA404" s="66">
        <f t="shared" si="306"/>
        <v>8.8876025260530393E-3</v>
      </c>
      <c r="AB404" s="66">
        <f t="shared" si="306"/>
        <v>8.6826473938003516E-3</v>
      </c>
      <c r="AC404" s="66">
        <f t="shared" si="306"/>
        <v>8.478341840292853E-3</v>
      </c>
    </row>
    <row r="405" spans="1:29" x14ac:dyDescent="0.25">
      <c r="A405" s="59" t="str">
        <f>A368</f>
        <v>Market failure (av. utilization)</v>
      </c>
      <c r="B405" s="66">
        <f t="shared" ref="B405:AC405" si="307">B394/B368-B394/B367</f>
        <v>6.5164123584634109E-2</v>
      </c>
      <c r="C405" s="66">
        <f t="shared" si="307"/>
        <v>6.4564760611908939E-2</v>
      </c>
      <c r="D405" s="66">
        <f t="shared" si="307"/>
        <v>6.3861018601815561E-2</v>
      </c>
      <c r="E405" s="66">
        <f t="shared" si="307"/>
        <v>6.3116172006670954E-2</v>
      </c>
      <c r="F405" s="66">
        <f t="shared" si="307"/>
        <v>6.219637214955348E-2</v>
      </c>
      <c r="G405" s="66">
        <f t="shared" si="307"/>
        <v>6.1067958189685662E-2</v>
      </c>
      <c r="H405" s="66">
        <f t="shared" si="307"/>
        <v>5.9711358534413228E-2</v>
      </c>
      <c r="I405" s="66">
        <f t="shared" si="307"/>
        <v>5.8136111789636513E-2</v>
      </c>
      <c r="J405" s="66">
        <f t="shared" si="307"/>
        <v>5.6583746501502136E-2</v>
      </c>
      <c r="K405" s="66">
        <f t="shared" si="307"/>
        <v>5.4945897306615171E-2</v>
      </c>
      <c r="L405" s="66">
        <f t="shared" si="307"/>
        <v>5.3340637333834526E-2</v>
      </c>
      <c r="M405" s="66">
        <f t="shared" si="307"/>
        <v>5.1879122574373285E-2</v>
      </c>
      <c r="N405" s="66">
        <f t="shared" si="307"/>
        <v>5.0636335003826902E-2</v>
      </c>
      <c r="O405" s="66">
        <f t="shared" si="307"/>
        <v>4.9469714709217114E-2</v>
      </c>
      <c r="P405" s="66">
        <f t="shared" si="307"/>
        <v>4.8543674384573021E-2</v>
      </c>
      <c r="Q405" s="66">
        <f t="shared" si="307"/>
        <v>4.7821331772924969E-2</v>
      </c>
      <c r="R405" s="66">
        <f t="shared" si="307"/>
        <v>4.7259094205351335E-2</v>
      </c>
      <c r="S405" s="66">
        <f t="shared" si="307"/>
        <v>4.6816362398922021E-2</v>
      </c>
      <c r="T405" s="66">
        <f t="shared" si="307"/>
        <v>4.6471782752299934E-2</v>
      </c>
      <c r="U405" s="66">
        <f t="shared" si="307"/>
        <v>4.6187619477938299E-2</v>
      </c>
      <c r="V405" s="66">
        <f t="shared" si="307"/>
        <v>4.5945226894925806E-2</v>
      </c>
      <c r="W405" s="66">
        <f t="shared" si="307"/>
        <v>4.5731387808817275E-2</v>
      </c>
      <c r="X405" s="66">
        <f t="shared" si="307"/>
        <v>4.5536917977960154E-2</v>
      </c>
      <c r="Y405" s="66">
        <f t="shared" si="307"/>
        <v>4.5382328658899324E-2</v>
      </c>
      <c r="Z405" s="66">
        <f t="shared" si="307"/>
        <v>4.5236505511250358E-2</v>
      </c>
      <c r="AA405" s="66">
        <f t="shared" si="307"/>
        <v>4.5096567656282227E-2</v>
      </c>
      <c r="AB405" s="66">
        <f t="shared" si="307"/>
        <v>4.4960574731324532E-2</v>
      </c>
      <c r="AC405" s="66">
        <f t="shared" si="307"/>
        <v>4.4827223290860529E-2</v>
      </c>
    </row>
    <row r="406" spans="1:29" x14ac:dyDescent="0.25">
      <c r="A406" s="59" t="str">
        <f>A369</f>
        <v>Payload loss (fuel)</v>
      </c>
      <c r="B406" s="66">
        <f>B394/(B367-B369)-B394/B367</f>
        <v>5.3948565408023091E-3</v>
      </c>
      <c r="C406" s="66">
        <f t="shared" ref="C406:AC406" si="308">C394/(C367-C369)-C394/C367</f>
        <v>5.3260117185638944E-3</v>
      </c>
      <c r="D406" s="66">
        <f t="shared" si="308"/>
        <v>5.2409727431845937E-3</v>
      </c>
      <c r="E406" s="66">
        <f t="shared" si="308"/>
        <v>5.142169320604642E-3</v>
      </c>
      <c r="F406" s="66">
        <f t="shared" si="308"/>
        <v>5.0151524257954494E-3</v>
      </c>
      <c r="G406" s="66">
        <f t="shared" si="308"/>
        <v>4.8531533862171961E-3</v>
      </c>
      <c r="H406" s="66">
        <f t="shared" si="308"/>
        <v>4.6503100160466965E-3</v>
      </c>
      <c r="I406" s="66">
        <f t="shared" si="308"/>
        <v>4.4035638389874343E-3</v>
      </c>
      <c r="J406" s="66">
        <f t="shared" si="308"/>
        <v>4.1285970025710522E-3</v>
      </c>
      <c r="K406" s="66">
        <f t="shared" si="308"/>
        <v>3.8173597394573211E-3</v>
      </c>
      <c r="L406" s="66">
        <f t="shared" si="308"/>
        <v>3.4835133120646455E-3</v>
      </c>
      <c r="M406" s="66">
        <f t="shared" si="308"/>
        <v>3.1448672633386382E-3</v>
      </c>
      <c r="N406" s="66">
        <f t="shared" si="308"/>
        <v>2.8203946547630809E-3</v>
      </c>
      <c r="O406" s="66">
        <f t="shared" si="308"/>
        <v>2.5182161825359206E-3</v>
      </c>
      <c r="P406" s="66">
        <f t="shared" si="308"/>
        <v>2.2603707557788955E-3</v>
      </c>
      <c r="Q406" s="66">
        <f t="shared" si="308"/>
        <v>2.0511935443540547E-3</v>
      </c>
      <c r="R406" s="66">
        <f t="shared" si="308"/>
        <v>1.8887138467991865E-3</v>
      </c>
      <c r="S406" s="66">
        <f t="shared" si="308"/>
        <v>1.7667623753200301E-3</v>
      </c>
      <c r="T406" s="66">
        <f t="shared" si="308"/>
        <v>1.6778654906378088E-3</v>
      </c>
      <c r="U406" s="66">
        <f t="shared" si="308"/>
        <v>1.6137680494230228E-3</v>
      </c>
      <c r="V406" s="66">
        <f t="shared" si="308"/>
        <v>1.5678105736480069E-3</v>
      </c>
      <c r="W406" s="66">
        <f t="shared" si="308"/>
        <v>1.5347493533796747E-3</v>
      </c>
      <c r="X406" s="66">
        <f t="shared" si="308"/>
        <v>1.5106763999731265E-3</v>
      </c>
      <c r="Y406" s="66">
        <f t="shared" si="308"/>
        <v>1.4936653609187861E-3</v>
      </c>
      <c r="Z406" s="66">
        <f t="shared" si="308"/>
        <v>1.4808530970127076E-3</v>
      </c>
      <c r="AA406" s="66">
        <f t="shared" si="308"/>
        <v>1.4708843871923533E-3</v>
      </c>
      <c r="AB406" s="66">
        <f t="shared" si="308"/>
        <v>1.4628331867708871E-3</v>
      </c>
      <c r="AC406" s="66">
        <f t="shared" si="308"/>
        <v>1.4560712938035125E-3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0.17252924484292287</v>
      </c>
      <c r="C408" s="67">
        <f t="shared" ref="C408:AC408" si="310">C397+C398+C399+C400+C401+C402+C403+C404+C405+C406+C407</f>
        <v>0.17091032336708489</v>
      </c>
      <c r="D408" s="67">
        <f t="shared" si="310"/>
        <v>0.16900526195180893</v>
      </c>
      <c r="E408" s="67">
        <f t="shared" si="310"/>
        <v>0.16698013112799293</v>
      </c>
      <c r="F408" s="67">
        <f t="shared" si="310"/>
        <v>0.16447432149925922</v>
      </c>
      <c r="G408" s="67">
        <f t="shared" si="310"/>
        <v>0.16139401049450558</v>
      </c>
      <c r="H408" s="67">
        <f t="shared" si="310"/>
        <v>0.1576827197400098</v>
      </c>
      <c r="I408" s="67">
        <f t="shared" si="310"/>
        <v>0.15336205956783835</v>
      </c>
      <c r="J408" s="67">
        <f t="shared" si="310"/>
        <v>0.14907235491728138</v>
      </c>
      <c r="K408" s="67">
        <f t="shared" si="310"/>
        <v>0.14452530077083922</v>
      </c>
      <c r="L408" s="67">
        <f t="shared" si="310"/>
        <v>0.14003991993108283</v>
      </c>
      <c r="M408" s="67">
        <f t="shared" si="310"/>
        <v>0.13592149433202599</v>
      </c>
      <c r="N408" s="67">
        <f t="shared" si="310"/>
        <v>0.13238291593755463</v>
      </c>
      <c r="O408" s="67">
        <f t="shared" si="310"/>
        <v>0.12906361601375047</v>
      </c>
      <c r="P408" s="67">
        <f t="shared" si="310"/>
        <v>0.12641083871291386</v>
      </c>
      <c r="Q408" s="67">
        <f t="shared" si="310"/>
        <v>0.12433353405757167</v>
      </c>
      <c r="R408" s="67">
        <f t="shared" si="310"/>
        <v>0.12271699168525739</v>
      </c>
      <c r="S408" s="67">
        <f t="shared" si="310"/>
        <v>0.12145004416266796</v>
      </c>
      <c r="T408" s="67">
        <f t="shared" si="310"/>
        <v>0.12046999301948033</v>
      </c>
      <c r="U408" s="67">
        <f t="shared" si="310"/>
        <v>0.11967099055836475</v>
      </c>
      <c r="V408" s="67">
        <f t="shared" si="310"/>
        <v>0.11899815571272986</v>
      </c>
      <c r="W408" s="67">
        <f t="shared" si="310"/>
        <v>0.11841206237321535</v>
      </c>
      <c r="X408" s="67">
        <f t="shared" si="310"/>
        <v>0.11788505020207485</v>
      </c>
      <c r="Y408" s="67">
        <f t="shared" si="310"/>
        <v>0.11746823919993211</v>
      </c>
      <c r="Z408" s="67">
        <f t="shared" si="310"/>
        <v>0.11707829810589941</v>
      </c>
      <c r="AA408" s="67">
        <f t="shared" si="310"/>
        <v>0.11670642115047182</v>
      </c>
      <c r="AB408" s="67">
        <f t="shared" si="310"/>
        <v>0.11634666410964255</v>
      </c>
      <c r="AC408" s="67">
        <f t="shared" si="310"/>
        <v>0.11599502780168205</v>
      </c>
    </row>
    <row r="410" spans="1:29" x14ac:dyDescent="0.25">
      <c r="B410" s="40"/>
    </row>
    <row r="429" spans="1:1" s="3" customFormat="1" ht="21" x14ac:dyDescent="0.35">
      <c r="A429" s="2" t="str">
        <f>'Parameter Input'!A128</f>
        <v>Road long-haul:  Neo bulk</v>
      </c>
    </row>
    <row r="430" spans="1:1" s="3" customFormat="1" ht="21" x14ac:dyDescent="0.35">
      <c r="A430" s="2" t="s">
        <v>95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Input'!$L$101</f>
        <v>390000</v>
      </c>
      <c r="C439" s="42">
        <f>'Parameter Input'!$M$101</f>
        <v>155000</v>
      </c>
      <c r="D439" s="1" t="s">
        <v>138</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151</v>
      </c>
      <c r="B440" s="60">
        <f>'Parameter Input'!$L$102</f>
        <v>-58500</v>
      </c>
      <c r="C440" s="61">
        <f>'Parameter Input'!$M$102</f>
        <v>-38750</v>
      </c>
      <c r="D440" s="1" t="s">
        <v>138</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137</v>
      </c>
      <c r="B441" s="60">
        <f>'Parameter Input'!B129</f>
        <v>35000</v>
      </c>
      <c r="C441" s="61">
        <f>'Parameter Input'!C129</f>
        <v>35000</v>
      </c>
      <c r="D441" s="1" t="s">
        <v>138</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148</v>
      </c>
      <c r="B442" s="60">
        <f>'Parameter Input'!B130</f>
        <v>-8750</v>
      </c>
      <c r="C442" s="61">
        <f>'Parameter Input'!C130</f>
        <v>-8750</v>
      </c>
      <c r="D442" s="1" t="s">
        <v>138</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203</v>
      </c>
      <c r="B443" s="45">
        <f>'Parameter Input'!$L$108</f>
        <v>0.06</v>
      </c>
      <c r="C443" s="46">
        <f>'Parameter Input'!$M$108</f>
        <v>0.06</v>
      </c>
      <c r="D443" s="1" t="s">
        <v>180</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160</v>
      </c>
      <c r="B444" s="60">
        <f>'Parameter Input'!B131</f>
        <v>70000</v>
      </c>
      <c r="C444" s="61">
        <f>'Parameter Input'!C131</f>
        <v>70000</v>
      </c>
      <c r="D444" s="1" t="s">
        <v>161</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175</v>
      </c>
      <c r="B445" s="43">
        <f>'Parameter Input'!$L$104</f>
        <v>26000</v>
      </c>
      <c r="C445" s="44">
        <f>'Parameter Input'!$M$104</f>
        <v>18000</v>
      </c>
      <c r="D445" s="1" t="s">
        <v>161</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199</v>
      </c>
      <c r="B446" s="60">
        <f>'Parameter Input'!B136</f>
        <v>0.11</v>
      </c>
      <c r="C446" s="61">
        <f>'Parameter Input'!C136</f>
        <v>0.11</v>
      </c>
      <c r="D446" s="1" t="s">
        <v>200</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183</v>
      </c>
      <c r="B447" s="47">
        <f>'Parameter Input'!$L$105</f>
        <v>2.5299999999999998</v>
      </c>
      <c r="C447" s="48">
        <f>'Parameter Input'!$M$105</f>
        <v>1.79</v>
      </c>
      <c r="D447" s="1" t="s">
        <v>184</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191</v>
      </c>
      <c r="B448" s="45">
        <f>'Parameter Input'!$L$106</f>
        <v>0.2544561408768215</v>
      </c>
      <c r="C448" s="46">
        <f>'Parameter Input'!$M$106</f>
        <v>0.10949010032952979</v>
      </c>
      <c r="D448" s="1" t="s">
        <v>94</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458</v>
      </c>
      <c r="B449" s="115">
        <f>'Parameter Input'!$L$109</f>
        <v>0</v>
      </c>
      <c r="C449" s="116">
        <f>'Parameter Input'!$M$109</f>
        <v>0</v>
      </c>
      <c r="D449" s="1" t="s">
        <v>200</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164</v>
      </c>
      <c r="B450" s="43">
        <f>'Parameter Input'!$L$103</f>
        <v>8</v>
      </c>
      <c r="C450" s="44">
        <f>'Parameter Input'!$M$103</f>
        <v>8</v>
      </c>
      <c r="D450" s="1" t="s">
        <v>165</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194</v>
      </c>
      <c r="B451" s="60">
        <f>'Parameter Input'!B135</f>
        <v>10</v>
      </c>
      <c r="C451" s="61">
        <f>'Parameter Input'!C135</f>
        <v>10</v>
      </c>
      <c r="D451" s="1" t="s">
        <v>165</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502</v>
      </c>
      <c r="B452" s="43">
        <f>'Parameter Input'!B132</f>
        <v>25</v>
      </c>
      <c r="C452" s="44">
        <f>'Parameter Input'!C132</f>
        <v>25</v>
      </c>
      <c r="D452" s="1" t="s">
        <v>172</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179</v>
      </c>
      <c r="B453" s="45">
        <f>'Parameter Input'!B133</f>
        <v>0.64</v>
      </c>
      <c r="C453" s="46">
        <f>'Parameter Input'!C133</f>
        <v>0.64</v>
      </c>
      <c r="D453" s="1" t="s">
        <v>180</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197</v>
      </c>
      <c r="B454" s="72">
        <f>'Parameter Input'!$L$107</f>
        <v>0.05</v>
      </c>
      <c r="C454" s="73">
        <f>'Parameter Input'!$M$107</f>
        <v>0.02</v>
      </c>
      <c r="D454" s="1" t="s">
        <v>180</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188</v>
      </c>
      <c r="B455" s="49">
        <f>'Parameter Input'!B134</f>
        <v>90000</v>
      </c>
      <c r="C455" s="50">
        <f>'Parameter Input'!C134</f>
        <v>90000</v>
      </c>
      <c r="D455" s="1" t="s">
        <v>189</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197</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44346.186792297303</v>
      </c>
      <c r="C485" s="62">
        <f t="shared" ref="C485:AC485" si="361">C467*C468*C475</f>
        <v>42991.110369359812</v>
      </c>
      <c r="D485" s="62">
        <f t="shared" si="361"/>
        <v>41569.564822824541</v>
      </c>
      <c r="E485" s="62">
        <f t="shared" si="361"/>
        <v>40405.699340477986</v>
      </c>
      <c r="F485" s="62">
        <f t="shared" si="361"/>
        <v>39131.367976471156</v>
      </c>
      <c r="G485" s="62">
        <f t="shared" si="361"/>
        <v>37729.467669091908</v>
      </c>
      <c r="H485" s="62">
        <f t="shared" si="361"/>
        <v>36194.020306210143</v>
      </c>
      <c r="I485" s="62">
        <f t="shared" si="361"/>
        <v>34539.376121166279</v>
      </c>
      <c r="J485" s="62">
        <f t="shared" si="361"/>
        <v>33485.2208542968</v>
      </c>
      <c r="K485" s="62">
        <f t="shared" si="361"/>
        <v>32375.838454059947</v>
      </c>
      <c r="L485" s="62">
        <f t="shared" si="361"/>
        <v>31289.569358670324</v>
      </c>
      <c r="M485" s="62">
        <f t="shared" si="361"/>
        <v>30299.954038296586</v>
      </c>
      <c r="N485" s="62">
        <f t="shared" si="361"/>
        <v>29456.394581589353</v>
      </c>
      <c r="O485" s="62">
        <f t="shared" si="361"/>
        <v>28169.240833191172</v>
      </c>
      <c r="P485" s="62">
        <f t="shared" si="361"/>
        <v>27059.112065177305</v>
      </c>
      <c r="Q485" s="62">
        <f t="shared" si="361"/>
        <v>26094.506977367371</v>
      </c>
      <c r="R485" s="62">
        <f t="shared" si="361"/>
        <v>25241.465856656268</v>
      </c>
      <c r="S485" s="62">
        <f t="shared" si="361"/>
        <v>24469.85027268359</v>
      </c>
      <c r="T485" s="62">
        <f t="shared" si="361"/>
        <v>23798.766054839642</v>
      </c>
      <c r="U485" s="62">
        <f t="shared" si="361"/>
        <v>23166.949304177717</v>
      </c>
      <c r="V485" s="62">
        <f t="shared" si="361"/>
        <v>22561.774722944308</v>
      </c>
      <c r="W485" s="62">
        <f t="shared" si="361"/>
        <v>21974.472791405446</v>
      </c>
      <c r="X485" s="62">
        <f t="shared" si="361"/>
        <v>21399.067116889244</v>
      </c>
      <c r="Y485" s="62">
        <f t="shared" si="361"/>
        <v>20927.21805863989</v>
      </c>
      <c r="Z485" s="62">
        <f t="shared" si="361"/>
        <v>20460.476137856633</v>
      </c>
      <c r="AA485" s="62">
        <f t="shared" si="361"/>
        <v>19997.105683619338</v>
      </c>
      <c r="AB485" s="62">
        <f t="shared" si="361"/>
        <v>19535.956636050789</v>
      </c>
      <c r="AC485" s="62">
        <f t="shared" si="361"/>
        <v>19076.269140658922</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504</v>
      </c>
      <c r="B487" s="64">
        <f>B478+B479+B480+B481+B482+B483+B484+B485+B486</f>
        <v>205565.33626141184</v>
      </c>
      <c r="C487" s="64">
        <f t="shared" ref="C487:AC487" si="363">C478+C479+C480+C481+C482+C483+C484+C485+C486</f>
        <v>203530.76772731505</v>
      </c>
      <c r="D487" s="64">
        <f t="shared" si="363"/>
        <v>201164.48148299393</v>
      </c>
      <c r="E487" s="64">
        <f t="shared" si="363"/>
        <v>198705.41184680274</v>
      </c>
      <c r="F487" s="64">
        <f t="shared" si="363"/>
        <v>195690.46488849481</v>
      </c>
      <c r="G487" s="64">
        <f t="shared" si="363"/>
        <v>192013.24373716113</v>
      </c>
      <c r="H487" s="64">
        <f t="shared" si="363"/>
        <v>187612.41435045714</v>
      </c>
      <c r="I487" s="64">
        <f t="shared" si="363"/>
        <v>182519.39398763049</v>
      </c>
      <c r="J487" s="64">
        <f t="shared" si="363"/>
        <v>177577.21352633572</v>
      </c>
      <c r="K487" s="64">
        <f t="shared" si="363"/>
        <v>172363.25888051002</v>
      </c>
      <c r="L487" s="64">
        <f t="shared" si="363"/>
        <v>167253.18784393772</v>
      </c>
      <c r="M487" s="64">
        <f t="shared" si="363"/>
        <v>162600.62279235892</v>
      </c>
      <c r="N487" s="64">
        <f t="shared" si="363"/>
        <v>158644.07767819992</v>
      </c>
      <c r="O487" s="64">
        <f t="shared" si="363"/>
        <v>154863.97992232733</v>
      </c>
      <c r="P487" s="64">
        <f t="shared" si="363"/>
        <v>151851.62423185969</v>
      </c>
      <c r="Q487" s="64">
        <f t="shared" si="363"/>
        <v>149488.72979722652</v>
      </c>
      <c r="R487" s="64">
        <f t="shared" si="363"/>
        <v>147635.93202211946</v>
      </c>
      <c r="S487" s="64">
        <f t="shared" si="363"/>
        <v>146163.63466712853</v>
      </c>
      <c r="T487" s="64">
        <f t="shared" si="363"/>
        <v>145008.33627824357</v>
      </c>
      <c r="U487" s="64">
        <f t="shared" si="363"/>
        <v>144045.14764102059</v>
      </c>
      <c r="V487" s="64">
        <f t="shared" si="363"/>
        <v>143214.71236250375</v>
      </c>
      <c r="W487" s="64">
        <f t="shared" si="363"/>
        <v>142474.97902368015</v>
      </c>
      <c r="X487" s="64">
        <f t="shared" si="363"/>
        <v>141796.74296266816</v>
      </c>
      <c r="Y487" s="64">
        <f t="shared" si="363"/>
        <v>141255.66899904783</v>
      </c>
      <c r="Z487" s="64">
        <f t="shared" si="363"/>
        <v>140742.39066211198</v>
      </c>
      <c r="AA487" s="64">
        <f t="shared" si="363"/>
        <v>140247.76567313407</v>
      </c>
      <c r="AB487" s="64">
        <f t="shared" si="363"/>
        <v>139765.63894833054</v>
      </c>
      <c r="AC487" s="64">
        <f t="shared" si="363"/>
        <v>139291.87748194655</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0.49273540880330335</v>
      </c>
      <c r="C497" s="66">
        <f t="shared" ref="C497:AC497" si="372">C467*C468*C475/C475</f>
        <v>0.47767900410399794</v>
      </c>
      <c r="D497" s="66">
        <f t="shared" si="372"/>
        <v>0.46188405358693935</v>
      </c>
      <c r="E497" s="66">
        <f t="shared" si="372"/>
        <v>0.44895221489419984</v>
      </c>
      <c r="F497" s="66">
        <f t="shared" si="372"/>
        <v>0.43479297751634616</v>
      </c>
      <c r="G497" s="66">
        <f t="shared" si="372"/>
        <v>0.41921630743435451</v>
      </c>
      <c r="H497" s="66">
        <f t="shared" si="372"/>
        <v>0.40215578118011269</v>
      </c>
      <c r="I497" s="66">
        <f t="shared" si="372"/>
        <v>0.38377084579073645</v>
      </c>
      <c r="J497" s="66">
        <f t="shared" si="372"/>
        <v>0.37205800949218665</v>
      </c>
      <c r="K497" s="66">
        <f t="shared" si="372"/>
        <v>0.35973153837844385</v>
      </c>
      <c r="L497" s="66">
        <f t="shared" si="372"/>
        <v>0.34766188176300361</v>
      </c>
      <c r="M497" s="66">
        <f t="shared" si="372"/>
        <v>0.33666615598107319</v>
      </c>
      <c r="N497" s="66">
        <f t="shared" si="372"/>
        <v>0.3272932731287706</v>
      </c>
      <c r="O497" s="66">
        <f t="shared" si="372"/>
        <v>0.31299156481323526</v>
      </c>
      <c r="P497" s="66">
        <f t="shared" si="372"/>
        <v>0.30065680072419226</v>
      </c>
      <c r="Q497" s="66">
        <f t="shared" si="372"/>
        <v>0.28993896641519301</v>
      </c>
      <c r="R497" s="66">
        <f t="shared" si="372"/>
        <v>0.28046073174062519</v>
      </c>
      <c r="S497" s="66">
        <f t="shared" si="372"/>
        <v>0.2718872252520399</v>
      </c>
      <c r="T497" s="66">
        <f t="shared" si="372"/>
        <v>0.2644307339426627</v>
      </c>
      <c r="U497" s="66">
        <f t="shared" si="372"/>
        <v>0.25741054782419687</v>
      </c>
      <c r="V497" s="66">
        <f t="shared" si="372"/>
        <v>0.2506863858104923</v>
      </c>
      <c r="W497" s="66">
        <f t="shared" si="372"/>
        <v>0.24416080879339383</v>
      </c>
      <c r="X497" s="66">
        <f t="shared" si="372"/>
        <v>0.2377674124098805</v>
      </c>
      <c r="Y497" s="66">
        <f t="shared" si="372"/>
        <v>0.23252464509599877</v>
      </c>
      <c r="Z497" s="66">
        <f t="shared" si="372"/>
        <v>0.22733862375396258</v>
      </c>
      <c r="AA497" s="66">
        <f t="shared" si="372"/>
        <v>0.22219006315132597</v>
      </c>
      <c r="AB497" s="66">
        <f t="shared" si="372"/>
        <v>0.21706618484500875</v>
      </c>
      <c r="AC497" s="66">
        <f t="shared" si="372"/>
        <v>0.21195854600732136</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187</v>
      </c>
      <c r="B499" s="76">
        <f>B490+B491+B492-B493+B494+B495+B496+B497+B498</f>
        <v>2.3104780614474283</v>
      </c>
      <c r="C499" s="76">
        <f t="shared" ref="C499:AC499" si="375">C490+C491+C492-C493+C494+C495+C496+C497+C498</f>
        <v>2.287871744401909</v>
      </c>
      <c r="D499" s="76">
        <f t="shared" si="375"/>
        <v>2.2615796750205628</v>
      </c>
      <c r="E499" s="76">
        <f t="shared" si="375"/>
        <v>2.2342566790628826</v>
      </c>
      <c r="F499" s="76">
        <f t="shared" si="375"/>
        <v>2.2007572684150167</v>
      </c>
      <c r="G499" s="76">
        <f t="shared" si="375"/>
        <v>2.1598992556224208</v>
      </c>
      <c r="H499" s="76">
        <f t="shared" si="375"/>
        <v>2.1110011513257096</v>
      </c>
      <c r="I499" s="76">
        <f t="shared" si="375"/>
        <v>2.0544120361831912</v>
      </c>
      <c r="J499" s="76">
        <f t="shared" si="375"/>
        <v>1.9994989199465825</v>
      </c>
      <c r="K499" s="76">
        <f t="shared" si="375"/>
        <v>1.9415660905485195</v>
      </c>
      <c r="L499" s="76">
        <f t="shared" si="375"/>
        <v>1.8847875234754938</v>
      </c>
      <c r="M499" s="76">
        <f t="shared" si="375"/>
        <v>1.8330923562357295</v>
      </c>
      <c r="N499" s="76">
        <f t="shared" si="375"/>
        <v>1.7891307438561848</v>
      </c>
      <c r="O499" s="76">
        <f t="shared" si="375"/>
        <v>1.7471296576798228</v>
      </c>
      <c r="P499" s="76">
        <f t="shared" si="375"/>
        <v>1.7136590388968491</v>
      </c>
      <c r="Q499" s="76">
        <f t="shared" si="375"/>
        <v>1.687404656289814</v>
      </c>
      <c r="R499" s="76">
        <f t="shared" si="375"/>
        <v>1.66681801434418</v>
      </c>
      <c r="S499" s="76">
        <f t="shared" si="375"/>
        <v>1.6504591548442806</v>
      </c>
      <c r="T499" s="76">
        <f t="shared" si="375"/>
        <v>1.637622506078892</v>
      </c>
      <c r="U499" s="76">
        <f t="shared" si="375"/>
        <v>1.6269204101097476</v>
      </c>
      <c r="V499" s="76">
        <f t="shared" si="375"/>
        <v>1.6176933514595606</v>
      </c>
      <c r="W499" s="76">
        <f t="shared" si="375"/>
        <v>1.6094740921392983</v>
      </c>
      <c r="X499" s="76">
        <f t="shared" si="375"/>
        <v>1.601938135905832</v>
      </c>
      <c r="Y499" s="76">
        <f t="shared" si="375"/>
        <v>1.5959262029767176</v>
      </c>
      <c r="Z499" s="76">
        <f t="shared" si="375"/>
        <v>1.5902231103440965</v>
      </c>
      <c r="AA499" s="76">
        <f t="shared" si="375"/>
        <v>1.5847272771332312</v>
      </c>
      <c r="AB499" s="76">
        <f t="shared" si="375"/>
        <v>1.5793703135243029</v>
      </c>
      <c r="AC499" s="76">
        <f t="shared" si="375"/>
        <v>1.5741062972311475</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1.9709416352132133E-2</v>
      </c>
      <c r="C509" s="66">
        <f t="shared" ref="C509:AC509" si="384">C467*C468*C475/C475/(C472)</f>
        <v>1.9107160164159916E-2</v>
      </c>
      <c r="D509" s="66">
        <f t="shared" si="384"/>
        <v>1.8475362143477572E-2</v>
      </c>
      <c r="E509" s="66">
        <f t="shared" si="384"/>
        <v>1.7958088595767994E-2</v>
      </c>
      <c r="F509" s="66">
        <f t="shared" si="384"/>
        <v>1.7391719100653846E-2</v>
      </c>
      <c r="G509" s="66">
        <f t="shared" si="384"/>
        <v>1.6768652297374179E-2</v>
      </c>
      <c r="H509" s="66">
        <f t="shared" si="384"/>
        <v>1.6086231247204506E-2</v>
      </c>
      <c r="I509" s="66">
        <f t="shared" si="384"/>
        <v>1.5350833831629457E-2</v>
      </c>
      <c r="J509" s="66">
        <f t="shared" si="384"/>
        <v>1.4882320379687466E-2</v>
      </c>
      <c r="K509" s="66">
        <f t="shared" si="384"/>
        <v>1.4389261535137754E-2</v>
      </c>
      <c r="L509" s="66">
        <f t="shared" si="384"/>
        <v>1.3906475270520144E-2</v>
      </c>
      <c r="M509" s="66">
        <f t="shared" si="384"/>
        <v>1.3466646239242928E-2</v>
      </c>
      <c r="N509" s="66">
        <f t="shared" si="384"/>
        <v>1.3091730925150823E-2</v>
      </c>
      <c r="O509" s="66">
        <f t="shared" si="384"/>
        <v>1.251966259252941E-2</v>
      </c>
      <c r="P509" s="66">
        <f t="shared" si="384"/>
        <v>1.202627202896769E-2</v>
      </c>
      <c r="Q509" s="66">
        <f t="shared" si="384"/>
        <v>1.159755865660772E-2</v>
      </c>
      <c r="R509" s="66">
        <f t="shared" si="384"/>
        <v>1.1218429269625008E-2</v>
      </c>
      <c r="S509" s="66">
        <f t="shared" si="384"/>
        <v>1.0875489010081596E-2</v>
      </c>
      <c r="T509" s="66">
        <f t="shared" si="384"/>
        <v>1.0577229357706507E-2</v>
      </c>
      <c r="U509" s="66">
        <f t="shared" si="384"/>
        <v>1.0296421912967875E-2</v>
      </c>
      <c r="V509" s="66">
        <f t="shared" si="384"/>
        <v>1.0027455432419691E-2</v>
      </c>
      <c r="W509" s="66">
        <f t="shared" si="384"/>
        <v>9.7664323517357536E-3</v>
      </c>
      <c r="X509" s="66">
        <f t="shared" si="384"/>
        <v>9.5106964963952208E-3</v>
      </c>
      <c r="Y509" s="66">
        <f t="shared" si="384"/>
        <v>9.3009858038399507E-3</v>
      </c>
      <c r="Z509" s="66">
        <f t="shared" si="384"/>
        <v>9.0935449501585025E-3</v>
      </c>
      <c r="AA509" s="66">
        <f t="shared" si="384"/>
        <v>8.8876025260530393E-3</v>
      </c>
      <c r="AB509" s="66">
        <f t="shared" si="384"/>
        <v>8.6826473938003499E-3</v>
      </c>
      <c r="AC509" s="66">
        <f t="shared" si="384"/>
        <v>8.4783418402928547E-3</v>
      </c>
    </row>
    <row r="510" spans="1:29" x14ac:dyDescent="0.25">
      <c r="A510" s="59" t="str">
        <f>A473</f>
        <v>Market failure (av. utilization)</v>
      </c>
      <c r="B510" s="66">
        <f t="shared" ref="B510:AC510" si="385">B499/B473-B499/B472</f>
        <v>5.1985756382567139E-2</v>
      </c>
      <c r="C510" s="66">
        <f t="shared" si="385"/>
        <v>5.1477114249042957E-2</v>
      </c>
      <c r="D510" s="66">
        <f t="shared" si="385"/>
        <v>5.0885542687962665E-2</v>
      </c>
      <c r="E510" s="66">
        <f t="shared" si="385"/>
        <v>5.0270775278914853E-2</v>
      </c>
      <c r="F510" s="66">
        <f t="shared" si="385"/>
        <v>4.9517038539337879E-2</v>
      </c>
      <c r="G510" s="66">
        <f t="shared" si="385"/>
        <v>4.8597733251504474E-2</v>
      </c>
      <c r="H510" s="66">
        <f t="shared" si="385"/>
        <v>4.7497525904828461E-2</v>
      </c>
      <c r="I510" s="66">
        <f t="shared" si="385"/>
        <v>4.6224270814121809E-2</v>
      </c>
      <c r="J510" s="66">
        <f t="shared" si="385"/>
        <v>4.498872569879811E-2</v>
      </c>
      <c r="K510" s="66">
        <f t="shared" si="385"/>
        <v>4.3685237037341687E-2</v>
      </c>
      <c r="L510" s="66">
        <f t="shared" si="385"/>
        <v>4.2407719278198613E-2</v>
      </c>
      <c r="M510" s="66">
        <f t="shared" si="385"/>
        <v>4.1244578015303915E-2</v>
      </c>
      <c r="N510" s="66">
        <f t="shared" si="385"/>
        <v>4.0255441736764153E-2</v>
      </c>
      <c r="O510" s="66">
        <f t="shared" si="385"/>
        <v>3.931041729779601E-2</v>
      </c>
      <c r="P510" s="66">
        <f t="shared" si="385"/>
        <v>3.8557328375179112E-2</v>
      </c>
      <c r="Q510" s="66">
        <f t="shared" si="385"/>
        <v>3.796660476652082E-2</v>
      </c>
      <c r="R510" s="66">
        <f t="shared" si="385"/>
        <v>3.7503405322744043E-2</v>
      </c>
      <c r="S510" s="66">
        <f t="shared" si="385"/>
        <v>3.7135330983996309E-2</v>
      </c>
      <c r="T510" s="66">
        <f t="shared" si="385"/>
        <v>3.6846506386775071E-2</v>
      </c>
      <c r="U510" s="66">
        <f t="shared" si="385"/>
        <v>3.6605709227469321E-2</v>
      </c>
      <c r="V510" s="66">
        <f t="shared" si="385"/>
        <v>3.6398100407840112E-2</v>
      </c>
      <c r="W510" s="66">
        <f t="shared" si="385"/>
        <v>3.6213167073134211E-2</v>
      </c>
      <c r="X510" s="66">
        <f t="shared" si="385"/>
        <v>3.6043608057881218E-2</v>
      </c>
      <c r="Y510" s="66">
        <f t="shared" si="385"/>
        <v>3.5908339566976144E-2</v>
      </c>
      <c r="Z510" s="66">
        <f t="shared" si="385"/>
        <v>3.5780019982742176E-2</v>
      </c>
      <c r="AA510" s="66">
        <f t="shared" si="385"/>
        <v>3.5656363735497701E-2</v>
      </c>
      <c r="AB510" s="66">
        <f t="shared" si="385"/>
        <v>3.553583205429682E-2</v>
      </c>
      <c r="AC510" s="66">
        <f t="shared" si="385"/>
        <v>3.5417391687700819E-2</v>
      </c>
    </row>
    <row r="511" spans="1:29" x14ac:dyDescent="0.25">
      <c r="A511" s="59" t="str">
        <f>A474</f>
        <v>Payload loss (fuel)</v>
      </c>
      <c r="B511" s="66">
        <f>B499/(B472-B474)-B499/B472</f>
        <v>4.8236229024654215E-3</v>
      </c>
      <c r="C511" s="66">
        <f t="shared" ref="C511:AC511" si="386">C499/(C472-C474)-C499/C472</f>
        <v>4.7592487532956418E-3</v>
      </c>
      <c r="D511" s="66">
        <f t="shared" si="386"/>
        <v>4.6804553836240215E-3</v>
      </c>
      <c r="E511" s="66">
        <f t="shared" si="386"/>
        <v>4.5902775337260393E-3</v>
      </c>
      <c r="F511" s="66">
        <f t="shared" si="386"/>
        <v>4.4749829609863206E-3</v>
      </c>
      <c r="G511" s="66">
        <f t="shared" si="386"/>
        <v>4.3285682578887985E-3</v>
      </c>
      <c r="H511" s="66">
        <f t="shared" si="386"/>
        <v>4.1458499707593827E-3</v>
      </c>
      <c r="I511" s="66">
        <f t="shared" si="386"/>
        <v>3.924153821517451E-3</v>
      </c>
      <c r="J511" s="66">
        <f t="shared" si="386"/>
        <v>3.679019798167274E-3</v>
      </c>
      <c r="K511" s="66">
        <f t="shared" si="386"/>
        <v>3.4015758121150041E-3</v>
      </c>
      <c r="L511" s="66">
        <f t="shared" si="386"/>
        <v>3.104000837894666E-3</v>
      </c>
      <c r="M511" s="66">
        <f t="shared" si="386"/>
        <v>2.8021682077467025E-3</v>
      </c>
      <c r="N511" s="66">
        <f t="shared" si="386"/>
        <v>2.5129847586396054E-3</v>
      </c>
      <c r="O511" s="66">
        <f t="shared" si="386"/>
        <v>2.2427398412693117E-3</v>
      </c>
      <c r="P511" s="66">
        <f t="shared" si="386"/>
        <v>2.0122021440831667E-3</v>
      </c>
      <c r="Q511" s="66">
        <f t="shared" si="386"/>
        <v>1.8251744270648407E-3</v>
      </c>
      <c r="R511" s="66">
        <f t="shared" si="386"/>
        <v>1.6798446242471954E-3</v>
      </c>
      <c r="S511" s="66">
        <f t="shared" si="386"/>
        <v>1.5706716836955681E-3</v>
      </c>
      <c r="T511" s="66">
        <f t="shared" si="386"/>
        <v>1.4910141479658467E-3</v>
      </c>
      <c r="U511" s="66">
        <f t="shared" si="386"/>
        <v>1.4334481834985674E-3</v>
      </c>
      <c r="V511" s="66">
        <f t="shared" si="386"/>
        <v>1.3920330504202522E-3</v>
      </c>
      <c r="W511" s="66">
        <f t="shared" si="386"/>
        <v>1.3620944574082028E-3</v>
      </c>
      <c r="X511" s="66">
        <f t="shared" si="386"/>
        <v>1.3401509209036017E-3</v>
      </c>
      <c r="Y511" s="66">
        <f t="shared" si="386"/>
        <v>1.3245839724683461E-3</v>
      </c>
      <c r="Z511" s="66">
        <f t="shared" si="386"/>
        <v>1.3127473418458602E-3</v>
      </c>
      <c r="AA511" s="66">
        <f t="shared" si="386"/>
        <v>1.3034360860630645E-3</v>
      </c>
      <c r="AB511" s="66">
        <f t="shared" si="386"/>
        <v>1.2958271601920535E-3</v>
      </c>
      <c r="AC511" s="66">
        <f t="shared" si="386"/>
        <v>1.2893624417492644E-3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505</v>
      </c>
      <c r="B513" s="67">
        <f>B502+B503+B504+B505+B506+B507+B508+B509+B510+B511+B512</f>
        <v>0.14817175095677115</v>
      </c>
      <c r="C513" s="67">
        <f t="shared" ref="C513:AC513" si="388">C502+C503+C504+C505+C506+C507+C508+C509+C510+C511+C512</f>
        <v>0.1466944819922564</v>
      </c>
      <c r="D513" s="67">
        <f t="shared" si="388"/>
        <v>0.14497243428625065</v>
      </c>
      <c r="E513" s="67">
        <f t="shared" si="388"/>
        <v>0.14317456918899765</v>
      </c>
      <c r="F513" s="67">
        <f t="shared" si="388"/>
        <v>0.14096556145076633</v>
      </c>
      <c r="G513" s="67">
        <f t="shared" si="388"/>
        <v>0.13826552094813155</v>
      </c>
      <c r="H513" s="67">
        <f t="shared" si="388"/>
        <v>0.1350266711424577</v>
      </c>
      <c r="I513" s="67">
        <f t="shared" si="388"/>
        <v>0.13126815529680835</v>
      </c>
      <c r="J513" s="67">
        <f t="shared" si="388"/>
        <v>0.12759095150867014</v>
      </c>
      <c r="K513" s="67">
        <f t="shared" si="388"/>
        <v>0.12369270568523892</v>
      </c>
      <c r="L513" s="67">
        <f t="shared" si="388"/>
        <v>0.11984647026895449</v>
      </c>
      <c r="M513" s="67">
        <f t="shared" si="388"/>
        <v>0.11631368968632125</v>
      </c>
      <c r="N513" s="67">
        <f t="shared" si="388"/>
        <v>0.1132769054634926</v>
      </c>
      <c r="O513" s="67">
        <f t="shared" si="388"/>
        <v>0.1103815926600997</v>
      </c>
      <c r="P513" s="67">
        <f t="shared" si="388"/>
        <v>0.1080591412889777</v>
      </c>
      <c r="Q513" s="67">
        <f t="shared" si="388"/>
        <v>0.10623121465901968</v>
      </c>
      <c r="R513" s="67">
        <f t="shared" si="388"/>
        <v>0.10479921973459989</v>
      </c>
      <c r="S513" s="67">
        <f t="shared" si="388"/>
        <v>0.10366761807530456</v>
      </c>
      <c r="T513" s="67">
        <f t="shared" si="388"/>
        <v>0.10278566999173805</v>
      </c>
      <c r="U513" s="67">
        <f t="shared" si="388"/>
        <v>0.10205922302919926</v>
      </c>
      <c r="V513" s="67">
        <f t="shared" si="388"/>
        <v>0.10144111673048425</v>
      </c>
      <c r="W513" s="67">
        <f t="shared" si="388"/>
        <v>0.10089747442995581</v>
      </c>
      <c r="X513" s="67">
        <f t="shared" si="388"/>
        <v>0.10040453362885955</v>
      </c>
      <c r="Y513" s="67">
        <f t="shared" si="388"/>
        <v>0.10001322087235465</v>
      </c>
      <c r="Z513" s="67">
        <f t="shared" si="388"/>
        <v>9.9644940952193353E-2</v>
      </c>
      <c r="AA513" s="67">
        <f t="shared" si="388"/>
        <v>9.9292140120731467E-2</v>
      </c>
      <c r="AB513" s="67">
        <f t="shared" si="388"/>
        <v>9.8949720969302449E-2</v>
      </c>
      <c r="AC513" s="67">
        <f t="shared" si="388"/>
        <v>9.8614255232537446E-2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100</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Input'!$L$147</f>
        <v>3500000</v>
      </c>
      <c r="C11" s="42">
        <f>'Parameter Input'!$M$147</f>
        <v>3500000</v>
      </c>
      <c r="D11" s="1" t="s">
        <v>138</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151</v>
      </c>
      <c r="B12" s="60">
        <f>'Parameter Input'!$L$148</f>
        <v>-525000</v>
      </c>
      <c r="C12" s="61">
        <f>'Parameter Input'!$M$148</f>
        <v>-175000</v>
      </c>
      <c r="D12" s="1" t="s">
        <v>138</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Input'!$L$154</f>
        <v>0.06</v>
      </c>
      <c r="C15" s="46">
        <f>'Parameter Input'!$M$154</f>
        <v>0.06</v>
      </c>
      <c r="D15" s="1" t="s">
        <v>180</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Input'!$L$150</f>
        <v>1050000</v>
      </c>
      <c r="C17" s="44">
        <f>'Parameter Input'!$M$150</f>
        <v>1050000</v>
      </c>
      <c r="D17" s="1" t="s">
        <v>161</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Input'!$L$151</f>
        <v>76.777599999999993</v>
      </c>
      <c r="C19" s="48">
        <f>'Parameter Input'!$M$151</f>
        <v>76.777599999999993</v>
      </c>
      <c r="D19" s="1" t="s">
        <v>184</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Input'!$L$152</f>
        <v>0.1</v>
      </c>
      <c r="C20" s="46">
        <f>'Parameter Input'!$M$152</f>
        <v>0.1</v>
      </c>
      <c r="D20" s="1" t="s">
        <v>94</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458</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164</v>
      </c>
      <c r="B22" s="43">
        <f>'Parameter Input'!$L$149</f>
        <v>20</v>
      </c>
      <c r="C22" s="44">
        <f>'Parameter Input'!$M$149</f>
        <v>20</v>
      </c>
      <c r="D22" s="1" t="s">
        <v>165</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Input'!$L$153</f>
        <v>0</v>
      </c>
      <c r="C26" s="73">
        <f>'Parameter Input'!$M$153</f>
        <v>0</v>
      </c>
      <c r="D26" s="1" t="s">
        <v>180</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5.7951260504201685E-2</v>
      </c>
      <c r="C40" s="62">
        <f>'Parameter Input'!K8</f>
        <v>5.3954621848739497E-2</v>
      </c>
      <c r="D40" s="62">
        <f>'Parameter Input'!L8</f>
        <v>4.9957983193277315E-2</v>
      </c>
      <c r="E40" s="62">
        <f>'Parameter Input'!M8</f>
        <v>4.5961344537815127E-2</v>
      </c>
      <c r="F40" s="62">
        <f>'Parameter Input'!N8</f>
        <v>4.1964705882352946E-2</v>
      </c>
      <c r="G40" s="62">
        <f>'Parameter Input'!O8</f>
        <v>3.7968067226890764E-2</v>
      </c>
      <c r="H40" s="62">
        <f>'Parameter Input'!P8</f>
        <v>3.3971428571428583E-2</v>
      </c>
      <c r="I40" s="62">
        <f>'Parameter Input'!Q8</f>
        <v>2.9974789915966391E-2</v>
      </c>
      <c r="J40" s="62">
        <f>'Parameter Input'!R8</f>
        <v>2.9368157262905165E-2</v>
      </c>
      <c r="K40" s="62">
        <f>'Parameter Input'!S8</f>
        <v>2.8761524609843939E-2</v>
      </c>
      <c r="L40" s="62">
        <f>'Parameter Input'!T8</f>
        <v>2.8154891956782713E-2</v>
      </c>
      <c r="M40" s="62">
        <f>'Parameter Input'!U8</f>
        <v>2.7548259303721487E-2</v>
      </c>
      <c r="N40" s="62">
        <f>'Parameter Input'!V8</f>
        <v>2.6941626650660268E-2</v>
      </c>
      <c r="O40" s="62">
        <f>'Parameter Input'!W8</f>
        <v>2.6334993997599043E-2</v>
      </c>
      <c r="P40" s="62">
        <f>'Parameter Input'!X8</f>
        <v>2.5728361344537817E-2</v>
      </c>
      <c r="Q40" s="62">
        <f>'Parameter Input'!Y8</f>
        <v>2.5121728691476591E-2</v>
      </c>
      <c r="R40" s="62">
        <f>'Parameter Input'!Z8</f>
        <v>2.4515096038415365E-2</v>
      </c>
      <c r="S40" s="62">
        <f>'Parameter Input'!AA8</f>
        <v>2.3908463385354146E-2</v>
      </c>
      <c r="T40" s="62">
        <f>'Parameter Input'!AB8</f>
        <v>2.330183073229292E-2</v>
      </c>
      <c r="U40" s="62">
        <f>'Parameter Input'!AC8</f>
        <v>2.2695198079231694E-2</v>
      </c>
      <c r="V40" s="62">
        <f>'Parameter Input'!AD8</f>
        <v>2.2088565426170468E-2</v>
      </c>
      <c r="W40" s="62">
        <f>'Parameter Input'!AE8</f>
        <v>2.1481932773109242E-2</v>
      </c>
      <c r="X40" s="62">
        <f>'Parameter Input'!AF8</f>
        <v>2.0875300120048023E-2</v>
      </c>
      <c r="Y40" s="62">
        <f>'Parameter Input'!AG8</f>
        <v>2.0268667466986797E-2</v>
      </c>
      <c r="Z40" s="62">
        <f>'Parameter Input'!AH8</f>
        <v>1.9662034813925571E-2</v>
      </c>
      <c r="AA40" s="62">
        <f>'Parameter Input'!AI8</f>
        <v>1.9055402160864345E-2</v>
      </c>
      <c r="AB40" s="62">
        <f>'Parameter Input'!AJ8</f>
        <v>1.8448769507803119E-2</v>
      </c>
      <c r="AC40" s="62">
        <f>'Parameter Input'!AK8</f>
        <v>1.78421368547419E-2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25">
      <c r="A46" s="30" t="s">
        <v>197</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25">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25">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25">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25">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25">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25">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25">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25">
      <c r="A57" s="30" t="str">
        <f>A40</f>
        <v>Fuel Cost</v>
      </c>
      <c r="B57" s="62">
        <f>B39*B40*B47</f>
        <v>794210.52768000006</v>
      </c>
      <c r="C57" s="62">
        <f t="shared" ref="C57:AC57" si="56">C39*C40*C47</f>
        <v>739437.38783999986</v>
      </c>
      <c r="D57" s="62">
        <f t="shared" si="56"/>
        <v>684664.24800000002</v>
      </c>
      <c r="E57" s="62">
        <f t="shared" si="56"/>
        <v>629891.10815999995</v>
      </c>
      <c r="F57" s="62">
        <f t="shared" si="56"/>
        <v>575117.96831999999</v>
      </c>
      <c r="G57" s="62">
        <f t="shared" si="56"/>
        <v>520344.82848000008</v>
      </c>
      <c r="H57" s="62">
        <f t="shared" si="56"/>
        <v>465571.68864000007</v>
      </c>
      <c r="I57" s="62">
        <f t="shared" si="56"/>
        <v>410798.54879999999</v>
      </c>
      <c r="J57" s="62">
        <f t="shared" si="56"/>
        <v>402484.76864571427</v>
      </c>
      <c r="K57" s="62">
        <f t="shared" si="56"/>
        <v>394170.98849142861</v>
      </c>
      <c r="L57" s="62">
        <f t="shared" si="56"/>
        <v>385857.20833714283</v>
      </c>
      <c r="M57" s="62">
        <f t="shared" si="56"/>
        <v>377543.42818285705</v>
      </c>
      <c r="N57" s="62">
        <f t="shared" si="56"/>
        <v>369229.64802857145</v>
      </c>
      <c r="O57" s="62">
        <f t="shared" si="56"/>
        <v>360915.86787428573</v>
      </c>
      <c r="P57" s="62">
        <f t="shared" si="56"/>
        <v>352602.08772000001</v>
      </c>
      <c r="Q57" s="62">
        <f t="shared" si="56"/>
        <v>344288.30756571429</v>
      </c>
      <c r="R57" s="62">
        <f t="shared" si="56"/>
        <v>335974.52741142851</v>
      </c>
      <c r="S57" s="62">
        <f t="shared" si="56"/>
        <v>327660.74725714285</v>
      </c>
      <c r="T57" s="62">
        <f t="shared" si="56"/>
        <v>319346.96710285713</v>
      </c>
      <c r="U57" s="62">
        <f t="shared" si="56"/>
        <v>311033.18694857141</v>
      </c>
      <c r="V57" s="62">
        <f t="shared" si="56"/>
        <v>302719.40679428569</v>
      </c>
      <c r="W57" s="62">
        <f t="shared" si="56"/>
        <v>294405.62663999997</v>
      </c>
      <c r="X57" s="62">
        <f t="shared" si="56"/>
        <v>286091.84648571431</v>
      </c>
      <c r="Y57" s="62">
        <f t="shared" si="56"/>
        <v>277778.06633142853</v>
      </c>
      <c r="Z57" s="62">
        <f t="shared" si="56"/>
        <v>269464.28617714281</v>
      </c>
      <c r="AA57" s="62">
        <f t="shared" si="56"/>
        <v>261150.50602285712</v>
      </c>
      <c r="AB57" s="62">
        <f t="shared" si="56"/>
        <v>252836.72586857138</v>
      </c>
      <c r="AC57" s="62">
        <f t="shared" si="56"/>
        <v>244522.94571428571</v>
      </c>
    </row>
    <row r="58" spans="1:29" ht="15.75" thickBot="1" x14ac:dyDescent="0.3">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75" thickBot="1" x14ac:dyDescent="0.3">
      <c r="A59" s="31" t="s">
        <v>504</v>
      </c>
      <c r="B59" s="64">
        <f>B50+B51+B52+B53+B54+B55+B56+B57+B58</f>
        <v>3743856.5994378319</v>
      </c>
      <c r="C59" s="64">
        <f t="shared" ref="C59:AC59" si="58">C50+C51+C52+C53+C54+C55+C56+C57+C58</f>
        <v>3689255.951399954</v>
      </c>
      <c r="D59" s="64">
        <f t="shared" si="58"/>
        <v>3634727.7251919592</v>
      </c>
      <c r="E59" s="64">
        <f t="shared" si="58"/>
        <v>3580300.747236101</v>
      </c>
      <c r="F59" s="64">
        <f t="shared" si="58"/>
        <v>3526013.6124361586</v>
      </c>
      <c r="G59" s="64">
        <f t="shared" si="58"/>
        <v>3471916.1960271313</v>
      </c>
      <c r="H59" s="64">
        <f t="shared" si="58"/>
        <v>3418069.447732131</v>
      </c>
      <c r="I59" s="64">
        <f t="shared" si="58"/>
        <v>3364541.2788605057</v>
      </c>
      <c r="J59" s="64">
        <f t="shared" si="58"/>
        <v>3357854.916272589</v>
      </c>
      <c r="K59" s="64">
        <f t="shared" si="58"/>
        <v>3351590.593473874</v>
      </c>
      <c r="L59" s="64">
        <f t="shared" si="58"/>
        <v>3345736.1033165911</v>
      </c>
      <c r="M59" s="64">
        <f t="shared" si="58"/>
        <v>3340203.2234984948</v>
      </c>
      <c r="N59" s="64">
        <f t="shared" si="58"/>
        <v>3334825.2284193779</v>
      </c>
      <c r="O59" s="64">
        <f t="shared" si="58"/>
        <v>3329389.4625812136</v>
      </c>
      <c r="P59" s="64">
        <f t="shared" si="58"/>
        <v>3323695.5980986576</v>
      </c>
      <c r="Q59" s="64">
        <f t="shared" si="58"/>
        <v>3317608.3731821757</v>
      </c>
      <c r="R59" s="64">
        <f t="shared" si="58"/>
        <v>3311077.6650199201</v>
      </c>
      <c r="S59" s="64">
        <f t="shared" si="58"/>
        <v>3304124.4479339365</v>
      </c>
      <c r="T59" s="64">
        <f t="shared" si="58"/>
        <v>3296810.7907521683</v>
      </c>
      <c r="U59" s="64">
        <f t="shared" si="58"/>
        <v>3289212.084054789</v>
      </c>
      <c r="V59" s="64">
        <f t="shared" si="58"/>
        <v>3281399.4647919969</v>
      </c>
      <c r="W59" s="64">
        <f t="shared" si="58"/>
        <v>3273432.0176174887</v>
      </c>
      <c r="X59" s="64">
        <f t="shared" si="58"/>
        <v>3265355.2503796993</v>
      </c>
      <c r="Y59" s="64">
        <f t="shared" si="58"/>
        <v>3257202.5873780758</v>
      </c>
      <c r="Z59" s="64">
        <f t="shared" si="58"/>
        <v>3248997.8334081811</v>
      </c>
      <c r="AA59" s="64">
        <f t="shared" si="58"/>
        <v>3240757.6024317113</v>
      </c>
      <c r="AB59" s="64">
        <f t="shared" si="58"/>
        <v>3232493.3352185697</v>
      </c>
      <c r="AC59" s="64">
        <f t="shared" si="58"/>
        <v>3224212.8401200259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25">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25">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25">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25">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25">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25">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25">
      <c r="A69" s="30" t="str">
        <f t="shared" si="59"/>
        <v>Fuel Cost</v>
      </c>
      <c r="B69" s="66">
        <f>B39*B40*B47/B47</f>
        <v>4.4493586984873952</v>
      </c>
      <c r="C69" s="66">
        <f t="shared" ref="C69:AC69" si="67">C39*C40*C47/C47</f>
        <v>4.1425063744537809</v>
      </c>
      <c r="D69" s="66">
        <f t="shared" si="67"/>
        <v>3.8356540504201684</v>
      </c>
      <c r="E69" s="66">
        <f t="shared" si="67"/>
        <v>3.5288017263865541</v>
      </c>
      <c r="F69" s="66">
        <f t="shared" si="67"/>
        <v>3.2219494023529411</v>
      </c>
      <c r="G69" s="66">
        <f t="shared" si="67"/>
        <v>2.9150970783193282</v>
      </c>
      <c r="H69" s="66">
        <f t="shared" si="67"/>
        <v>2.6082447542857148</v>
      </c>
      <c r="I69" s="66">
        <f t="shared" si="67"/>
        <v>2.3013924302521009</v>
      </c>
      <c r="J69" s="66">
        <f t="shared" si="67"/>
        <v>2.2548166310684272</v>
      </c>
      <c r="K69" s="66">
        <f t="shared" si="67"/>
        <v>2.208240831884754</v>
      </c>
      <c r="L69" s="66">
        <f t="shared" si="67"/>
        <v>2.1616650327010802</v>
      </c>
      <c r="M69" s="66">
        <f t="shared" si="67"/>
        <v>2.1150892335174065</v>
      </c>
      <c r="N69" s="66">
        <f t="shared" si="67"/>
        <v>2.0685134343337337</v>
      </c>
      <c r="O69" s="66">
        <f t="shared" si="67"/>
        <v>2.02193763515006</v>
      </c>
      <c r="P69" s="66">
        <f t="shared" si="67"/>
        <v>1.9753618359663867</v>
      </c>
      <c r="Q69" s="66">
        <f t="shared" si="67"/>
        <v>1.9287860367827132</v>
      </c>
      <c r="R69" s="66">
        <f t="shared" si="67"/>
        <v>1.8822102375990393</v>
      </c>
      <c r="S69" s="66">
        <f t="shared" si="67"/>
        <v>1.8356344384153662</v>
      </c>
      <c r="T69" s="66">
        <f t="shared" si="67"/>
        <v>1.7890586392316927</v>
      </c>
      <c r="U69" s="66">
        <f t="shared" si="67"/>
        <v>1.742482840048019</v>
      </c>
      <c r="V69" s="66">
        <f t="shared" si="67"/>
        <v>1.6959070408643455</v>
      </c>
      <c r="W69" s="66">
        <f t="shared" si="67"/>
        <v>1.649331241680672</v>
      </c>
      <c r="X69" s="66">
        <f t="shared" si="67"/>
        <v>1.602755442496999</v>
      </c>
      <c r="Y69" s="66">
        <f t="shared" si="67"/>
        <v>1.556179643313325</v>
      </c>
      <c r="Z69" s="66">
        <f t="shared" si="67"/>
        <v>1.5096038441296515</v>
      </c>
      <c r="AA69" s="66">
        <f t="shared" si="67"/>
        <v>1.4630280449459783</v>
      </c>
      <c r="AB69" s="66">
        <f t="shared" si="67"/>
        <v>1.4164522457623046</v>
      </c>
      <c r="AC69" s="66">
        <f t="shared" si="67"/>
        <v>1.3698764465786315</v>
      </c>
    </row>
    <row r="70" spans="1:29" ht="15.75" thickBot="1" x14ac:dyDescent="0.3">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75" thickBot="1" x14ac:dyDescent="0.3">
      <c r="A71" s="31" t="s">
        <v>187</v>
      </c>
      <c r="B71" s="76">
        <f>B62+B63+B64-B65+B66+B67+B68+B69+B70</f>
        <v>21.144925166743146</v>
      </c>
      <c r="C71" s="76">
        <f t="shared" ref="C71:AC71" si="69">C62+C63+C64-C65+C66+C67+C68+C69+C70</f>
        <v>20.839039183337668</v>
      </c>
      <c r="D71" s="76">
        <f t="shared" si="69"/>
        <v>20.53355892446935</v>
      </c>
      <c r="E71" s="76">
        <f t="shared" si="69"/>
        <v>20.228645882699837</v>
      </c>
      <c r="F71" s="76">
        <f t="shared" si="69"/>
        <v>19.924516275977471</v>
      </c>
      <c r="G71" s="76">
        <f t="shared" si="69"/>
        <v>19.621449517383478</v>
      </c>
      <c r="H71" s="76">
        <f t="shared" si="69"/>
        <v>19.319787061949302</v>
      </c>
      <c r="I71" s="76">
        <f t="shared" si="69"/>
        <v>19.019909365189498</v>
      </c>
      <c r="J71" s="76">
        <f t="shared" si="69"/>
        <v>18.982450751251587</v>
      </c>
      <c r="K71" s="76">
        <f t="shared" si="69"/>
        <v>18.947356505880638</v>
      </c>
      <c r="L71" s="76">
        <f t="shared" si="69"/>
        <v>18.914558241694177</v>
      </c>
      <c r="M71" s="76">
        <f t="shared" si="69"/>
        <v>18.883561716102601</v>
      </c>
      <c r="N71" s="76">
        <f t="shared" si="69"/>
        <v>18.853432892129959</v>
      </c>
      <c r="O71" s="76">
        <f t="shared" si="69"/>
        <v>18.822980422448367</v>
      </c>
      <c r="P71" s="76">
        <f t="shared" si="69"/>
        <v>18.791082021985865</v>
      </c>
      <c r="Q71" s="76">
        <f t="shared" si="69"/>
        <v>18.756979921613421</v>
      </c>
      <c r="R71" s="76">
        <f t="shared" si="69"/>
        <v>18.720393321264652</v>
      </c>
      <c r="S71" s="76">
        <f t="shared" si="69"/>
        <v>18.68143972414429</v>
      </c>
      <c r="T71" s="76">
        <f t="shared" si="69"/>
        <v>18.640466854778644</v>
      </c>
      <c r="U71" s="76">
        <f t="shared" si="69"/>
        <v>18.597897069359153</v>
      </c>
      <c r="V71" s="76">
        <f t="shared" si="69"/>
        <v>18.55412889421746</v>
      </c>
      <c r="W71" s="76">
        <f t="shared" si="69"/>
        <v>18.509493335816856</v>
      </c>
      <c r="X71" s="76">
        <f t="shared" si="69"/>
        <v>18.464245340086944</v>
      </c>
      <c r="Y71" s="76">
        <f t="shared" si="69"/>
        <v>18.418572158005016</v>
      </c>
      <c r="Z71" s="76">
        <f t="shared" si="69"/>
        <v>18.372607149770314</v>
      </c>
      <c r="AA71" s="76">
        <f t="shared" si="69"/>
        <v>18.326443390798495</v>
      </c>
      <c r="AB71" s="76">
        <f t="shared" si="69"/>
        <v>18.280144975038596</v>
      </c>
      <c r="AC71" s="76">
        <f t="shared" si="69"/>
        <v>18.233755646755441</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25">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25">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25">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25">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25">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25">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25">
      <c r="A81" s="30" t="str">
        <f t="shared" si="70"/>
        <v>Fuel Cost</v>
      </c>
      <c r="B81" s="66">
        <f>B39*B40*B47/B47/(B44)</f>
        <v>1.9863208475390157E-3</v>
      </c>
      <c r="C81" s="66">
        <f t="shared" ref="C81:AC81" si="78">C39*C40*C47/C47/(C44)</f>
        <v>1.8493332028811521E-3</v>
      </c>
      <c r="D81" s="66">
        <f t="shared" si="78"/>
        <v>1.7123455582232895E-3</v>
      </c>
      <c r="E81" s="66">
        <f t="shared" si="78"/>
        <v>1.5753579135654259E-3</v>
      </c>
      <c r="F81" s="66">
        <f t="shared" si="78"/>
        <v>1.4383702689075631E-3</v>
      </c>
      <c r="G81" s="66">
        <f t="shared" si="78"/>
        <v>1.3013826242497001E-3</v>
      </c>
      <c r="H81" s="66">
        <f t="shared" si="78"/>
        <v>1.1643949795918369E-3</v>
      </c>
      <c r="I81" s="66">
        <f t="shared" si="78"/>
        <v>1.0274073349339737E-3</v>
      </c>
      <c r="J81" s="66">
        <f t="shared" si="78"/>
        <v>1.0066145674412622E-3</v>
      </c>
      <c r="K81" s="66">
        <f t="shared" si="78"/>
        <v>9.8582179994855077E-4</v>
      </c>
      <c r="L81" s="66">
        <f t="shared" si="78"/>
        <v>9.650290324558394E-4</v>
      </c>
      <c r="M81" s="66">
        <f t="shared" si="78"/>
        <v>9.4423626496312793E-4</v>
      </c>
      <c r="N81" s="66">
        <f t="shared" si="78"/>
        <v>9.2344349747041678E-4</v>
      </c>
      <c r="O81" s="66">
        <f t="shared" si="78"/>
        <v>9.026507299777053E-4</v>
      </c>
      <c r="P81" s="66">
        <f t="shared" si="78"/>
        <v>8.8185796248499405E-4</v>
      </c>
      <c r="Q81" s="66">
        <f t="shared" si="78"/>
        <v>8.6106519499228268E-4</v>
      </c>
      <c r="R81" s="66">
        <f t="shared" si="78"/>
        <v>8.402724274995711E-4</v>
      </c>
      <c r="S81" s="66">
        <f t="shared" si="78"/>
        <v>8.1947966000685995E-4</v>
      </c>
      <c r="T81" s="66">
        <f t="shared" si="78"/>
        <v>7.9868689251414858E-4</v>
      </c>
      <c r="U81" s="66">
        <f t="shared" si="78"/>
        <v>7.7789412502143711E-4</v>
      </c>
      <c r="V81" s="66">
        <f t="shared" si="78"/>
        <v>7.5710135752872563E-4</v>
      </c>
      <c r="W81" s="66">
        <f t="shared" si="78"/>
        <v>7.3630859003601427E-4</v>
      </c>
      <c r="X81" s="66">
        <f t="shared" si="78"/>
        <v>7.1551582254330312E-4</v>
      </c>
      <c r="Y81" s="66">
        <f t="shared" si="78"/>
        <v>6.9472305505059154E-4</v>
      </c>
      <c r="Z81" s="66">
        <f t="shared" si="78"/>
        <v>6.7393028755788017E-4</v>
      </c>
      <c r="AA81" s="66">
        <f t="shared" si="78"/>
        <v>6.5313752006516891E-4</v>
      </c>
      <c r="AB81" s="66">
        <f t="shared" si="78"/>
        <v>6.3234475257245744E-4</v>
      </c>
      <c r="AC81" s="66">
        <f t="shared" si="78"/>
        <v>6.1155198507974618E-4</v>
      </c>
    </row>
    <row r="82" spans="1:29" x14ac:dyDescent="0.25">
      <c r="A82" s="59" t="str">
        <f>A45</f>
        <v>Market failure (av. utilization)</v>
      </c>
      <c r="B82" s="66">
        <f t="shared" ref="B82:AC82" si="79">B71/B45-B71/B44</f>
        <v>5.3098305385236681E-3</v>
      </c>
      <c r="C82" s="66">
        <f t="shared" si="79"/>
        <v>5.2330176520658193E-3</v>
      </c>
      <c r="D82" s="66">
        <f t="shared" si="79"/>
        <v>5.1563066495598255E-3</v>
      </c>
      <c r="E82" s="66">
        <f t="shared" si="79"/>
        <v>5.0797380843833288E-3</v>
      </c>
      <c r="F82" s="66">
        <f t="shared" si="79"/>
        <v>5.0033662523380918E-3</v>
      </c>
      <c r="G82" s="66">
        <f t="shared" si="79"/>
        <v>4.9272613185393759E-3</v>
      </c>
      <c r="H82" s="66">
        <f t="shared" si="79"/>
        <v>4.85150902783325E-3</v>
      </c>
      <c r="I82" s="66">
        <f t="shared" si="79"/>
        <v>4.7762049187138802E-3</v>
      </c>
      <c r="J82" s="66">
        <f t="shared" si="79"/>
        <v>4.7667984587406315E-3</v>
      </c>
      <c r="K82" s="66">
        <f t="shared" si="79"/>
        <v>4.757985729713329E-3</v>
      </c>
      <c r="L82" s="66">
        <f t="shared" si="79"/>
        <v>4.7497495584611481E-3</v>
      </c>
      <c r="M82" s="66">
        <f t="shared" si="79"/>
        <v>4.7419658327266575E-3</v>
      </c>
      <c r="N82" s="66">
        <f t="shared" si="79"/>
        <v>4.7344000008138834E-3</v>
      </c>
      <c r="O82" s="66">
        <f t="shared" si="79"/>
        <v>4.7267528962621434E-3</v>
      </c>
      <c r="P82" s="66">
        <f t="shared" si="79"/>
        <v>4.7187426952531464E-3</v>
      </c>
      <c r="Q82" s="66">
        <f t="shared" si="79"/>
        <v>4.7101791097801556E-3</v>
      </c>
      <c r="R82" s="66">
        <f t="shared" si="79"/>
        <v>4.7009916264336444E-3</v>
      </c>
      <c r="S82" s="66">
        <f t="shared" si="79"/>
        <v>4.6912097521567692E-3</v>
      </c>
      <c r="T82" s="66">
        <f t="shared" si="79"/>
        <v>4.6809208061665102E-3</v>
      </c>
      <c r="U82" s="66">
        <f t="shared" si="79"/>
        <v>4.670230848890412E-3</v>
      </c>
      <c r="V82" s="66">
        <f t="shared" si="79"/>
        <v>4.6592399566952308E-3</v>
      </c>
      <c r="W82" s="66">
        <f t="shared" si="79"/>
        <v>4.6480312506236507E-3</v>
      </c>
      <c r="X82" s="66">
        <f t="shared" si="79"/>
        <v>4.6366687516959399E-3</v>
      </c>
      <c r="Y82" s="66">
        <f t="shared" si="79"/>
        <v>4.6251994816418826E-3</v>
      </c>
      <c r="Z82" s="66">
        <f t="shared" si="79"/>
        <v>4.6136569293508019E-3</v>
      </c>
      <c r="AA82" s="66">
        <f t="shared" si="79"/>
        <v>4.6020644675554244E-3</v>
      </c>
      <c r="AB82" s="66">
        <f t="shared" si="79"/>
        <v>4.590438191276431E-3</v>
      </c>
      <c r="AC82" s="66">
        <f t="shared" si="79"/>
        <v>4.5787890854017566E-3</v>
      </c>
    </row>
    <row r="83" spans="1:29" x14ac:dyDescent="0.25">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75" thickBot="1" x14ac:dyDescent="0.3">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75" thickBot="1" x14ac:dyDescent="0.3">
      <c r="A85" s="31" t="s">
        <v>505</v>
      </c>
      <c r="B85" s="97">
        <f>B74+B75+B76+B77+B78+B79+B80+B81+B82+B83+B84</f>
        <v>1.4673217391859582E-2</v>
      </c>
      <c r="C85" s="97">
        <f t="shared" ref="C85:AC85" si="82">C74+C75+C76+C77+C78+C79+C80+C81+C82+C83+C84</f>
        <v>1.4459848262810002E-2</v>
      </c>
      <c r="D85" s="97">
        <f t="shared" si="82"/>
        <v>1.4246762144737796E-2</v>
      </c>
      <c r="E85" s="97">
        <f t="shared" si="82"/>
        <v>1.4034071685914194E-2</v>
      </c>
      <c r="F85" s="97">
        <f t="shared" si="82"/>
        <v>1.3821927708010757E-2</v>
      </c>
      <c r="G85" s="97">
        <f t="shared" si="82"/>
        <v>1.3610525114125438E-2</v>
      </c>
      <c r="H85" s="97">
        <f t="shared" si="82"/>
        <v>1.3400102084386198E-2</v>
      </c>
      <c r="I85" s="97">
        <f t="shared" si="82"/>
        <v>1.3190924003499058E-2</v>
      </c>
      <c r="J85" s="97">
        <f t="shared" si="82"/>
        <v>1.3164794948017814E-2</v>
      </c>
      <c r="K85" s="97">
        <f t="shared" si="82"/>
        <v>1.3140315145164195E-2</v>
      </c>
      <c r="L85" s="97">
        <f t="shared" si="82"/>
        <v>1.3117436891685916E-2</v>
      </c>
      <c r="M85" s="97">
        <f t="shared" si="82"/>
        <v>1.3095815431312328E-2</v>
      </c>
      <c r="N85" s="97">
        <f t="shared" si="82"/>
        <v>1.3074799231554624E-2</v>
      </c>
      <c r="O85" s="97">
        <f t="shared" si="82"/>
        <v>1.3053557274466459E-2</v>
      </c>
      <c r="P85" s="97">
        <f t="shared" si="82"/>
        <v>1.3031306716108132E-2</v>
      </c>
      <c r="Q85" s="97">
        <f t="shared" si="82"/>
        <v>1.3007518978683156E-2</v>
      </c>
      <c r="R85" s="97">
        <f t="shared" si="82"/>
        <v>1.2981998191609516E-2</v>
      </c>
      <c r="S85" s="97">
        <f t="shared" si="82"/>
        <v>1.2954826318618195E-2</v>
      </c>
      <c r="T85" s="97">
        <f t="shared" si="82"/>
        <v>1.29262459130897E-2</v>
      </c>
      <c r="U85" s="97">
        <f t="shared" si="82"/>
        <v>1.2896551587322757E-2</v>
      </c>
      <c r="V85" s="97">
        <f t="shared" si="82"/>
        <v>1.2866021331225035E-2</v>
      </c>
      <c r="W85" s="97">
        <f t="shared" si="82"/>
        <v>1.2834886036581755E-2</v>
      </c>
      <c r="X85" s="97">
        <f t="shared" si="82"/>
        <v>1.2803323539560334E-2</v>
      </c>
      <c r="Y85" s="97">
        <f t="shared" si="82"/>
        <v>1.2771464456076846E-2</v>
      </c>
      <c r="Z85" s="97">
        <f t="shared" si="82"/>
        <v>1.2739401810823845E-2</v>
      </c>
      <c r="AA85" s="97">
        <f t="shared" si="82"/>
        <v>1.2707200528058904E-2</v>
      </c>
      <c r="AB85" s="97">
        <f t="shared" si="82"/>
        <v>1.2674905316172814E-2</v>
      </c>
      <c r="AC85" s="97">
        <f t="shared" si="82"/>
        <v>1.2642546688743159E-2</v>
      </c>
    </row>
    <row r="87" spans="1:29" x14ac:dyDescent="0.25">
      <c r="B87" s="40"/>
    </row>
    <row r="107" spans="1:2" s="3" customFormat="1" ht="21" x14ac:dyDescent="0.35">
      <c r="A107" s="2" t="str">
        <f>'Parameter Input'!A158</f>
        <v>Railway long-haul: Liquid bulk</v>
      </c>
    </row>
    <row r="108" spans="1:2" s="3" customFormat="1" ht="21" x14ac:dyDescent="0.35">
      <c r="A108" s="2" t="s">
        <v>100</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Input'!$L$147</f>
        <v>3500000</v>
      </c>
      <c r="C117" s="42">
        <f>'Parameter Input'!$M$147</f>
        <v>3500000</v>
      </c>
      <c r="D117" s="1" t="s">
        <v>138</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25">
      <c r="A118" s="24" t="s">
        <v>151</v>
      </c>
      <c r="B118" s="60">
        <f>'Parameter Input'!$L$148</f>
        <v>-525000</v>
      </c>
      <c r="C118" s="61">
        <f>'Parameter Input'!$M$148</f>
        <v>-175000</v>
      </c>
      <c r="D118" s="1" t="s">
        <v>138</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25">
      <c r="A121" s="24" t="s">
        <v>203</v>
      </c>
      <c r="B121" s="45">
        <f>'Parameter Input'!$L$154</f>
        <v>0.06</v>
      </c>
      <c r="C121" s="46">
        <f>'Parameter Input'!$M$154</f>
        <v>0.06</v>
      </c>
      <c r="D121" s="1" t="s">
        <v>180</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25">
      <c r="A123" s="24" t="s">
        <v>175</v>
      </c>
      <c r="B123" s="43">
        <f>'Parameter Input'!$L$150</f>
        <v>1050000</v>
      </c>
      <c r="C123" s="44">
        <f>'Parameter Input'!$M$150</f>
        <v>1050000</v>
      </c>
      <c r="D123" s="1" t="s">
        <v>161</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25">
      <c r="A125" s="24" t="s">
        <v>183</v>
      </c>
      <c r="B125" s="47">
        <f>'Parameter Input'!$L$151</f>
        <v>76.777599999999993</v>
      </c>
      <c r="C125" s="48">
        <f>'Parameter Input'!$M$151</f>
        <v>76.777599999999993</v>
      </c>
      <c r="D125" s="1" t="s">
        <v>184</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25">
      <c r="A126" s="24" t="s">
        <v>191</v>
      </c>
      <c r="B126" s="45">
        <f>'Parameter Input'!$L$152</f>
        <v>0.1</v>
      </c>
      <c r="C126" s="46">
        <f>'Parameter Input'!$M$152</f>
        <v>0.1</v>
      </c>
      <c r="D126" s="1" t="s">
        <v>94</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25">
      <c r="A127" s="24" t="s">
        <v>458</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25">
      <c r="A128" s="24" t="s">
        <v>164</v>
      </c>
      <c r="B128" s="43">
        <f>'Parameter Input'!$L$149</f>
        <v>20</v>
      </c>
      <c r="C128" s="44">
        <f>'Parameter Input'!$M$149</f>
        <v>20</v>
      </c>
      <c r="D128" s="1" t="s">
        <v>165</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25">
      <c r="A132" s="24" t="s">
        <v>197</v>
      </c>
      <c r="B132" s="72">
        <f>'Parameter Input'!$L$153</f>
        <v>0</v>
      </c>
      <c r="C132" s="73">
        <f>'Parameter Input'!$M$153</f>
        <v>0</v>
      </c>
      <c r="D132" s="1" t="s">
        <v>180</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25">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25">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25">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25">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25">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25">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25">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25">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25">
      <c r="A146" s="30" t="str">
        <f t="shared" si="88"/>
        <v>Fuel Cost</v>
      </c>
      <c r="B146" s="62">
        <f>'Parameter Input'!J8</f>
        <v>5.7951260504201685E-2</v>
      </c>
      <c r="C146" s="62">
        <f>'Parameter Input'!K8</f>
        <v>5.3954621848739497E-2</v>
      </c>
      <c r="D146" s="62">
        <f>'Parameter Input'!L8</f>
        <v>4.9957983193277315E-2</v>
      </c>
      <c r="E146" s="62">
        <f>'Parameter Input'!M8</f>
        <v>4.5961344537815127E-2</v>
      </c>
      <c r="F146" s="62">
        <f>'Parameter Input'!N8</f>
        <v>4.1964705882352946E-2</v>
      </c>
      <c r="G146" s="62">
        <f>'Parameter Input'!O8</f>
        <v>3.7968067226890764E-2</v>
      </c>
      <c r="H146" s="62">
        <f>'Parameter Input'!P8</f>
        <v>3.3971428571428583E-2</v>
      </c>
      <c r="I146" s="62">
        <f>'Parameter Input'!Q8</f>
        <v>2.9974789915966391E-2</v>
      </c>
      <c r="J146" s="62">
        <f>'Parameter Input'!R8</f>
        <v>2.9368157262905165E-2</v>
      </c>
      <c r="K146" s="62">
        <f>'Parameter Input'!S8</f>
        <v>2.8761524609843939E-2</v>
      </c>
      <c r="L146" s="62">
        <f>'Parameter Input'!T8</f>
        <v>2.8154891956782713E-2</v>
      </c>
      <c r="M146" s="62">
        <f>'Parameter Input'!U8</f>
        <v>2.7548259303721487E-2</v>
      </c>
      <c r="N146" s="62">
        <f>'Parameter Input'!V8</f>
        <v>2.6941626650660268E-2</v>
      </c>
      <c r="O146" s="62">
        <f>'Parameter Input'!W8</f>
        <v>2.6334993997599043E-2</v>
      </c>
      <c r="P146" s="62">
        <f>'Parameter Input'!X8</f>
        <v>2.5728361344537817E-2</v>
      </c>
      <c r="Q146" s="62">
        <f>'Parameter Input'!Y8</f>
        <v>2.5121728691476591E-2</v>
      </c>
      <c r="R146" s="62">
        <f>'Parameter Input'!Z8</f>
        <v>2.4515096038415365E-2</v>
      </c>
      <c r="S146" s="62">
        <f>'Parameter Input'!AA8</f>
        <v>2.3908463385354146E-2</v>
      </c>
      <c r="T146" s="62">
        <f>'Parameter Input'!AB8</f>
        <v>2.330183073229292E-2</v>
      </c>
      <c r="U146" s="62">
        <f>'Parameter Input'!AC8</f>
        <v>2.2695198079231694E-2</v>
      </c>
      <c r="V146" s="62">
        <f>'Parameter Input'!AD8</f>
        <v>2.2088565426170468E-2</v>
      </c>
      <c r="W146" s="62">
        <f>'Parameter Input'!AE8</f>
        <v>2.1481932773109242E-2</v>
      </c>
      <c r="X146" s="62">
        <f>'Parameter Input'!AF8</f>
        <v>2.0875300120048023E-2</v>
      </c>
      <c r="Y146" s="62">
        <f>'Parameter Input'!AG8</f>
        <v>2.0268667466986797E-2</v>
      </c>
      <c r="Z146" s="62">
        <f>'Parameter Input'!AH8</f>
        <v>1.9662034813925571E-2</v>
      </c>
      <c r="AA146" s="62">
        <f>'Parameter Input'!AI8</f>
        <v>1.9055402160864345E-2</v>
      </c>
      <c r="AB146" s="62">
        <f>'Parameter Input'!AJ8</f>
        <v>1.8448769507803119E-2</v>
      </c>
      <c r="AC146" s="62">
        <f>'Parameter Input'!AK8</f>
        <v>1.78421368547419E-2</v>
      </c>
    </row>
    <row r="147" spans="1:29" x14ac:dyDescent="0.25">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25">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25">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25">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25">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25">
      <c r="A152" s="30" t="s">
        <v>197</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25">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25">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25">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25">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25">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25">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25">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25">
      <c r="A163" s="30" t="str">
        <f>A146</f>
        <v>Fuel Cost</v>
      </c>
      <c r="B163" s="62">
        <f>B145*B146*B153</f>
        <v>794210.52768000006</v>
      </c>
      <c r="C163" s="62">
        <f t="shared" ref="C163:AC163" si="132">C145*C146*C153</f>
        <v>739437.38783999986</v>
      </c>
      <c r="D163" s="62">
        <f t="shared" si="132"/>
        <v>684664.24800000002</v>
      </c>
      <c r="E163" s="62">
        <f t="shared" si="132"/>
        <v>629891.10815999995</v>
      </c>
      <c r="F163" s="62">
        <f t="shared" si="132"/>
        <v>575117.96831999999</v>
      </c>
      <c r="G163" s="62">
        <f t="shared" si="132"/>
        <v>520344.82848000008</v>
      </c>
      <c r="H163" s="62">
        <f t="shared" si="132"/>
        <v>465571.68864000007</v>
      </c>
      <c r="I163" s="62">
        <f t="shared" si="132"/>
        <v>410798.54879999999</v>
      </c>
      <c r="J163" s="62">
        <f t="shared" si="132"/>
        <v>402484.76864571427</v>
      </c>
      <c r="K163" s="62">
        <f t="shared" si="132"/>
        <v>394170.98849142861</v>
      </c>
      <c r="L163" s="62">
        <f t="shared" si="132"/>
        <v>385857.20833714283</v>
      </c>
      <c r="M163" s="62">
        <f t="shared" si="132"/>
        <v>377543.42818285705</v>
      </c>
      <c r="N163" s="62">
        <f t="shared" si="132"/>
        <v>369229.64802857145</v>
      </c>
      <c r="O163" s="62">
        <f t="shared" si="132"/>
        <v>360915.86787428573</v>
      </c>
      <c r="P163" s="62">
        <f t="shared" si="132"/>
        <v>352602.08772000001</v>
      </c>
      <c r="Q163" s="62">
        <f t="shared" si="132"/>
        <v>344288.30756571429</v>
      </c>
      <c r="R163" s="62">
        <f t="shared" si="132"/>
        <v>335974.52741142851</v>
      </c>
      <c r="S163" s="62">
        <f t="shared" si="132"/>
        <v>327660.74725714285</v>
      </c>
      <c r="T163" s="62">
        <f t="shared" si="132"/>
        <v>319346.96710285713</v>
      </c>
      <c r="U163" s="62">
        <f t="shared" si="132"/>
        <v>311033.18694857141</v>
      </c>
      <c r="V163" s="62">
        <f t="shared" si="132"/>
        <v>302719.40679428569</v>
      </c>
      <c r="W163" s="62">
        <f t="shared" si="132"/>
        <v>294405.62663999997</v>
      </c>
      <c r="X163" s="62">
        <f t="shared" si="132"/>
        <v>286091.84648571431</v>
      </c>
      <c r="Y163" s="62">
        <f t="shared" si="132"/>
        <v>277778.06633142853</v>
      </c>
      <c r="Z163" s="62">
        <f t="shared" si="132"/>
        <v>269464.28617714281</v>
      </c>
      <c r="AA163" s="62">
        <f t="shared" si="132"/>
        <v>261150.50602285712</v>
      </c>
      <c r="AB163" s="62">
        <f t="shared" si="132"/>
        <v>252836.72586857138</v>
      </c>
      <c r="AC163" s="62">
        <f t="shared" si="132"/>
        <v>244522.94571428571</v>
      </c>
    </row>
    <row r="164" spans="1:29" ht="15.75" thickBot="1" x14ac:dyDescent="0.3">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75" thickBot="1" x14ac:dyDescent="0.3">
      <c r="A165" s="31" t="s">
        <v>504</v>
      </c>
      <c r="B165" s="64">
        <f>B156+B157+B158+B159+B160+B161+B162+B163+B164</f>
        <v>3760479.6517195944</v>
      </c>
      <c r="C165" s="64">
        <f t="shared" ref="C165:AC165" si="134">C156+C157+C158+C159+C160+C161+C162+C163+C164</f>
        <v>3705879.003681717</v>
      </c>
      <c r="D165" s="64">
        <f t="shared" si="134"/>
        <v>3651350.7774737221</v>
      </c>
      <c r="E165" s="64">
        <f t="shared" si="134"/>
        <v>3596923.7995178639</v>
      </c>
      <c r="F165" s="64">
        <f t="shared" si="134"/>
        <v>3542636.6647179211</v>
      </c>
      <c r="G165" s="64">
        <f t="shared" si="134"/>
        <v>3488539.2483088942</v>
      </c>
      <c r="H165" s="64">
        <f t="shared" si="134"/>
        <v>3434692.5000138935</v>
      </c>
      <c r="I165" s="64">
        <f t="shared" si="134"/>
        <v>3381164.3311422681</v>
      </c>
      <c r="J165" s="64">
        <f t="shared" si="134"/>
        <v>3374477.9685543515</v>
      </c>
      <c r="K165" s="64">
        <f t="shared" si="134"/>
        <v>3368213.645755637</v>
      </c>
      <c r="L165" s="64">
        <f t="shared" si="134"/>
        <v>3362359.1555983536</v>
      </c>
      <c r="M165" s="64">
        <f t="shared" si="134"/>
        <v>3356826.2757802578</v>
      </c>
      <c r="N165" s="64">
        <f t="shared" si="134"/>
        <v>3351448.2807011409</v>
      </c>
      <c r="O165" s="64">
        <f t="shared" si="134"/>
        <v>3346012.5148629765</v>
      </c>
      <c r="P165" s="64">
        <f t="shared" si="134"/>
        <v>3340318.6503804205</v>
      </c>
      <c r="Q165" s="64">
        <f t="shared" si="134"/>
        <v>3334231.4254639386</v>
      </c>
      <c r="R165" s="64">
        <f t="shared" si="134"/>
        <v>3327700.7173016835</v>
      </c>
      <c r="S165" s="64">
        <f t="shared" si="134"/>
        <v>3320747.5002156994</v>
      </c>
      <c r="T165" s="64">
        <f t="shared" si="134"/>
        <v>3313433.8430339312</v>
      </c>
      <c r="U165" s="64">
        <f t="shared" si="134"/>
        <v>3305835.136336552</v>
      </c>
      <c r="V165" s="64">
        <f t="shared" si="134"/>
        <v>3298022.5170737598</v>
      </c>
      <c r="W165" s="64">
        <f t="shared" si="134"/>
        <v>3290055.0698992512</v>
      </c>
      <c r="X165" s="64">
        <f t="shared" si="134"/>
        <v>3281978.3026614622</v>
      </c>
      <c r="Y165" s="64">
        <f t="shared" si="134"/>
        <v>3273825.6396598388</v>
      </c>
      <c r="Z165" s="64">
        <f t="shared" si="134"/>
        <v>3265620.885689944</v>
      </c>
      <c r="AA165" s="64">
        <f t="shared" si="134"/>
        <v>3257380.6547134737</v>
      </c>
      <c r="AB165" s="64">
        <f t="shared" si="134"/>
        <v>3249116.3875003327</v>
      </c>
      <c r="AC165" s="64">
        <f t="shared" si="134"/>
        <v>3240835.8924017888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25">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25">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25">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25">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25">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25">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25">
      <c r="A175" s="30" t="str">
        <f t="shared" si="135"/>
        <v>Fuel Cost</v>
      </c>
      <c r="B175" s="66">
        <f>B145*B146*B153/B153</f>
        <v>4.4493586984873952</v>
      </c>
      <c r="C175" s="66">
        <f t="shared" ref="C175:AC175" si="143">C145*C146*C153/C153</f>
        <v>4.1425063744537809</v>
      </c>
      <c r="D175" s="66">
        <f t="shared" si="143"/>
        <v>3.8356540504201684</v>
      </c>
      <c r="E175" s="66">
        <f t="shared" si="143"/>
        <v>3.5288017263865541</v>
      </c>
      <c r="F175" s="66">
        <f t="shared" si="143"/>
        <v>3.2219494023529411</v>
      </c>
      <c r="G175" s="66">
        <f t="shared" si="143"/>
        <v>2.9150970783193282</v>
      </c>
      <c r="H175" s="66">
        <f t="shared" si="143"/>
        <v>2.6082447542857148</v>
      </c>
      <c r="I175" s="66">
        <f t="shared" si="143"/>
        <v>2.3013924302521009</v>
      </c>
      <c r="J175" s="66">
        <f t="shared" si="143"/>
        <v>2.2548166310684272</v>
      </c>
      <c r="K175" s="66">
        <f t="shared" si="143"/>
        <v>2.208240831884754</v>
      </c>
      <c r="L175" s="66">
        <f t="shared" si="143"/>
        <v>2.1616650327010802</v>
      </c>
      <c r="M175" s="66">
        <f t="shared" si="143"/>
        <v>2.1150892335174065</v>
      </c>
      <c r="N175" s="66">
        <f t="shared" si="143"/>
        <v>2.0685134343337337</v>
      </c>
      <c r="O175" s="66">
        <f t="shared" si="143"/>
        <v>2.02193763515006</v>
      </c>
      <c r="P175" s="66">
        <f t="shared" si="143"/>
        <v>1.9753618359663867</v>
      </c>
      <c r="Q175" s="66">
        <f t="shared" si="143"/>
        <v>1.9287860367827132</v>
      </c>
      <c r="R175" s="66">
        <f t="shared" si="143"/>
        <v>1.8822102375990393</v>
      </c>
      <c r="S175" s="66">
        <f t="shared" si="143"/>
        <v>1.8356344384153662</v>
      </c>
      <c r="T175" s="66">
        <f t="shared" si="143"/>
        <v>1.7890586392316927</v>
      </c>
      <c r="U175" s="66">
        <f t="shared" si="143"/>
        <v>1.742482840048019</v>
      </c>
      <c r="V175" s="66">
        <f t="shared" si="143"/>
        <v>1.6959070408643455</v>
      </c>
      <c r="W175" s="66">
        <f t="shared" si="143"/>
        <v>1.649331241680672</v>
      </c>
      <c r="X175" s="66">
        <f t="shared" si="143"/>
        <v>1.602755442496999</v>
      </c>
      <c r="Y175" s="66">
        <f t="shared" si="143"/>
        <v>1.556179643313325</v>
      </c>
      <c r="Z175" s="66">
        <f t="shared" si="143"/>
        <v>1.5096038441296515</v>
      </c>
      <c r="AA175" s="66">
        <f t="shared" si="143"/>
        <v>1.4630280449459783</v>
      </c>
      <c r="AB175" s="66">
        <f t="shared" si="143"/>
        <v>1.4164522457623046</v>
      </c>
      <c r="AC175" s="66">
        <f t="shared" si="143"/>
        <v>1.3698764465786315</v>
      </c>
    </row>
    <row r="176" spans="1:29" ht="15.75" thickBot="1" x14ac:dyDescent="0.3">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75" thickBot="1" x14ac:dyDescent="0.3">
      <c r="A177" s="31" t="s">
        <v>187</v>
      </c>
      <c r="B177" s="76">
        <f>B168+B169+B170-B171+B172+B173+B174+B175+B176</f>
        <v>21.295031048481913</v>
      </c>
      <c r="C177" s="76">
        <f t="shared" ref="C177:AC177" si="145">C168+C169+C170-C171+C172+C173+C174+C175+C176</f>
        <v>20.989145065076436</v>
      </c>
      <c r="D177" s="76">
        <f t="shared" si="145"/>
        <v>20.683664806208114</v>
      </c>
      <c r="E177" s="76">
        <f t="shared" si="145"/>
        <v>20.378751764438601</v>
      </c>
      <c r="F177" s="76">
        <f t="shared" si="145"/>
        <v>20.074622157716234</v>
      </c>
      <c r="G177" s="76">
        <f t="shared" si="145"/>
        <v>19.771555399122246</v>
      </c>
      <c r="H177" s="76">
        <f t="shared" si="145"/>
        <v>19.46989294368807</v>
      </c>
      <c r="I177" s="76">
        <f t="shared" si="145"/>
        <v>19.170015246928262</v>
      </c>
      <c r="J177" s="76">
        <f t="shared" si="145"/>
        <v>19.132556632990354</v>
      </c>
      <c r="K177" s="76">
        <f t="shared" si="145"/>
        <v>19.097462387619405</v>
      </c>
      <c r="L177" s="76">
        <f t="shared" si="145"/>
        <v>19.064664123432941</v>
      </c>
      <c r="M177" s="76">
        <f t="shared" si="145"/>
        <v>19.033667597841369</v>
      </c>
      <c r="N177" s="76">
        <f t="shared" si="145"/>
        <v>19.003538773868726</v>
      </c>
      <c r="O177" s="76">
        <f t="shared" si="145"/>
        <v>18.973086304187131</v>
      </c>
      <c r="P177" s="76">
        <f t="shared" si="145"/>
        <v>18.941187903724632</v>
      </c>
      <c r="Q177" s="76">
        <f t="shared" si="145"/>
        <v>18.907085803352189</v>
      </c>
      <c r="R177" s="76">
        <f t="shared" si="145"/>
        <v>18.870499203003419</v>
      </c>
      <c r="S177" s="76">
        <f t="shared" si="145"/>
        <v>18.831545605883058</v>
      </c>
      <c r="T177" s="76">
        <f t="shared" si="145"/>
        <v>18.790572736517412</v>
      </c>
      <c r="U177" s="76">
        <f t="shared" si="145"/>
        <v>18.74800295109792</v>
      </c>
      <c r="V177" s="76">
        <f t="shared" si="145"/>
        <v>18.704234775956223</v>
      </c>
      <c r="W177" s="76">
        <f t="shared" si="145"/>
        <v>18.659599217555623</v>
      </c>
      <c r="X177" s="76">
        <f t="shared" si="145"/>
        <v>18.614351221825707</v>
      </c>
      <c r="Y177" s="76">
        <f t="shared" si="145"/>
        <v>18.568678039743784</v>
      </c>
      <c r="Z177" s="76">
        <f t="shared" si="145"/>
        <v>18.522713031509078</v>
      </c>
      <c r="AA177" s="76">
        <f t="shared" si="145"/>
        <v>18.476549272537259</v>
      </c>
      <c r="AB177" s="76">
        <f t="shared" si="145"/>
        <v>18.430250856777363</v>
      </c>
      <c r="AC177" s="76">
        <f t="shared" si="145"/>
        <v>18.383861528494208</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25">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25">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25">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25">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25">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25">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25">
      <c r="A187" s="30" t="str">
        <f t="shared" si="146"/>
        <v>Fuel Cost</v>
      </c>
      <c r="B187" s="66">
        <f>B145*B146*B153/B153/(B150)</f>
        <v>1.9863208475390157E-3</v>
      </c>
      <c r="C187" s="66">
        <f t="shared" ref="C187:AC187" si="154">C145*C146*C153/C153/(C150)</f>
        <v>1.8493332028811521E-3</v>
      </c>
      <c r="D187" s="66">
        <f t="shared" si="154"/>
        <v>1.7123455582232895E-3</v>
      </c>
      <c r="E187" s="66">
        <f t="shared" si="154"/>
        <v>1.5753579135654259E-3</v>
      </c>
      <c r="F187" s="66">
        <f t="shared" si="154"/>
        <v>1.4383702689075631E-3</v>
      </c>
      <c r="G187" s="66">
        <f t="shared" si="154"/>
        <v>1.3013826242497001E-3</v>
      </c>
      <c r="H187" s="66">
        <f t="shared" si="154"/>
        <v>1.1643949795918369E-3</v>
      </c>
      <c r="I187" s="66">
        <f t="shared" si="154"/>
        <v>1.0274073349339737E-3</v>
      </c>
      <c r="J187" s="66">
        <f t="shared" si="154"/>
        <v>1.0066145674412622E-3</v>
      </c>
      <c r="K187" s="66">
        <f t="shared" si="154"/>
        <v>9.8582179994855077E-4</v>
      </c>
      <c r="L187" s="66">
        <f t="shared" si="154"/>
        <v>9.650290324558394E-4</v>
      </c>
      <c r="M187" s="66">
        <f t="shared" si="154"/>
        <v>9.4423626496312793E-4</v>
      </c>
      <c r="N187" s="66">
        <f t="shared" si="154"/>
        <v>9.2344349747041678E-4</v>
      </c>
      <c r="O187" s="66">
        <f t="shared" si="154"/>
        <v>9.026507299777053E-4</v>
      </c>
      <c r="P187" s="66">
        <f t="shared" si="154"/>
        <v>8.8185796248499405E-4</v>
      </c>
      <c r="Q187" s="66">
        <f t="shared" si="154"/>
        <v>8.6106519499228268E-4</v>
      </c>
      <c r="R187" s="66">
        <f t="shared" si="154"/>
        <v>8.402724274995711E-4</v>
      </c>
      <c r="S187" s="66">
        <f t="shared" si="154"/>
        <v>8.1947966000685995E-4</v>
      </c>
      <c r="T187" s="66">
        <f t="shared" si="154"/>
        <v>7.9868689251414858E-4</v>
      </c>
      <c r="U187" s="66">
        <f t="shared" si="154"/>
        <v>7.7789412502143711E-4</v>
      </c>
      <c r="V187" s="66">
        <f t="shared" si="154"/>
        <v>7.5710135752872563E-4</v>
      </c>
      <c r="W187" s="66">
        <f t="shared" si="154"/>
        <v>7.3630859003601427E-4</v>
      </c>
      <c r="X187" s="66">
        <f t="shared" si="154"/>
        <v>7.1551582254330312E-4</v>
      </c>
      <c r="Y187" s="66">
        <f t="shared" si="154"/>
        <v>6.9472305505059154E-4</v>
      </c>
      <c r="Z187" s="66">
        <f t="shared" si="154"/>
        <v>6.7393028755788017E-4</v>
      </c>
      <c r="AA187" s="66">
        <f t="shared" si="154"/>
        <v>6.5313752006516891E-4</v>
      </c>
      <c r="AB187" s="66">
        <f t="shared" si="154"/>
        <v>6.3234475257245744E-4</v>
      </c>
      <c r="AC187" s="66">
        <f t="shared" si="154"/>
        <v>6.1155198507974618E-4</v>
      </c>
    </row>
    <row r="188" spans="1:29" x14ac:dyDescent="0.25">
      <c r="A188" s="59" t="str">
        <f>A151</f>
        <v>Market failure (av. utilization)</v>
      </c>
      <c r="B188" s="66">
        <f t="shared" ref="B188:AC188" si="155">B177/B151-B177/B150</f>
        <v>1.2774641951516773E-2</v>
      </c>
      <c r="C188" s="66">
        <f t="shared" si="155"/>
        <v>1.2591144500534135E-2</v>
      </c>
      <c r="D188" s="66">
        <f t="shared" si="155"/>
        <v>1.240789043899203E-2</v>
      </c>
      <c r="E188" s="66">
        <f t="shared" si="155"/>
        <v>1.2224976644403737E-2</v>
      </c>
      <c r="F188" s="66">
        <f t="shared" si="155"/>
        <v>1.204253282340678E-2</v>
      </c>
      <c r="G188" s="66">
        <f t="shared" si="155"/>
        <v>1.186072659266541E-2</v>
      </c>
      <c r="H188" s="66">
        <f t="shared" si="155"/>
        <v>1.1679762787089661E-2</v>
      </c>
      <c r="I188" s="66">
        <f t="shared" si="155"/>
        <v>1.149986963752672E-2</v>
      </c>
      <c r="J188" s="66">
        <f t="shared" si="155"/>
        <v>1.1477398649812851E-2</v>
      </c>
      <c r="K188" s="66">
        <f t="shared" si="155"/>
        <v>1.1456346019358738E-2</v>
      </c>
      <c r="L188" s="66">
        <f t="shared" si="155"/>
        <v>1.1436670721367415E-2</v>
      </c>
      <c r="M188" s="66">
        <f t="shared" si="155"/>
        <v>1.1418076265446135E-2</v>
      </c>
      <c r="N188" s="66">
        <f t="shared" si="155"/>
        <v>1.1400002333654508E-2</v>
      </c>
      <c r="O188" s="66">
        <f t="shared" si="155"/>
        <v>1.1381734250558684E-2</v>
      </c>
      <c r="P188" s="66">
        <f t="shared" si="155"/>
        <v>1.1362598770370524E-2</v>
      </c>
      <c r="Q188" s="66">
        <f t="shared" si="155"/>
        <v>1.1342141316185047E-2</v>
      </c>
      <c r="R188" s="66">
        <f t="shared" si="155"/>
        <v>1.1320193439301717E-2</v>
      </c>
      <c r="S188" s="66">
        <f t="shared" si="155"/>
        <v>1.1296825628529178E-2</v>
      </c>
      <c r="T188" s="66">
        <f t="shared" si="155"/>
        <v>1.1272246479774673E-2</v>
      </c>
      <c r="U188" s="66">
        <f t="shared" si="155"/>
        <v>1.1246709359615104E-2</v>
      </c>
      <c r="V188" s="66">
        <f t="shared" si="155"/>
        <v>1.1220453339371059E-2</v>
      </c>
      <c r="W188" s="66">
        <f t="shared" si="155"/>
        <v>1.1193676985977844E-2</v>
      </c>
      <c r="X188" s="66">
        <f t="shared" si="155"/>
        <v>1.1166533238539415E-2</v>
      </c>
      <c r="Y188" s="66">
        <f t="shared" si="155"/>
        <v>1.113913442674362E-2</v>
      </c>
      <c r="Z188" s="66">
        <f t="shared" si="155"/>
        <v>1.1111560551826037E-2</v>
      </c>
      <c r="AA188" s="66">
        <f t="shared" si="155"/>
        <v>1.1083867448648187E-2</v>
      </c>
      <c r="AB188" s="66">
        <f t="shared" si="155"/>
        <v>1.105609356642615E-2</v>
      </c>
      <c r="AC188" s="66">
        <f t="shared" si="155"/>
        <v>1.1028265146836648E-2</v>
      </c>
    </row>
    <row r="189" spans="1:29" x14ac:dyDescent="0.25">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75" thickBot="1" x14ac:dyDescent="0.3">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75" thickBot="1" x14ac:dyDescent="0.3">
      <c r="A191" s="31" t="s">
        <v>505</v>
      </c>
      <c r="B191" s="67">
        <f>B180+B181+B182+B183+B184+B185+B186+B187+B188+B189+B190</f>
        <v>2.2179603065261261E-2</v>
      </c>
      <c r="C191" s="67">
        <f t="shared" ref="C191:AC191" si="158">C180+C181+C182+C183+C184+C185+C186+C187+C188+C189+C190</f>
        <v>2.1859549371686889E-2</v>
      </c>
      <c r="D191" s="67">
        <f t="shared" si="158"/>
        <v>2.1539920194578573E-2</v>
      </c>
      <c r="E191" s="67">
        <f t="shared" si="158"/>
        <v>2.1220884506343171E-2</v>
      </c>
      <c r="F191" s="67">
        <f t="shared" si="158"/>
        <v>2.0902668539488016E-2</v>
      </c>
      <c r="G191" s="67">
        <f t="shared" si="158"/>
        <v>2.0585564648660043E-2</v>
      </c>
      <c r="H191" s="67">
        <f t="shared" si="158"/>
        <v>2.0269930104051179E-2</v>
      </c>
      <c r="I191" s="67">
        <f t="shared" si="158"/>
        <v>1.9956162982720467E-2</v>
      </c>
      <c r="J191" s="67">
        <f t="shared" si="158"/>
        <v>1.9916969399498604E-2</v>
      </c>
      <c r="K191" s="67">
        <f t="shared" si="158"/>
        <v>1.9880249695218174E-2</v>
      </c>
      <c r="L191" s="67">
        <f t="shared" si="158"/>
        <v>1.9845932315000751E-2</v>
      </c>
      <c r="M191" s="67">
        <f t="shared" si="158"/>
        <v>1.9813500124440376E-2</v>
      </c>
      <c r="N191" s="67">
        <f t="shared" si="158"/>
        <v>1.9781975824803823E-2</v>
      </c>
      <c r="O191" s="67">
        <f t="shared" si="158"/>
        <v>1.975011288917157E-2</v>
      </c>
      <c r="P191" s="67">
        <f t="shared" si="158"/>
        <v>1.971673705163408E-2</v>
      </c>
      <c r="Q191" s="67">
        <f t="shared" si="158"/>
        <v>1.9681055445496618E-2</v>
      </c>
      <c r="R191" s="67">
        <f t="shared" si="158"/>
        <v>1.964277426488616E-2</v>
      </c>
      <c r="S191" s="67">
        <f t="shared" si="158"/>
        <v>1.9602016455399177E-2</v>
      </c>
      <c r="T191" s="67">
        <f t="shared" si="158"/>
        <v>1.9559145847106434E-2</v>
      </c>
      <c r="U191" s="67">
        <f t="shared" si="158"/>
        <v>1.951460435845602E-2</v>
      </c>
      <c r="V191" s="67">
        <f t="shared" si="158"/>
        <v>1.9468808974309436E-2</v>
      </c>
      <c r="W191" s="67">
        <f t="shared" si="158"/>
        <v>1.9422106032344521E-2</v>
      </c>
      <c r="X191" s="67">
        <f t="shared" si="158"/>
        <v>1.937476228681238E-2</v>
      </c>
      <c r="Y191" s="67">
        <f t="shared" si="158"/>
        <v>1.9326973661587157E-2</v>
      </c>
      <c r="Z191" s="67">
        <f t="shared" si="158"/>
        <v>1.9278879693707653E-2</v>
      </c>
      <c r="AA191" s="67">
        <f t="shared" si="158"/>
        <v>1.9230577769560237E-2</v>
      </c>
      <c r="AB191" s="67">
        <f t="shared" si="158"/>
        <v>1.9182134951731104E-2</v>
      </c>
      <c r="AC191" s="67">
        <f t="shared" si="158"/>
        <v>1.9133597010586624E-2</v>
      </c>
    </row>
    <row r="193" spans="2:2" x14ac:dyDescent="0.25">
      <c r="B193" s="40"/>
    </row>
    <row r="215" spans="1:44" s="3" customFormat="1" ht="21" x14ac:dyDescent="0.35">
      <c r="A215" s="2" t="str">
        <f>'Parameter Input'!A170</f>
        <v>Railway long-haul: Container</v>
      </c>
    </row>
    <row r="216" spans="1:44" s="3" customFormat="1" ht="21" x14ac:dyDescent="0.35">
      <c r="A216" s="2" t="s">
        <v>100</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Input'!$L$147</f>
        <v>3500000</v>
      </c>
      <c r="C225" s="42">
        <f>'Parameter Input'!$M$147</f>
        <v>3500000</v>
      </c>
      <c r="D225" s="1" t="s">
        <v>138</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25">
      <c r="A226" s="24" t="s">
        <v>151</v>
      </c>
      <c r="B226" s="60">
        <f>'Parameter Input'!$L$148</f>
        <v>-525000</v>
      </c>
      <c r="C226" s="61">
        <f>'Parameter Input'!$M$148</f>
        <v>-175000</v>
      </c>
      <c r="D226" s="1" t="s">
        <v>138</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25">
      <c r="A229" s="24" t="s">
        <v>203</v>
      </c>
      <c r="B229" s="45">
        <f>'Parameter Input'!$L$154</f>
        <v>0.06</v>
      </c>
      <c r="C229" s="46">
        <f>'Parameter Input'!$M$154</f>
        <v>0.06</v>
      </c>
      <c r="D229" s="1" t="s">
        <v>180</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25">
      <c r="A231" s="24" t="s">
        <v>175</v>
      </c>
      <c r="B231" s="43">
        <f>'Parameter Input'!$L$150</f>
        <v>1050000</v>
      </c>
      <c r="C231" s="44">
        <f>'Parameter Input'!$M$150</f>
        <v>1050000</v>
      </c>
      <c r="D231" s="1" t="s">
        <v>161</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25">
      <c r="A233" s="24" t="s">
        <v>183</v>
      </c>
      <c r="B233" s="47">
        <f>'Parameter Input'!$L$151</f>
        <v>76.777599999999993</v>
      </c>
      <c r="C233" s="48">
        <f>'Parameter Input'!$M$151</f>
        <v>76.777599999999993</v>
      </c>
      <c r="D233" s="1" t="s">
        <v>184</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25">
      <c r="A234" s="24" t="s">
        <v>191</v>
      </c>
      <c r="B234" s="45">
        <f>'Parameter Input'!$L$152</f>
        <v>0.1</v>
      </c>
      <c r="C234" s="46">
        <f>'Parameter Input'!$M$152</f>
        <v>0.1</v>
      </c>
      <c r="D234" s="1" t="s">
        <v>94</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25">
      <c r="A235" s="24" t="s">
        <v>458</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25">
      <c r="A236" s="24" t="s">
        <v>164</v>
      </c>
      <c r="B236" s="43">
        <f>'Parameter Input'!$L$149</f>
        <v>20</v>
      </c>
      <c r="C236" s="44">
        <f>'Parameter Input'!$M$149</f>
        <v>20</v>
      </c>
      <c r="D236" s="1" t="s">
        <v>165</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25">
      <c r="A240" s="24" t="s">
        <v>197</v>
      </c>
      <c r="B240" s="72">
        <f>'Parameter Input'!$L$153</f>
        <v>0</v>
      </c>
      <c r="C240" s="73">
        <f>'Parameter Input'!$M$153</f>
        <v>0</v>
      </c>
      <c r="D240" s="1" t="s">
        <v>180</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25">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25">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25">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25">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25">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25">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25">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25">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25">
      <c r="A254" s="30" t="str">
        <f t="shared" si="164"/>
        <v>Fuel Cost</v>
      </c>
      <c r="B254" s="62">
        <f>'Parameter Input'!J8</f>
        <v>5.7951260504201685E-2</v>
      </c>
      <c r="C254" s="62">
        <f>'Parameter Input'!K8</f>
        <v>5.3954621848739497E-2</v>
      </c>
      <c r="D254" s="62">
        <f>'Parameter Input'!L8</f>
        <v>4.9957983193277315E-2</v>
      </c>
      <c r="E254" s="62">
        <f>'Parameter Input'!M8</f>
        <v>4.5961344537815127E-2</v>
      </c>
      <c r="F254" s="62">
        <f>'Parameter Input'!N8</f>
        <v>4.1964705882352946E-2</v>
      </c>
      <c r="G254" s="62">
        <f>'Parameter Input'!O8</f>
        <v>3.7968067226890764E-2</v>
      </c>
      <c r="H254" s="62">
        <f>'Parameter Input'!P8</f>
        <v>3.3971428571428583E-2</v>
      </c>
      <c r="I254" s="62">
        <f>'Parameter Input'!Q8</f>
        <v>2.9974789915966391E-2</v>
      </c>
      <c r="J254" s="62">
        <f>'Parameter Input'!R8</f>
        <v>2.9368157262905165E-2</v>
      </c>
      <c r="K254" s="62">
        <f>'Parameter Input'!S8</f>
        <v>2.8761524609843939E-2</v>
      </c>
      <c r="L254" s="62">
        <f>'Parameter Input'!T8</f>
        <v>2.8154891956782713E-2</v>
      </c>
      <c r="M254" s="62">
        <f>'Parameter Input'!U8</f>
        <v>2.7548259303721487E-2</v>
      </c>
      <c r="N254" s="62">
        <f>'Parameter Input'!V8</f>
        <v>2.6941626650660268E-2</v>
      </c>
      <c r="O254" s="62">
        <f>'Parameter Input'!W8</f>
        <v>2.6334993997599043E-2</v>
      </c>
      <c r="P254" s="62">
        <f>'Parameter Input'!X8</f>
        <v>2.5728361344537817E-2</v>
      </c>
      <c r="Q254" s="62">
        <f>'Parameter Input'!Y8</f>
        <v>2.5121728691476591E-2</v>
      </c>
      <c r="R254" s="62">
        <f>'Parameter Input'!Z8</f>
        <v>2.4515096038415365E-2</v>
      </c>
      <c r="S254" s="62">
        <f>'Parameter Input'!AA8</f>
        <v>2.3908463385354146E-2</v>
      </c>
      <c r="T254" s="62">
        <f>'Parameter Input'!AB8</f>
        <v>2.330183073229292E-2</v>
      </c>
      <c r="U254" s="62">
        <f>'Parameter Input'!AC8</f>
        <v>2.2695198079231694E-2</v>
      </c>
      <c r="V254" s="62">
        <f>'Parameter Input'!AD8</f>
        <v>2.2088565426170468E-2</v>
      </c>
      <c r="W254" s="62">
        <f>'Parameter Input'!AE8</f>
        <v>2.1481932773109242E-2</v>
      </c>
      <c r="X254" s="62">
        <f>'Parameter Input'!AF8</f>
        <v>2.0875300120048023E-2</v>
      </c>
      <c r="Y254" s="62">
        <f>'Parameter Input'!AG8</f>
        <v>2.0268667466986797E-2</v>
      </c>
      <c r="Z254" s="62">
        <f>'Parameter Input'!AH8</f>
        <v>1.9662034813925571E-2</v>
      </c>
      <c r="AA254" s="62">
        <f>'Parameter Input'!AI8</f>
        <v>1.9055402160864345E-2</v>
      </c>
      <c r="AB254" s="62">
        <f>'Parameter Input'!AJ8</f>
        <v>1.8448769507803119E-2</v>
      </c>
      <c r="AC254" s="62">
        <f>'Parameter Input'!AK8</f>
        <v>1.78421368547419E-2</v>
      </c>
    </row>
    <row r="255" spans="1:44" x14ac:dyDescent="0.25">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25">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25">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25">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25">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25">
      <c r="A260" s="30" t="s">
        <v>197</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25">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25">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25">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25">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25">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25">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25">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25">
      <c r="A271" s="30" t="str">
        <f>A254</f>
        <v>Fuel Cost</v>
      </c>
      <c r="B271" s="62">
        <f>B253*B254*B261</f>
        <v>794210.52768000006</v>
      </c>
      <c r="C271" s="62">
        <f t="shared" ref="C271:AC271" si="208">C253*C254*C261</f>
        <v>739437.38783999986</v>
      </c>
      <c r="D271" s="62">
        <f t="shared" si="208"/>
        <v>684664.24800000002</v>
      </c>
      <c r="E271" s="62">
        <f t="shared" si="208"/>
        <v>629891.10815999995</v>
      </c>
      <c r="F271" s="62">
        <f t="shared" si="208"/>
        <v>575117.96831999999</v>
      </c>
      <c r="G271" s="62">
        <f t="shared" si="208"/>
        <v>520344.82848000008</v>
      </c>
      <c r="H271" s="62">
        <f t="shared" si="208"/>
        <v>465571.68864000007</v>
      </c>
      <c r="I271" s="62">
        <f t="shared" si="208"/>
        <v>410798.54879999999</v>
      </c>
      <c r="J271" s="62">
        <f t="shared" si="208"/>
        <v>402484.76864571427</v>
      </c>
      <c r="K271" s="62">
        <f t="shared" si="208"/>
        <v>394170.98849142861</v>
      </c>
      <c r="L271" s="62">
        <f t="shared" si="208"/>
        <v>385857.20833714283</v>
      </c>
      <c r="M271" s="62">
        <f t="shared" si="208"/>
        <v>377543.42818285705</v>
      </c>
      <c r="N271" s="62">
        <f t="shared" si="208"/>
        <v>369229.64802857145</v>
      </c>
      <c r="O271" s="62">
        <f t="shared" si="208"/>
        <v>360915.86787428573</v>
      </c>
      <c r="P271" s="62">
        <f t="shared" si="208"/>
        <v>352602.08772000001</v>
      </c>
      <c r="Q271" s="62">
        <f t="shared" si="208"/>
        <v>344288.30756571429</v>
      </c>
      <c r="R271" s="62">
        <f t="shared" si="208"/>
        <v>335974.52741142851</v>
      </c>
      <c r="S271" s="62">
        <f t="shared" si="208"/>
        <v>327660.74725714285</v>
      </c>
      <c r="T271" s="62">
        <f t="shared" si="208"/>
        <v>319346.96710285713</v>
      </c>
      <c r="U271" s="62">
        <f t="shared" si="208"/>
        <v>311033.18694857141</v>
      </c>
      <c r="V271" s="62">
        <f t="shared" si="208"/>
        <v>302719.40679428569</v>
      </c>
      <c r="W271" s="62">
        <f t="shared" si="208"/>
        <v>294405.62663999997</v>
      </c>
      <c r="X271" s="62">
        <f t="shared" si="208"/>
        <v>286091.84648571431</v>
      </c>
      <c r="Y271" s="62">
        <f t="shared" si="208"/>
        <v>277778.06633142853</v>
      </c>
      <c r="Z271" s="62">
        <f t="shared" si="208"/>
        <v>269464.28617714281</v>
      </c>
      <c r="AA271" s="62">
        <f t="shared" si="208"/>
        <v>261150.50602285712</v>
      </c>
      <c r="AB271" s="62">
        <f t="shared" si="208"/>
        <v>252836.72586857138</v>
      </c>
      <c r="AC271" s="62">
        <f t="shared" si="208"/>
        <v>244522.94571428571</v>
      </c>
    </row>
    <row r="272" spans="1:29" ht="15.75" thickBot="1" x14ac:dyDescent="0.3">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75" thickBot="1" x14ac:dyDescent="0.3">
      <c r="A273" s="31" t="s">
        <v>504</v>
      </c>
      <c r="B273" s="64">
        <f>B264+B265+B266+B267+B268+B269+B270+B271+B272</f>
        <v>3557233.5471560694</v>
      </c>
      <c r="C273" s="64">
        <f t="shared" ref="C273:AC273" si="210">C264+C265+C266+C267+C268+C269+C270+C271+C272</f>
        <v>3502632.8991181916</v>
      </c>
      <c r="D273" s="64">
        <f t="shared" si="210"/>
        <v>3448104.6729101967</v>
      </c>
      <c r="E273" s="64">
        <f t="shared" si="210"/>
        <v>3393677.694954338</v>
      </c>
      <c r="F273" s="64">
        <f t="shared" si="210"/>
        <v>3339390.5601543961</v>
      </c>
      <c r="G273" s="64">
        <f t="shared" si="210"/>
        <v>3285293.1437453688</v>
      </c>
      <c r="H273" s="64">
        <f t="shared" si="210"/>
        <v>3231446.3954503685</v>
      </c>
      <c r="I273" s="64">
        <f t="shared" si="210"/>
        <v>3177918.2265787427</v>
      </c>
      <c r="J273" s="64">
        <f t="shared" si="210"/>
        <v>3171231.8639908256</v>
      </c>
      <c r="K273" s="64">
        <f t="shared" si="210"/>
        <v>3164967.5411921111</v>
      </c>
      <c r="L273" s="64">
        <f t="shared" si="210"/>
        <v>3159113.0510348277</v>
      </c>
      <c r="M273" s="64">
        <f t="shared" si="210"/>
        <v>3153580.1712167319</v>
      </c>
      <c r="N273" s="64">
        <f t="shared" si="210"/>
        <v>3148202.1761376155</v>
      </c>
      <c r="O273" s="64">
        <f t="shared" si="210"/>
        <v>3142766.4102994506</v>
      </c>
      <c r="P273" s="64">
        <f t="shared" si="210"/>
        <v>3137072.5458168951</v>
      </c>
      <c r="Q273" s="64">
        <f t="shared" si="210"/>
        <v>3130985.3209004132</v>
      </c>
      <c r="R273" s="64">
        <f t="shared" si="210"/>
        <v>3124454.6127381576</v>
      </c>
      <c r="S273" s="64">
        <f t="shared" si="210"/>
        <v>3117501.3956521736</v>
      </c>
      <c r="T273" s="64">
        <f t="shared" si="210"/>
        <v>3110187.7384704058</v>
      </c>
      <c r="U273" s="64">
        <f t="shared" si="210"/>
        <v>3102589.0317730261</v>
      </c>
      <c r="V273" s="64">
        <f t="shared" si="210"/>
        <v>3094776.4125102344</v>
      </c>
      <c r="W273" s="64">
        <f t="shared" si="210"/>
        <v>3086808.9653357258</v>
      </c>
      <c r="X273" s="64">
        <f t="shared" si="210"/>
        <v>3078732.1980979368</v>
      </c>
      <c r="Y273" s="64">
        <f t="shared" si="210"/>
        <v>3070579.5350963133</v>
      </c>
      <c r="Z273" s="64">
        <f t="shared" si="210"/>
        <v>3062374.7811264186</v>
      </c>
      <c r="AA273" s="64">
        <f t="shared" si="210"/>
        <v>3054134.5501499483</v>
      </c>
      <c r="AB273" s="64">
        <f t="shared" si="210"/>
        <v>3045870.2829368068</v>
      </c>
      <c r="AC273" s="64">
        <f t="shared" si="210"/>
        <v>3037589.7878382634</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25">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25">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25">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25">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25">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25">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25">
      <c r="A283" s="30" t="str">
        <f t="shared" si="211"/>
        <v>Fuel Cost</v>
      </c>
      <c r="B283" s="66">
        <f>B253*B254*B261/B261</f>
        <v>4.4493586984873952</v>
      </c>
      <c r="C283" s="66">
        <f t="shared" ref="C283:AC283" si="219">C253*C254*C261/C261</f>
        <v>4.1425063744537809</v>
      </c>
      <c r="D283" s="66">
        <f t="shared" si="219"/>
        <v>3.8356540504201684</v>
      </c>
      <c r="E283" s="66">
        <f t="shared" si="219"/>
        <v>3.5288017263865541</v>
      </c>
      <c r="F283" s="66">
        <f t="shared" si="219"/>
        <v>3.2219494023529411</v>
      </c>
      <c r="G283" s="66">
        <f t="shared" si="219"/>
        <v>2.9150970783193282</v>
      </c>
      <c r="H283" s="66">
        <f t="shared" si="219"/>
        <v>2.6082447542857148</v>
      </c>
      <c r="I283" s="66">
        <f t="shared" si="219"/>
        <v>2.3013924302521009</v>
      </c>
      <c r="J283" s="66">
        <f t="shared" si="219"/>
        <v>2.2548166310684272</v>
      </c>
      <c r="K283" s="66">
        <f t="shared" si="219"/>
        <v>2.208240831884754</v>
      </c>
      <c r="L283" s="66">
        <f t="shared" si="219"/>
        <v>2.1616650327010802</v>
      </c>
      <c r="M283" s="66">
        <f t="shared" si="219"/>
        <v>2.1150892335174065</v>
      </c>
      <c r="N283" s="66">
        <f t="shared" si="219"/>
        <v>2.0685134343337337</v>
      </c>
      <c r="O283" s="66">
        <f t="shared" si="219"/>
        <v>2.02193763515006</v>
      </c>
      <c r="P283" s="66">
        <f t="shared" si="219"/>
        <v>1.9753618359663867</v>
      </c>
      <c r="Q283" s="66">
        <f t="shared" si="219"/>
        <v>1.9287860367827132</v>
      </c>
      <c r="R283" s="66">
        <f t="shared" si="219"/>
        <v>1.8822102375990393</v>
      </c>
      <c r="S283" s="66">
        <f t="shared" si="219"/>
        <v>1.8356344384153662</v>
      </c>
      <c r="T283" s="66">
        <f t="shared" si="219"/>
        <v>1.7890586392316927</v>
      </c>
      <c r="U283" s="66">
        <f t="shared" si="219"/>
        <v>1.742482840048019</v>
      </c>
      <c r="V283" s="66">
        <f t="shared" si="219"/>
        <v>1.6959070408643455</v>
      </c>
      <c r="W283" s="66">
        <f t="shared" si="219"/>
        <v>1.649331241680672</v>
      </c>
      <c r="X283" s="66">
        <f t="shared" si="219"/>
        <v>1.602755442496999</v>
      </c>
      <c r="Y283" s="66">
        <f t="shared" si="219"/>
        <v>1.556179643313325</v>
      </c>
      <c r="Z283" s="66">
        <f t="shared" si="219"/>
        <v>1.5096038441296515</v>
      </c>
      <c r="AA283" s="66">
        <f t="shared" si="219"/>
        <v>1.4630280449459783</v>
      </c>
      <c r="AB283" s="66">
        <f t="shared" si="219"/>
        <v>1.4164522457623046</v>
      </c>
      <c r="AC283" s="66">
        <f t="shared" si="219"/>
        <v>1.3698764465786315</v>
      </c>
    </row>
    <row r="284" spans="1:29" ht="15.75" thickBot="1" x14ac:dyDescent="0.3">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75" thickBot="1" x14ac:dyDescent="0.3">
      <c r="A285" s="31" t="s">
        <v>187</v>
      </c>
      <c r="B285" s="76">
        <f>B276+B277+B278-B279+B280+B281+B282+B283+B284</f>
        <v>20.04243833262343</v>
      </c>
      <c r="C285" s="76">
        <f t="shared" ref="C285:AC285" si="221">C276+C277+C278-C279+C280+C281+C282+C283+C284</f>
        <v>19.736552349217952</v>
      </c>
      <c r="D285" s="76">
        <f t="shared" si="221"/>
        <v>19.431072090349634</v>
      </c>
      <c r="E285" s="76">
        <f t="shared" si="221"/>
        <v>19.126159048580121</v>
      </c>
      <c r="F285" s="76">
        <f t="shared" si="221"/>
        <v>18.822029441857755</v>
      </c>
      <c r="G285" s="76">
        <f t="shared" si="221"/>
        <v>18.518962683263762</v>
      </c>
      <c r="H285" s="76">
        <f t="shared" si="221"/>
        <v>18.217300227829586</v>
      </c>
      <c r="I285" s="76">
        <f t="shared" si="221"/>
        <v>17.917422531069782</v>
      </c>
      <c r="J285" s="76">
        <f t="shared" si="221"/>
        <v>17.879963917131871</v>
      </c>
      <c r="K285" s="76">
        <f t="shared" si="221"/>
        <v>17.844869671760922</v>
      </c>
      <c r="L285" s="76">
        <f t="shared" si="221"/>
        <v>17.812071407574457</v>
      </c>
      <c r="M285" s="76">
        <f t="shared" si="221"/>
        <v>17.781074881982885</v>
      </c>
      <c r="N285" s="76">
        <f t="shared" si="221"/>
        <v>17.750946058010243</v>
      </c>
      <c r="O285" s="76">
        <f t="shared" si="221"/>
        <v>17.720493588328651</v>
      </c>
      <c r="P285" s="76">
        <f t="shared" si="221"/>
        <v>17.688595187866152</v>
      </c>
      <c r="Q285" s="76">
        <f t="shared" si="221"/>
        <v>17.654493087493705</v>
      </c>
      <c r="R285" s="76">
        <f t="shared" si="221"/>
        <v>17.617906487144936</v>
      </c>
      <c r="S285" s="76">
        <f t="shared" si="221"/>
        <v>17.578952890024578</v>
      </c>
      <c r="T285" s="76">
        <f t="shared" si="221"/>
        <v>17.537980020658928</v>
      </c>
      <c r="U285" s="76">
        <f t="shared" si="221"/>
        <v>17.495410235239437</v>
      </c>
      <c r="V285" s="76">
        <f t="shared" si="221"/>
        <v>17.451642060097743</v>
      </c>
      <c r="W285" s="76">
        <f t="shared" si="221"/>
        <v>17.40700650169714</v>
      </c>
      <c r="X285" s="76">
        <f t="shared" si="221"/>
        <v>17.361758505967224</v>
      </c>
      <c r="Y285" s="76">
        <f t="shared" si="221"/>
        <v>17.316085323885304</v>
      </c>
      <c r="Z285" s="76">
        <f t="shared" si="221"/>
        <v>17.270120315650598</v>
      </c>
      <c r="AA285" s="76">
        <f t="shared" si="221"/>
        <v>17.223956556678775</v>
      </c>
      <c r="AB285" s="76">
        <f t="shared" si="221"/>
        <v>17.177658140918879</v>
      </c>
      <c r="AC285" s="76">
        <f t="shared" si="221"/>
        <v>17.131268812635724</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25">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25">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25">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25">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25">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25">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25">
      <c r="A295" s="30" t="str">
        <f t="shared" si="222"/>
        <v>Fuel Cost</v>
      </c>
      <c r="B295" s="66">
        <f>B253*B254*B261/B261/(B258)</f>
        <v>1.9863208475390157E-3</v>
      </c>
      <c r="C295" s="66">
        <f t="shared" ref="C295:AC295" si="230">C253*C254*C261/C261/(C258)</f>
        <v>1.8493332028811521E-3</v>
      </c>
      <c r="D295" s="66">
        <f t="shared" si="230"/>
        <v>1.7123455582232895E-3</v>
      </c>
      <c r="E295" s="66">
        <f t="shared" si="230"/>
        <v>1.5753579135654259E-3</v>
      </c>
      <c r="F295" s="66">
        <f t="shared" si="230"/>
        <v>1.4383702689075631E-3</v>
      </c>
      <c r="G295" s="66">
        <f t="shared" si="230"/>
        <v>1.3013826242497001E-3</v>
      </c>
      <c r="H295" s="66">
        <f t="shared" si="230"/>
        <v>1.1643949795918369E-3</v>
      </c>
      <c r="I295" s="66">
        <f t="shared" si="230"/>
        <v>1.0274073349339737E-3</v>
      </c>
      <c r="J295" s="66">
        <f t="shared" si="230"/>
        <v>1.0066145674412622E-3</v>
      </c>
      <c r="K295" s="66">
        <f t="shared" si="230"/>
        <v>9.8582179994855077E-4</v>
      </c>
      <c r="L295" s="66">
        <f t="shared" si="230"/>
        <v>9.650290324558394E-4</v>
      </c>
      <c r="M295" s="66">
        <f t="shared" si="230"/>
        <v>9.4423626496312793E-4</v>
      </c>
      <c r="N295" s="66">
        <f t="shared" si="230"/>
        <v>9.2344349747041678E-4</v>
      </c>
      <c r="O295" s="66">
        <f t="shared" si="230"/>
        <v>9.026507299777053E-4</v>
      </c>
      <c r="P295" s="66">
        <f t="shared" si="230"/>
        <v>8.8185796248499405E-4</v>
      </c>
      <c r="Q295" s="66">
        <f t="shared" si="230"/>
        <v>8.6106519499228268E-4</v>
      </c>
      <c r="R295" s="66">
        <f t="shared" si="230"/>
        <v>8.402724274995711E-4</v>
      </c>
      <c r="S295" s="66">
        <f t="shared" si="230"/>
        <v>8.1947966000685995E-4</v>
      </c>
      <c r="T295" s="66">
        <f t="shared" si="230"/>
        <v>7.9868689251414858E-4</v>
      </c>
      <c r="U295" s="66">
        <f t="shared" si="230"/>
        <v>7.7789412502143711E-4</v>
      </c>
      <c r="V295" s="66">
        <f t="shared" si="230"/>
        <v>7.5710135752872563E-4</v>
      </c>
      <c r="W295" s="66">
        <f t="shared" si="230"/>
        <v>7.3630859003601427E-4</v>
      </c>
      <c r="X295" s="66">
        <f t="shared" si="230"/>
        <v>7.1551582254330312E-4</v>
      </c>
      <c r="Y295" s="66">
        <f t="shared" si="230"/>
        <v>6.9472305505059154E-4</v>
      </c>
      <c r="Z295" s="66">
        <f t="shared" si="230"/>
        <v>6.7393028755788017E-4</v>
      </c>
      <c r="AA295" s="66">
        <f t="shared" si="230"/>
        <v>6.5313752006516891E-4</v>
      </c>
      <c r="AB295" s="66">
        <f t="shared" si="230"/>
        <v>6.3234475257245744E-4</v>
      </c>
      <c r="AC295" s="66">
        <f t="shared" si="230"/>
        <v>6.1155198507974618E-4</v>
      </c>
    </row>
    <row r="296" spans="1:29" x14ac:dyDescent="0.25">
      <c r="A296" s="59" t="str">
        <f>A259</f>
        <v>Market failure (av. utilization)</v>
      </c>
      <c r="B296" s="66">
        <f t="shared" ref="B296:AC296" si="231">B285/B259-B285/B258</f>
        <v>1.2023226120295865E-2</v>
      </c>
      <c r="C296" s="66">
        <f t="shared" si="231"/>
        <v>1.1839728669313224E-2</v>
      </c>
      <c r="D296" s="66">
        <f t="shared" si="231"/>
        <v>1.1656474607771125E-2</v>
      </c>
      <c r="E296" s="66">
        <f t="shared" si="231"/>
        <v>1.1473560813182827E-2</v>
      </c>
      <c r="F296" s="66">
        <f t="shared" si="231"/>
        <v>1.1291116992185875E-2</v>
      </c>
      <c r="G296" s="66">
        <f t="shared" si="231"/>
        <v>1.1109310761444498E-2</v>
      </c>
      <c r="H296" s="66">
        <f t="shared" si="231"/>
        <v>1.0928346955868752E-2</v>
      </c>
      <c r="I296" s="66">
        <f t="shared" si="231"/>
        <v>1.0748453806305814E-2</v>
      </c>
      <c r="J296" s="66">
        <f t="shared" si="231"/>
        <v>1.0725982818591943E-2</v>
      </c>
      <c r="K296" s="66">
        <f t="shared" si="231"/>
        <v>1.070493018813783E-2</v>
      </c>
      <c r="L296" s="66">
        <f t="shared" si="231"/>
        <v>1.0685254890146507E-2</v>
      </c>
      <c r="M296" s="66">
        <f t="shared" si="231"/>
        <v>1.0666660434225223E-2</v>
      </c>
      <c r="N296" s="66">
        <f t="shared" si="231"/>
        <v>1.06485865024336E-2</v>
      </c>
      <c r="O296" s="66">
        <f t="shared" si="231"/>
        <v>1.0630318419337778E-2</v>
      </c>
      <c r="P296" s="66">
        <f t="shared" si="231"/>
        <v>1.0611182939149616E-2</v>
      </c>
      <c r="Q296" s="66">
        <f t="shared" si="231"/>
        <v>1.0590725484964135E-2</v>
      </c>
      <c r="R296" s="66">
        <f t="shared" si="231"/>
        <v>1.0568777608080806E-2</v>
      </c>
      <c r="S296" s="66">
        <f t="shared" si="231"/>
        <v>1.0545409797308272E-2</v>
      </c>
      <c r="T296" s="66">
        <f t="shared" si="231"/>
        <v>1.0520830648553765E-2</v>
      </c>
      <c r="U296" s="66">
        <f t="shared" si="231"/>
        <v>1.0495293528394192E-2</v>
      </c>
      <c r="V296" s="66">
        <f t="shared" si="231"/>
        <v>1.0469037508150154E-2</v>
      </c>
      <c r="W296" s="66">
        <f t="shared" si="231"/>
        <v>1.0442261154756933E-2</v>
      </c>
      <c r="X296" s="66">
        <f t="shared" si="231"/>
        <v>1.0415117407318507E-2</v>
      </c>
      <c r="Y296" s="66">
        <f t="shared" si="231"/>
        <v>1.0387718595522715E-2</v>
      </c>
      <c r="Z296" s="66">
        <f t="shared" si="231"/>
        <v>1.0360144720605128E-2</v>
      </c>
      <c r="AA296" s="66">
        <f t="shared" si="231"/>
        <v>1.0332451617427279E-2</v>
      </c>
      <c r="AB296" s="66">
        <f t="shared" si="231"/>
        <v>1.0304677735205242E-2</v>
      </c>
      <c r="AC296" s="66">
        <f t="shared" si="231"/>
        <v>1.0276849315615739E-2</v>
      </c>
    </row>
    <row r="297" spans="1:29" x14ac:dyDescent="0.25">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75" thickBot="1" x14ac:dyDescent="0.3">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75" thickBot="1" x14ac:dyDescent="0.3">
      <c r="A299" s="31" t="s">
        <v>505</v>
      </c>
      <c r="B299" s="67">
        <f>B288+B289+B290+B291+B292+B293+B294+B295+B296+B297+B298</f>
        <v>2.0919868645195999E-2</v>
      </c>
      <c r="C299" s="67">
        <f t="shared" ref="C299:AC299" si="234">C288+C289+C290+C291+C292+C293+C294+C295+C296+C297+C298</f>
        <v>2.0599814951621626E-2</v>
      </c>
      <c r="D299" s="67">
        <f t="shared" si="234"/>
        <v>2.0280185774513314E-2</v>
      </c>
      <c r="E299" s="67">
        <f t="shared" si="234"/>
        <v>1.9961150086277912E-2</v>
      </c>
      <c r="F299" s="67">
        <f t="shared" si="234"/>
        <v>1.9642934119422761E-2</v>
      </c>
      <c r="G299" s="67">
        <f t="shared" si="234"/>
        <v>1.9325830228594781E-2</v>
      </c>
      <c r="H299" s="67">
        <f t="shared" si="234"/>
        <v>1.9010195683985921E-2</v>
      </c>
      <c r="I299" s="67">
        <f t="shared" si="234"/>
        <v>1.8696428562655212E-2</v>
      </c>
      <c r="J299" s="67">
        <f t="shared" si="234"/>
        <v>1.8657234979433345E-2</v>
      </c>
      <c r="K299" s="67">
        <f t="shared" si="234"/>
        <v>1.8620515275152915E-2</v>
      </c>
      <c r="L299" s="67">
        <f t="shared" si="234"/>
        <v>1.8586197894935493E-2</v>
      </c>
      <c r="M299" s="67">
        <f t="shared" si="234"/>
        <v>1.8553765704375114E-2</v>
      </c>
      <c r="N299" s="67">
        <f t="shared" si="234"/>
        <v>1.852224140473856E-2</v>
      </c>
      <c r="O299" s="67">
        <f t="shared" si="234"/>
        <v>1.8490378469106311E-2</v>
      </c>
      <c r="P299" s="67">
        <f t="shared" si="234"/>
        <v>1.8457002631568822E-2</v>
      </c>
      <c r="Q299" s="67">
        <f t="shared" si="234"/>
        <v>1.8421321025431356E-2</v>
      </c>
      <c r="R299" s="67">
        <f t="shared" si="234"/>
        <v>1.8383039844820898E-2</v>
      </c>
      <c r="S299" s="67">
        <f t="shared" si="234"/>
        <v>1.8342282035333918E-2</v>
      </c>
      <c r="T299" s="67">
        <f t="shared" si="234"/>
        <v>1.8299411427041175E-2</v>
      </c>
      <c r="U299" s="67">
        <f t="shared" si="234"/>
        <v>1.8254869938390757E-2</v>
      </c>
      <c r="V299" s="67">
        <f t="shared" si="234"/>
        <v>1.8209074554244177E-2</v>
      </c>
      <c r="W299" s="67">
        <f t="shared" si="234"/>
        <v>1.8162371612279259E-2</v>
      </c>
      <c r="X299" s="67">
        <f t="shared" si="234"/>
        <v>1.8115027866747121E-2</v>
      </c>
      <c r="Y299" s="67">
        <f t="shared" si="234"/>
        <v>1.8067239241521899E-2</v>
      </c>
      <c r="Z299" s="67">
        <f t="shared" si="234"/>
        <v>1.8019145273642387E-2</v>
      </c>
      <c r="AA299" s="67">
        <f t="shared" si="234"/>
        <v>1.7970843349494978E-2</v>
      </c>
      <c r="AB299" s="67">
        <f t="shared" si="234"/>
        <v>1.7922400531665845E-2</v>
      </c>
      <c r="AC299" s="67">
        <f t="shared" si="234"/>
        <v>1.7873862590521362E-2</v>
      </c>
    </row>
    <row r="301" spans="1:29" x14ac:dyDescent="0.25">
      <c r="B301" s="40"/>
    </row>
    <row r="324" spans="1:44" s="3" customFormat="1" ht="21" x14ac:dyDescent="0.35">
      <c r="A324" s="2" t="str">
        <f>'Parameter Input'!A182</f>
        <v>Railway long-haul: Break bulk</v>
      </c>
    </row>
    <row r="325" spans="1:44" s="3" customFormat="1" ht="21" x14ac:dyDescent="0.35">
      <c r="A325" s="2" t="s">
        <v>100</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Input'!$L$147</f>
        <v>3500000</v>
      </c>
      <c r="C334" s="42">
        <f>'Parameter Input'!$M$147</f>
        <v>3500000</v>
      </c>
      <c r="D334" s="1" t="s">
        <v>138</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25">
      <c r="A335" s="24" t="s">
        <v>151</v>
      </c>
      <c r="B335" s="60">
        <f>'Parameter Input'!$L$148</f>
        <v>-525000</v>
      </c>
      <c r="C335" s="61">
        <f>'Parameter Input'!$M$148</f>
        <v>-175000</v>
      </c>
      <c r="D335" s="1" t="s">
        <v>138</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25">
      <c r="A338" s="24" t="s">
        <v>203</v>
      </c>
      <c r="B338" s="45">
        <f>'Parameter Input'!$L$154</f>
        <v>0.06</v>
      </c>
      <c r="C338" s="46">
        <f>'Parameter Input'!$M$154</f>
        <v>0.06</v>
      </c>
      <c r="D338" s="1" t="s">
        <v>180</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25">
      <c r="A340" s="24" t="s">
        <v>175</v>
      </c>
      <c r="B340" s="43">
        <f>'Parameter Input'!$L$150</f>
        <v>1050000</v>
      </c>
      <c r="C340" s="44">
        <f>'Parameter Input'!$M$150</f>
        <v>1050000</v>
      </c>
      <c r="D340" s="1" t="s">
        <v>161</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25">
      <c r="A342" s="24" t="s">
        <v>183</v>
      </c>
      <c r="B342" s="47">
        <f>'Parameter Input'!$L$151</f>
        <v>76.777599999999993</v>
      </c>
      <c r="C342" s="48">
        <f>'Parameter Input'!$M$151</f>
        <v>76.777599999999993</v>
      </c>
      <c r="D342" s="1" t="s">
        <v>184</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25">
      <c r="A343" s="24" t="s">
        <v>191</v>
      </c>
      <c r="B343" s="45">
        <f>'Parameter Input'!$L$152</f>
        <v>0.1</v>
      </c>
      <c r="C343" s="46">
        <f>'Parameter Input'!$M$152</f>
        <v>0.1</v>
      </c>
      <c r="D343" s="1" t="s">
        <v>94</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458</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164</v>
      </c>
      <c r="B345" s="43">
        <f>'Parameter Input'!$L$149</f>
        <v>20</v>
      </c>
      <c r="C345" s="44">
        <f>'Parameter Input'!$M$149</f>
        <v>20</v>
      </c>
      <c r="D345" s="1" t="s">
        <v>165</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25">
      <c r="A349" s="24" t="s">
        <v>197</v>
      </c>
      <c r="B349" s="72">
        <f>'Parameter Input'!$L$153</f>
        <v>0</v>
      </c>
      <c r="C349" s="73">
        <f>'Parameter Input'!$M$153</f>
        <v>0</v>
      </c>
      <c r="D349" s="1" t="s">
        <v>180</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25">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25">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25">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25">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25">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25">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25">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25">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25">
      <c r="A363" s="30" t="str">
        <f t="shared" si="241"/>
        <v>Fuel Cost</v>
      </c>
      <c r="B363" s="62">
        <f>'Parameter Input'!J8</f>
        <v>5.7951260504201685E-2</v>
      </c>
      <c r="C363" s="62">
        <f>'Parameter Input'!K8</f>
        <v>5.3954621848739497E-2</v>
      </c>
      <c r="D363" s="62">
        <f>'Parameter Input'!L8</f>
        <v>4.9957983193277315E-2</v>
      </c>
      <c r="E363" s="62">
        <f>'Parameter Input'!M8</f>
        <v>4.5961344537815127E-2</v>
      </c>
      <c r="F363" s="62">
        <f>'Parameter Input'!N8</f>
        <v>4.1964705882352946E-2</v>
      </c>
      <c r="G363" s="62">
        <f>'Parameter Input'!O8</f>
        <v>3.7968067226890764E-2</v>
      </c>
      <c r="H363" s="62">
        <f>'Parameter Input'!P8</f>
        <v>3.3971428571428583E-2</v>
      </c>
      <c r="I363" s="62">
        <f>'Parameter Input'!Q8</f>
        <v>2.9974789915966391E-2</v>
      </c>
      <c r="J363" s="62">
        <f>'Parameter Input'!R8</f>
        <v>2.9368157262905165E-2</v>
      </c>
      <c r="K363" s="62">
        <f>'Parameter Input'!S8</f>
        <v>2.8761524609843939E-2</v>
      </c>
      <c r="L363" s="62">
        <f>'Parameter Input'!T8</f>
        <v>2.8154891956782713E-2</v>
      </c>
      <c r="M363" s="62">
        <f>'Parameter Input'!U8</f>
        <v>2.7548259303721487E-2</v>
      </c>
      <c r="N363" s="62">
        <f>'Parameter Input'!V8</f>
        <v>2.6941626650660268E-2</v>
      </c>
      <c r="O363" s="62">
        <f>'Parameter Input'!W8</f>
        <v>2.6334993997599043E-2</v>
      </c>
      <c r="P363" s="62">
        <f>'Parameter Input'!X8</f>
        <v>2.5728361344537817E-2</v>
      </c>
      <c r="Q363" s="62">
        <f>'Parameter Input'!Y8</f>
        <v>2.5121728691476591E-2</v>
      </c>
      <c r="R363" s="62">
        <f>'Parameter Input'!Z8</f>
        <v>2.4515096038415365E-2</v>
      </c>
      <c r="S363" s="62">
        <f>'Parameter Input'!AA8</f>
        <v>2.3908463385354146E-2</v>
      </c>
      <c r="T363" s="62">
        <f>'Parameter Input'!AB8</f>
        <v>2.330183073229292E-2</v>
      </c>
      <c r="U363" s="62">
        <f>'Parameter Input'!AC8</f>
        <v>2.2695198079231694E-2</v>
      </c>
      <c r="V363" s="62">
        <f>'Parameter Input'!AD8</f>
        <v>2.2088565426170468E-2</v>
      </c>
      <c r="W363" s="62">
        <f>'Parameter Input'!AE8</f>
        <v>2.1481932773109242E-2</v>
      </c>
      <c r="X363" s="62">
        <f>'Parameter Input'!AF8</f>
        <v>2.0875300120048023E-2</v>
      </c>
      <c r="Y363" s="62">
        <f>'Parameter Input'!AG8</f>
        <v>2.0268667466986797E-2</v>
      </c>
      <c r="Z363" s="62">
        <f>'Parameter Input'!AH8</f>
        <v>1.9662034813925571E-2</v>
      </c>
      <c r="AA363" s="62">
        <f>'Parameter Input'!AI8</f>
        <v>1.9055402160864345E-2</v>
      </c>
      <c r="AB363" s="62">
        <f>'Parameter Input'!AJ8</f>
        <v>1.8448769507803119E-2</v>
      </c>
      <c r="AC363" s="62">
        <f>'Parameter Input'!AK8</f>
        <v>1.78421368547419E-2</v>
      </c>
    </row>
    <row r="364" spans="1:29" x14ac:dyDescent="0.25">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25">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25">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25">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25">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25">
      <c r="A369" s="30" t="s">
        <v>197</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25">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25">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25">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25">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25">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25">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25">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25">
      <c r="A380" s="30" t="str">
        <f>A363</f>
        <v>Fuel Cost</v>
      </c>
      <c r="B380" s="62">
        <f>B362*B363*B370</f>
        <v>794210.52768000006</v>
      </c>
      <c r="C380" s="62">
        <f t="shared" ref="C380:AC380" si="285">C362*C363*C370</f>
        <v>739437.38783999986</v>
      </c>
      <c r="D380" s="62">
        <f t="shared" si="285"/>
        <v>684664.24800000002</v>
      </c>
      <c r="E380" s="62">
        <f t="shared" si="285"/>
        <v>629891.10815999995</v>
      </c>
      <c r="F380" s="62">
        <f t="shared" si="285"/>
        <v>575117.96831999999</v>
      </c>
      <c r="G380" s="62">
        <f t="shared" si="285"/>
        <v>520344.82848000008</v>
      </c>
      <c r="H380" s="62">
        <f t="shared" si="285"/>
        <v>465571.68864000007</v>
      </c>
      <c r="I380" s="62">
        <f t="shared" si="285"/>
        <v>410798.54879999999</v>
      </c>
      <c r="J380" s="62">
        <f t="shared" si="285"/>
        <v>402484.76864571427</v>
      </c>
      <c r="K380" s="62">
        <f t="shared" si="285"/>
        <v>394170.98849142861</v>
      </c>
      <c r="L380" s="62">
        <f t="shared" si="285"/>
        <v>385857.20833714283</v>
      </c>
      <c r="M380" s="62">
        <f t="shared" si="285"/>
        <v>377543.42818285705</v>
      </c>
      <c r="N380" s="62">
        <f t="shared" si="285"/>
        <v>369229.64802857145</v>
      </c>
      <c r="O380" s="62">
        <f t="shared" si="285"/>
        <v>360915.86787428573</v>
      </c>
      <c r="P380" s="62">
        <f t="shared" si="285"/>
        <v>352602.08772000001</v>
      </c>
      <c r="Q380" s="62">
        <f t="shared" si="285"/>
        <v>344288.30756571429</v>
      </c>
      <c r="R380" s="62">
        <f t="shared" si="285"/>
        <v>335974.52741142851</v>
      </c>
      <c r="S380" s="62">
        <f t="shared" si="285"/>
        <v>327660.74725714285</v>
      </c>
      <c r="T380" s="62">
        <f t="shared" si="285"/>
        <v>319346.96710285713</v>
      </c>
      <c r="U380" s="62">
        <f t="shared" si="285"/>
        <v>311033.18694857141</v>
      </c>
      <c r="V380" s="62">
        <f t="shared" si="285"/>
        <v>302719.40679428569</v>
      </c>
      <c r="W380" s="62">
        <f t="shared" si="285"/>
        <v>294405.62663999997</v>
      </c>
      <c r="X380" s="62">
        <f t="shared" si="285"/>
        <v>286091.84648571431</v>
      </c>
      <c r="Y380" s="62">
        <f t="shared" si="285"/>
        <v>277778.06633142853</v>
      </c>
      <c r="Z380" s="62">
        <f t="shared" si="285"/>
        <v>269464.28617714281</v>
      </c>
      <c r="AA380" s="62">
        <f t="shared" si="285"/>
        <v>261150.50602285712</v>
      </c>
      <c r="AB380" s="62">
        <f t="shared" si="285"/>
        <v>252836.72586857138</v>
      </c>
      <c r="AC380" s="62">
        <f t="shared" si="285"/>
        <v>244522.94571428571</v>
      </c>
    </row>
    <row r="381" spans="1:29" ht="15.75" thickBot="1" x14ac:dyDescent="0.3">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75" thickBot="1" x14ac:dyDescent="0.3">
      <c r="A382" s="31" t="s">
        <v>504</v>
      </c>
      <c r="B382" s="64">
        <f>B373+B374+B375+B376+B377+B378+B379+B380+B381</f>
        <v>5443856.5994378319</v>
      </c>
      <c r="C382" s="64">
        <f t="shared" ref="C382:AC382" si="287">C373+C374+C375+C376+C377+C378+C379+C380+C381</f>
        <v>5389255.951399954</v>
      </c>
      <c r="D382" s="64">
        <f t="shared" si="287"/>
        <v>5334727.7251919582</v>
      </c>
      <c r="E382" s="64">
        <f t="shared" si="287"/>
        <v>5280300.747236101</v>
      </c>
      <c r="F382" s="64">
        <f t="shared" si="287"/>
        <v>5226013.6124361586</v>
      </c>
      <c r="G382" s="64">
        <f t="shared" si="287"/>
        <v>5171916.1960271308</v>
      </c>
      <c r="H382" s="64">
        <f t="shared" si="287"/>
        <v>5118069.447732131</v>
      </c>
      <c r="I382" s="64">
        <f t="shared" si="287"/>
        <v>5064541.2788605057</v>
      </c>
      <c r="J382" s="64">
        <f t="shared" si="287"/>
        <v>5057854.916272589</v>
      </c>
      <c r="K382" s="64">
        <f t="shared" si="287"/>
        <v>5051590.593473874</v>
      </c>
      <c r="L382" s="64">
        <f t="shared" si="287"/>
        <v>5045736.1033165911</v>
      </c>
      <c r="M382" s="64">
        <f t="shared" si="287"/>
        <v>5040203.2234984953</v>
      </c>
      <c r="N382" s="64">
        <f t="shared" si="287"/>
        <v>5034825.2284193775</v>
      </c>
      <c r="O382" s="64">
        <f t="shared" si="287"/>
        <v>5029389.4625812145</v>
      </c>
      <c r="P382" s="64">
        <f t="shared" si="287"/>
        <v>5023695.5980986571</v>
      </c>
      <c r="Q382" s="64">
        <f t="shared" si="287"/>
        <v>5017608.3731821757</v>
      </c>
      <c r="R382" s="64">
        <f t="shared" si="287"/>
        <v>5011077.6650199201</v>
      </c>
      <c r="S382" s="64">
        <f t="shared" si="287"/>
        <v>5004124.4479339365</v>
      </c>
      <c r="T382" s="64">
        <f t="shared" si="287"/>
        <v>4996810.7907521687</v>
      </c>
      <c r="U382" s="64">
        <f t="shared" si="287"/>
        <v>4989212.0840547886</v>
      </c>
      <c r="V382" s="64">
        <f t="shared" si="287"/>
        <v>4981399.4647919964</v>
      </c>
      <c r="W382" s="64">
        <f t="shared" si="287"/>
        <v>4973432.0176174892</v>
      </c>
      <c r="X382" s="64">
        <f t="shared" si="287"/>
        <v>4965355.2503796993</v>
      </c>
      <c r="Y382" s="64">
        <f t="shared" si="287"/>
        <v>4957202.5873780763</v>
      </c>
      <c r="Z382" s="64">
        <f t="shared" si="287"/>
        <v>4948997.8334081806</v>
      </c>
      <c r="AA382" s="64">
        <f t="shared" si="287"/>
        <v>4940757.6024317117</v>
      </c>
      <c r="AB382" s="64">
        <f t="shared" si="287"/>
        <v>4932493.3352185693</v>
      </c>
      <c r="AC382" s="64">
        <f t="shared" si="287"/>
        <v>4924212.8401200259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25">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25">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25">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25">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25">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25">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25">
      <c r="A392" s="30" t="str">
        <f t="shared" si="288"/>
        <v>Fuel Cost</v>
      </c>
      <c r="B392" s="66">
        <f>B362*B363*B370/B370</f>
        <v>4.4493586984873952</v>
      </c>
      <c r="C392" s="66">
        <f t="shared" ref="C392:AC392" si="296">C362*C363*C370/C370</f>
        <v>4.1425063744537809</v>
      </c>
      <c r="D392" s="66">
        <f t="shared" si="296"/>
        <v>3.8356540504201684</v>
      </c>
      <c r="E392" s="66">
        <f t="shared" si="296"/>
        <v>3.5288017263865541</v>
      </c>
      <c r="F392" s="66">
        <f t="shared" si="296"/>
        <v>3.2219494023529411</v>
      </c>
      <c r="G392" s="66">
        <f t="shared" si="296"/>
        <v>2.9150970783193282</v>
      </c>
      <c r="H392" s="66">
        <f t="shared" si="296"/>
        <v>2.6082447542857148</v>
      </c>
      <c r="I392" s="66">
        <f t="shared" si="296"/>
        <v>2.3013924302521009</v>
      </c>
      <c r="J392" s="66">
        <f t="shared" si="296"/>
        <v>2.2548166310684272</v>
      </c>
      <c r="K392" s="66">
        <f t="shared" si="296"/>
        <v>2.208240831884754</v>
      </c>
      <c r="L392" s="66">
        <f t="shared" si="296"/>
        <v>2.1616650327010802</v>
      </c>
      <c r="M392" s="66">
        <f t="shared" si="296"/>
        <v>2.1150892335174065</v>
      </c>
      <c r="N392" s="66">
        <f t="shared" si="296"/>
        <v>2.0685134343337337</v>
      </c>
      <c r="O392" s="66">
        <f t="shared" si="296"/>
        <v>2.02193763515006</v>
      </c>
      <c r="P392" s="66">
        <f t="shared" si="296"/>
        <v>1.9753618359663867</v>
      </c>
      <c r="Q392" s="66">
        <f t="shared" si="296"/>
        <v>1.9287860367827132</v>
      </c>
      <c r="R392" s="66">
        <f t="shared" si="296"/>
        <v>1.8822102375990393</v>
      </c>
      <c r="S392" s="66">
        <f t="shared" si="296"/>
        <v>1.8356344384153662</v>
      </c>
      <c r="T392" s="66">
        <f t="shared" si="296"/>
        <v>1.7890586392316927</v>
      </c>
      <c r="U392" s="66">
        <f t="shared" si="296"/>
        <v>1.742482840048019</v>
      </c>
      <c r="V392" s="66">
        <f t="shared" si="296"/>
        <v>1.6959070408643455</v>
      </c>
      <c r="W392" s="66">
        <f t="shared" si="296"/>
        <v>1.649331241680672</v>
      </c>
      <c r="X392" s="66">
        <f t="shared" si="296"/>
        <v>1.602755442496999</v>
      </c>
      <c r="Y392" s="66">
        <f t="shared" si="296"/>
        <v>1.556179643313325</v>
      </c>
      <c r="Z392" s="66">
        <f t="shared" si="296"/>
        <v>1.5096038441296515</v>
      </c>
      <c r="AA392" s="66">
        <f t="shared" si="296"/>
        <v>1.4630280449459783</v>
      </c>
      <c r="AB392" s="66">
        <f t="shared" si="296"/>
        <v>1.4164522457623046</v>
      </c>
      <c r="AC392" s="66">
        <f t="shared" si="296"/>
        <v>1.3698764465786315</v>
      </c>
    </row>
    <row r="393" spans="1:29" ht="15.75" thickBot="1" x14ac:dyDescent="0.3">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75" thickBot="1" x14ac:dyDescent="0.3">
      <c r="A394" s="31" t="s">
        <v>187</v>
      </c>
      <c r="B394" s="76">
        <f>B385+B386+B387-B388+B389+B390+B391+B392+B393</f>
        <v>30.668734690552672</v>
      </c>
      <c r="C394" s="76">
        <f t="shared" ref="C394:AC394" si="298">C385+C386+C387-C388+C389+C390+C391+C392+C393</f>
        <v>30.36284870714719</v>
      </c>
      <c r="D394" s="76">
        <f t="shared" si="298"/>
        <v>30.057368448278876</v>
      </c>
      <c r="E394" s="76">
        <f t="shared" si="298"/>
        <v>29.752455406509359</v>
      </c>
      <c r="F394" s="76">
        <f t="shared" si="298"/>
        <v>29.448325799786993</v>
      </c>
      <c r="G394" s="76">
        <f t="shared" si="298"/>
        <v>29.145259041193004</v>
      </c>
      <c r="H394" s="76">
        <f t="shared" si="298"/>
        <v>28.843596585758828</v>
      </c>
      <c r="I394" s="76">
        <f t="shared" si="298"/>
        <v>28.54371888899902</v>
      </c>
      <c r="J394" s="76">
        <f t="shared" si="298"/>
        <v>28.506260275061109</v>
      </c>
      <c r="K394" s="76">
        <f t="shared" si="298"/>
        <v>28.47116602969016</v>
      </c>
      <c r="L394" s="76">
        <f t="shared" si="298"/>
        <v>28.438367765503703</v>
      </c>
      <c r="M394" s="76">
        <f t="shared" si="298"/>
        <v>28.407371239912123</v>
      </c>
      <c r="N394" s="76">
        <f t="shared" si="298"/>
        <v>28.377242415939484</v>
      </c>
      <c r="O394" s="76">
        <f t="shared" si="298"/>
        <v>28.346789946257889</v>
      </c>
      <c r="P394" s="76">
        <f t="shared" si="298"/>
        <v>28.31489154579539</v>
      </c>
      <c r="Q394" s="76">
        <f t="shared" si="298"/>
        <v>28.280789445422947</v>
      </c>
      <c r="R394" s="76">
        <f t="shared" si="298"/>
        <v>28.244202845074174</v>
      </c>
      <c r="S394" s="76">
        <f t="shared" si="298"/>
        <v>28.205249247953816</v>
      </c>
      <c r="T394" s="76">
        <f t="shared" si="298"/>
        <v>28.16427637858817</v>
      </c>
      <c r="U394" s="76">
        <f t="shared" si="298"/>
        <v>28.121706593168678</v>
      </c>
      <c r="V394" s="76">
        <f t="shared" si="298"/>
        <v>28.077938418026982</v>
      </c>
      <c r="W394" s="76">
        <f t="shared" si="298"/>
        <v>28.033302859626382</v>
      </c>
      <c r="X394" s="76">
        <f t="shared" si="298"/>
        <v>27.988054863896465</v>
      </c>
      <c r="Y394" s="76">
        <f t="shared" si="298"/>
        <v>27.942381681814542</v>
      </c>
      <c r="Z394" s="76">
        <f t="shared" si="298"/>
        <v>27.896416673579836</v>
      </c>
      <c r="AA394" s="76">
        <f t="shared" si="298"/>
        <v>27.850252914608017</v>
      </c>
      <c r="AB394" s="76">
        <f t="shared" si="298"/>
        <v>27.803954498848121</v>
      </c>
      <c r="AC394" s="76">
        <f t="shared" si="298"/>
        <v>27.757565170564966</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25">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25">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25">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25">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25">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25">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25">
      <c r="A404" s="30" t="str">
        <f t="shared" si="299"/>
        <v>Fuel Cost</v>
      </c>
      <c r="B404" s="66">
        <f>B362*B363*B370/B370/(B367)</f>
        <v>1.9863208475390157E-3</v>
      </c>
      <c r="C404" s="66">
        <f t="shared" ref="C404:AC404" si="307">C362*C363*C370/C370/(C367)</f>
        <v>1.8493332028811521E-3</v>
      </c>
      <c r="D404" s="66">
        <f t="shared" si="307"/>
        <v>1.7123455582232895E-3</v>
      </c>
      <c r="E404" s="66">
        <f t="shared" si="307"/>
        <v>1.5753579135654259E-3</v>
      </c>
      <c r="F404" s="66">
        <f t="shared" si="307"/>
        <v>1.4383702689075631E-3</v>
      </c>
      <c r="G404" s="66">
        <f t="shared" si="307"/>
        <v>1.3013826242497001E-3</v>
      </c>
      <c r="H404" s="66">
        <f t="shared" si="307"/>
        <v>1.1643949795918369E-3</v>
      </c>
      <c r="I404" s="66">
        <f t="shared" si="307"/>
        <v>1.0274073349339737E-3</v>
      </c>
      <c r="J404" s="66">
        <f t="shared" si="307"/>
        <v>1.0066145674412622E-3</v>
      </c>
      <c r="K404" s="66">
        <f t="shared" si="307"/>
        <v>9.8582179994855077E-4</v>
      </c>
      <c r="L404" s="66">
        <f t="shared" si="307"/>
        <v>9.650290324558394E-4</v>
      </c>
      <c r="M404" s="66">
        <f t="shared" si="307"/>
        <v>9.4423626496312793E-4</v>
      </c>
      <c r="N404" s="66">
        <f t="shared" si="307"/>
        <v>9.2344349747041678E-4</v>
      </c>
      <c r="O404" s="66">
        <f t="shared" si="307"/>
        <v>9.026507299777053E-4</v>
      </c>
      <c r="P404" s="66">
        <f t="shared" si="307"/>
        <v>8.8185796248499405E-4</v>
      </c>
      <c r="Q404" s="66">
        <f t="shared" si="307"/>
        <v>8.6106519499228268E-4</v>
      </c>
      <c r="R404" s="66">
        <f t="shared" si="307"/>
        <v>8.402724274995711E-4</v>
      </c>
      <c r="S404" s="66">
        <f t="shared" si="307"/>
        <v>8.1947966000685995E-4</v>
      </c>
      <c r="T404" s="66">
        <f t="shared" si="307"/>
        <v>7.9868689251414858E-4</v>
      </c>
      <c r="U404" s="66">
        <f t="shared" si="307"/>
        <v>7.7789412502143711E-4</v>
      </c>
      <c r="V404" s="66">
        <f t="shared" si="307"/>
        <v>7.5710135752872563E-4</v>
      </c>
      <c r="W404" s="66">
        <f t="shared" si="307"/>
        <v>7.3630859003601427E-4</v>
      </c>
      <c r="X404" s="66">
        <f t="shared" si="307"/>
        <v>7.1551582254330312E-4</v>
      </c>
      <c r="Y404" s="66">
        <f t="shared" si="307"/>
        <v>6.9472305505059154E-4</v>
      </c>
      <c r="Z404" s="66">
        <f t="shared" si="307"/>
        <v>6.7393028755788017E-4</v>
      </c>
      <c r="AA404" s="66">
        <f t="shared" si="307"/>
        <v>6.5313752006516891E-4</v>
      </c>
      <c r="AB404" s="66">
        <f t="shared" si="307"/>
        <v>6.3234475257245744E-4</v>
      </c>
      <c r="AC404" s="66">
        <f t="shared" si="307"/>
        <v>6.1155198507974618E-4</v>
      </c>
    </row>
    <row r="405" spans="1:29" x14ac:dyDescent="0.25">
      <c r="A405" s="59" t="str">
        <f>A368</f>
        <v>Market failure (av. utilization)</v>
      </c>
      <c r="B405" s="66">
        <f t="shared" ref="B405:AC405" si="308">B394/B368-B394/B367</f>
        <v>5.3244331059987254E-3</v>
      </c>
      <c r="C405" s="66">
        <f t="shared" si="308"/>
        <v>5.2713279005463833E-3</v>
      </c>
      <c r="D405" s="66">
        <f t="shared" si="308"/>
        <v>5.2182931333817472E-3</v>
      </c>
      <c r="E405" s="66">
        <f t="shared" si="308"/>
        <v>5.1653568414078734E-3</v>
      </c>
      <c r="F405" s="66">
        <f t="shared" si="308"/>
        <v>5.1125565624630179E-3</v>
      </c>
      <c r="G405" s="66">
        <f t="shared" si="308"/>
        <v>5.0599408057626725E-3</v>
      </c>
      <c r="H405" s="66">
        <f t="shared" si="308"/>
        <v>5.0075688516942399E-3</v>
      </c>
      <c r="I405" s="66">
        <f t="shared" si="308"/>
        <v>4.9555067515623264E-3</v>
      </c>
      <c r="J405" s="66">
        <f t="shared" si="308"/>
        <v>4.9490035199758857E-3</v>
      </c>
      <c r="K405" s="66">
        <f t="shared" si="308"/>
        <v>4.9429107690434279E-3</v>
      </c>
      <c r="L405" s="66">
        <f t="shared" si="308"/>
        <v>4.9372166259555022E-3</v>
      </c>
      <c r="M405" s="66">
        <f t="shared" si="308"/>
        <v>4.9318352847069653E-3</v>
      </c>
      <c r="N405" s="66">
        <f t="shared" si="308"/>
        <v>4.9266045861006014E-3</v>
      </c>
      <c r="O405" s="66">
        <f t="shared" si="308"/>
        <v>4.9213176990031034E-3</v>
      </c>
      <c r="P405" s="66">
        <f t="shared" si="308"/>
        <v>4.9157797822561439E-3</v>
      </c>
      <c r="Q405" s="66">
        <f t="shared" si="308"/>
        <v>4.9098592787192585E-3</v>
      </c>
      <c r="R405" s="66">
        <f t="shared" si="308"/>
        <v>4.9035074383809302E-3</v>
      </c>
      <c r="S405" s="66">
        <f t="shared" si="308"/>
        <v>4.8967446611030922E-3</v>
      </c>
      <c r="T405" s="66">
        <f t="shared" si="308"/>
        <v>4.8896313157271113E-3</v>
      </c>
      <c r="U405" s="66">
        <f t="shared" si="308"/>
        <v>4.88224072798067E-3</v>
      </c>
      <c r="V405" s="66">
        <f t="shared" si="308"/>
        <v>4.8746420864630158E-3</v>
      </c>
      <c r="W405" s="66">
        <f t="shared" si="308"/>
        <v>4.8668928575740233E-3</v>
      </c>
      <c r="X405" s="66">
        <f t="shared" si="308"/>
        <v>4.8590373027597999E-3</v>
      </c>
      <c r="Y405" s="66">
        <f t="shared" si="308"/>
        <v>4.8511079308705771E-3</v>
      </c>
      <c r="Z405" s="66">
        <f t="shared" si="308"/>
        <v>4.8431278947187201E-3</v>
      </c>
      <c r="AA405" s="66">
        <f t="shared" si="308"/>
        <v>4.8351133532305579E-3</v>
      </c>
      <c r="AB405" s="66">
        <f t="shared" si="308"/>
        <v>4.827075433827795E-3</v>
      </c>
      <c r="AC405" s="66">
        <f t="shared" si="308"/>
        <v>4.8190217310008585E-3</v>
      </c>
    </row>
    <row r="406" spans="1:29" x14ac:dyDescent="0.25">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75" thickBot="1" x14ac:dyDescent="0.3">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75" thickBot="1" x14ac:dyDescent="0.3">
      <c r="A408" s="31" t="s">
        <v>505</v>
      </c>
      <c r="B408" s="67">
        <f>B397+B398+B399+B400+B401+B402+B403+B404+B405+B406+B407</f>
        <v>1.8939520639606751E-2</v>
      </c>
      <c r="C408" s="67">
        <f t="shared" ref="C408:AC408" si="311">C397+C398+C399+C400+C401+C402+C403+C404+C405+C406+C407</f>
        <v>1.8749859191562676E-2</v>
      </c>
      <c r="D408" s="67">
        <f t="shared" si="311"/>
        <v>1.8560449308831824E-2</v>
      </c>
      <c r="E408" s="67">
        <f t="shared" si="311"/>
        <v>1.8371391123210845E-2</v>
      </c>
      <c r="F408" s="67">
        <f t="shared" si="311"/>
        <v>1.8182818698407793E-2</v>
      </c>
      <c r="G408" s="67">
        <f t="shared" si="311"/>
        <v>1.7994905281620843E-2</v>
      </c>
      <c r="H408" s="67">
        <f t="shared" si="311"/>
        <v>1.7807862588519296E-2</v>
      </c>
      <c r="I408" s="67">
        <f t="shared" si="311"/>
        <v>1.7621926516619611E-2</v>
      </c>
      <c r="J408" s="67">
        <f t="shared" si="311"/>
        <v>1.7598700689525175E-2</v>
      </c>
      <c r="K408" s="67">
        <f t="shared" si="311"/>
        <v>1.7576940864766404E-2</v>
      </c>
      <c r="L408" s="67">
        <f t="shared" si="311"/>
        <v>1.7556604639452376E-2</v>
      </c>
      <c r="M408" s="67">
        <f t="shared" si="311"/>
        <v>1.7537385563564746E-2</v>
      </c>
      <c r="N408" s="67">
        <f t="shared" si="311"/>
        <v>1.7518704497113451E-2</v>
      </c>
      <c r="O408" s="67">
        <f t="shared" si="311"/>
        <v>1.7499822757479529E-2</v>
      </c>
      <c r="P408" s="67">
        <f t="shared" si="311"/>
        <v>1.748004448338324E-2</v>
      </c>
      <c r="Q408" s="67">
        <f t="shared" si="311"/>
        <v>1.7458899827894371E-2</v>
      </c>
      <c r="R408" s="67">
        <f t="shared" si="311"/>
        <v>1.7436214683828909E-2</v>
      </c>
      <c r="S408" s="67">
        <f t="shared" si="311"/>
        <v>1.7412061907836625E-2</v>
      </c>
      <c r="T408" s="67">
        <f t="shared" si="311"/>
        <v>1.7386657102922413E-2</v>
      </c>
      <c r="U408" s="67">
        <f t="shared" si="311"/>
        <v>1.7360262146685124E-2</v>
      </c>
      <c r="V408" s="67">
        <f t="shared" si="311"/>
        <v>1.7333124141264929E-2</v>
      </c>
      <c r="W408" s="67">
        <f t="shared" si="311"/>
        <v>1.7305448323804238E-2</v>
      </c>
      <c r="X408" s="67">
        <f t="shared" si="311"/>
        <v>1.7277392770896301E-2</v>
      </c>
      <c r="Y408" s="67">
        <f t="shared" si="311"/>
        <v>1.7249073585577653E-2</v>
      </c>
      <c r="Z408" s="67">
        <f t="shared" si="311"/>
        <v>1.722057345646387E-2</v>
      </c>
      <c r="AA408" s="67">
        <f t="shared" si="311"/>
        <v>1.7191950094006148E-2</v>
      </c>
      <c r="AB408" s="67">
        <f t="shared" si="311"/>
        <v>1.7163243238996286E-2</v>
      </c>
      <c r="AC408" s="67">
        <f t="shared" si="311"/>
        <v>1.7134480014614373E-2</v>
      </c>
    </row>
    <row r="410" spans="1:29" x14ac:dyDescent="0.25">
      <c r="B410" s="40"/>
    </row>
    <row r="429" spans="1:1" s="3" customFormat="1" ht="21" x14ac:dyDescent="0.35">
      <c r="A429" s="2" t="str">
        <f>'Parameter Input'!A193</f>
        <v>Railway long-haul:  Neo bulk</v>
      </c>
    </row>
    <row r="430" spans="1:1" s="3" customFormat="1" ht="21" x14ac:dyDescent="0.35">
      <c r="A430" s="2" t="s">
        <v>100</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Input'!$L$147</f>
        <v>3500000</v>
      </c>
      <c r="C439" s="42">
        <f>'Parameter Input'!$M$147</f>
        <v>3500000</v>
      </c>
      <c r="D439" s="1" t="s">
        <v>138</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25">
      <c r="A440" s="24" t="s">
        <v>151</v>
      </c>
      <c r="B440" s="60">
        <f>'Parameter Input'!$L$148</f>
        <v>-525000</v>
      </c>
      <c r="C440" s="61">
        <f>'Parameter Input'!$M$148</f>
        <v>-175000</v>
      </c>
      <c r="D440" s="1" t="s">
        <v>138</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203</v>
      </c>
      <c r="B443" s="45">
        <f>'Parameter Input'!$L$154</f>
        <v>0.06</v>
      </c>
      <c r="C443" s="46">
        <f>'Parameter Input'!$M$154</f>
        <v>0.06</v>
      </c>
      <c r="D443" s="1" t="s">
        <v>180</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175</v>
      </c>
      <c r="B445" s="43">
        <f>'Parameter Input'!$L$150</f>
        <v>1050000</v>
      </c>
      <c r="C445" s="44">
        <f>'Parameter Input'!$M$150</f>
        <v>1050000</v>
      </c>
      <c r="D445" s="1" t="s">
        <v>161</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183</v>
      </c>
      <c r="B447" s="47">
        <f>'Parameter Input'!$L$151</f>
        <v>76.777599999999993</v>
      </c>
      <c r="C447" s="48">
        <f>'Parameter Input'!$M$151</f>
        <v>76.777599999999993</v>
      </c>
      <c r="D447" s="1" t="s">
        <v>184</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25">
      <c r="A448" s="24" t="s">
        <v>191</v>
      </c>
      <c r="B448" s="45">
        <f>'Parameter Input'!$L$152</f>
        <v>0.1</v>
      </c>
      <c r="C448" s="46">
        <f>'Parameter Input'!$M$152</f>
        <v>0.1</v>
      </c>
      <c r="D448" s="1" t="s">
        <v>94</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458</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164</v>
      </c>
      <c r="B450" s="43">
        <f>'Parameter Input'!$L$149</f>
        <v>20</v>
      </c>
      <c r="C450" s="44">
        <f>'Parameter Input'!$M$149</f>
        <v>20</v>
      </c>
      <c r="D450" s="1" t="s">
        <v>165</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197</v>
      </c>
      <c r="B454" s="72">
        <f>'Parameter Input'!$L$153</f>
        <v>0</v>
      </c>
      <c r="C454" s="73">
        <f>'Parameter Input'!$M$153</f>
        <v>0</v>
      </c>
      <c r="D454" s="1" t="s">
        <v>180</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25">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25">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25">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25">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25">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25">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25">
      <c r="A468" s="30" t="str">
        <f t="shared" si="317"/>
        <v>Fuel Cost</v>
      </c>
      <c r="B468" s="62">
        <f>'Parameter Input'!J8</f>
        <v>5.7951260504201685E-2</v>
      </c>
      <c r="C468" s="62">
        <f>'Parameter Input'!K8</f>
        <v>5.3954621848739497E-2</v>
      </c>
      <c r="D468" s="62">
        <f>'Parameter Input'!L8</f>
        <v>4.9957983193277315E-2</v>
      </c>
      <c r="E468" s="62">
        <f>'Parameter Input'!M8</f>
        <v>4.5961344537815127E-2</v>
      </c>
      <c r="F468" s="62">
        <f>'Parameter Input'!N8</f>
        <v>4.1964705882352946E-2</v>
      </c>
      <c r="G468" s="62">
        <f>'Parameter Input'!O8</f>
        <v>3.7968067226890764E-2</v>
      </c>
      <c r="H468" s="62">
        <f>'Parameter Input'!P8</f>
        <v>3.3971428571428583E-2</v>
      </c>
      <c r="I468" s="62">
        <f>'Parameter Input'!Q8</f>
        <v>2.9974789915966391E-2</v>
      </c>
      <c r="J468" s="62">
        <f>'Parameter Input'!R8</f>
        <v>2.9368157262905165E-2</v>
      </c>
      <c r="K468" s="62">
        <f>'Parameter Input'!S8</f>
        <v>2.8761524609843939E-2</v>
      </c>
      <c r="L468" s="62">
        <f>'Parameter Input'!T8</f>
        <v>2.8154891956782713E-2</v>
      </c>
      <c r="M468" s="62">
        <f>'Parameter Input'!U8</f>
        <v>2.7548259303721487E-2</v>
      </c>
      <c r="N468" s="62">
        <f>'Parameter Input'!V8</f>
        <v>2.6941626650660268E-2</v>
      </c>
      <c r="O468" s="62">
        <f>'Parameter Input'!W8</f>
        <v>2.6334993997599043E-2</v>
      </c>
      <c r="P468" s="62">
        <f>'Parameter Input'!X8</f>
        <v>2.5728361344537817E-2</v>
      </c>
      <c r="Q468" s="62">
        <f>'Parameter Input'!Y8</f>
        <v>2.5121728691476591E-2</v>
      </c>
      <c r="R468" s="62">
        <f>'Parameter Input'!Z8</f>
        <v>2.4515096038415365E-2</v>
      </c>
      <c r="S468" s="62">
        <f>'Parameter Input'!AA8</f>
        <v>2.3908463385354146E-2</v>
      </c>
      <c r="T468" s="62">
        <f>'Parameter Input'!AB8</f>
        <v>2.330183073229292E-2</v>
      </c>
      <c r="U468" s="62">
        <f>'Parameter Input'!AC8</f>
        <v>2.2695198079231694E-2</v>
      </c>
      <c r="V468" s="62">
        <f>'Parameter Input'!AD8</f>
        <v>2.2088565426170468E-2</v>
      </c>
      <c r="W468" s="62">
        <f>'Parameter Input'!AE8</f>
        <v>2.1481932773109242E-2</v>
      </c>
      <c r="X468" s="62">
        <f>'Parameter Input'!AF8</f>
        <v>2.0875300120048023E-2</v>
      </c>
      <c r="Y468" s="62">
        <f>'Parameter Input'!AG8</f>
        <v>2.0268667466986797E-2</v>
      </c>
      <c r="Z468" s="62">
        <f>'Parameter Input'!AH8</f>
        <v>1.9662034813925571E-2</v>
      </c>
      <c r="AA468" s="62">
        <f>'Parameter Input'!AI8</f>
        <v>1.9055402160864345E-2</v>
      </c>
      <c r="AB468" s="62">
        <f>'Parameter Input'!AJ8</f>
        <v>1.8448769507803119E-2</v>
      </c>
      <c r="AC468" s="62">
        <f>'Parameter Input'!AK8</f>
        <v>1.78421368547419E-2</v>
      </c>
    </row>
    <row r="469" spans="1:29" x14ac:dyDescent="0.25">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25">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25">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25">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25">
      <c r="A474" s="30" t="s">
        <v>197</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25">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25">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25">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25">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25">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25">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25">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25">
      <c r="A485" s="30" t="str">
        <f>A468</f>
        <v>Fuel Cost</v>
      </c>
      <c r="B485" s="62">
        <f>B467*B468*B475</f>
        <v>794210.52768000006</v>
      </c>
      <c r="C485" s="62">
        <f t="shared" ref="C485:AC485" si="361">C467*C468*C475</f>
        <v>739437.38783999986</v>
      </c>
      <c r="D485" s="62">
        <f t="shared" si="361"/>
        <v>684664.24800000002</v>
      </c>
      <c r="E485" s="62">
        <f t="shared" si="361"/>
        <v>629891.10815999995</v>
      </c>
      <c r="F485" s="62">
        <f t="shared" si="361"/>
        <v>575117.96831999999</v>
      </c>
      <c r="G485" s="62">
        <f t="shared" si="361"/>
        <v>520344.82848000008</v>
      </c>
      <c r="H485" s="62">
        <f t="shared" si="361"/>
        <v>465571.68864000007</v>
      </c>
      <c r="I485" s="62">
        <f t="shared" si="361"/>
        <v>410798.54879999999</v>
      </c>
      <c r="J485" s="62">
        <f t="shared" si="361"/>
        <v>402484.76864571427</v>
      </c>
      <c r="K485" s="62">
        <f t="shared" si="361"/>
        <v>394170.98849142861</v>
      </c>
      <c r="L485" s="62">
        <f t="shared" si="361"/>
        <v>385857.20833714283</v>
      </c>
      <c r="M485" s="62">
        <f t="shared" si="361"/>
        <v>377543.42818285705</v>
      </c>
      <c r="N485" s="62">
        <f t="shared" si="361"/>
        <v>369229.64802857145</v>
      </c>
      <c r="O485" s="62">
        <f t="shared" si="361"/>
        <v>360915.86787428573</v>
      </c>
      <c r="P485" s="62">
        <f t="shared" si="361"/>
        <v>352602.08772000001</v>
      </c>
      <c r="Q485" s="62">
        <f t="shared" si="361"/>
        <v>344288.30756571429</v>
      </c>
      <c r="R485" s="62">
        <f t="shared" si="361"/>
        <v>335974.52741142851</v>
      </c>
      <c r="S485" s="62">
        <f t="shared" si="361"/>
        <v>327660.74725714285</v>
      </c>
      <c r="T485" s="62">
        <f t="shared" si="361"/>
        <v>319346.96710285713</v>
      </c>
      <c r="U485" s="62">
        <f t="shared" si="361"/>
        <v>311033.18694857141</v>
      </c>
      <c r="V485" s="62">
        <f t="shared" si="361"/>
        <v>302719.40679428569</v>
      </c>
      <c r="W485" s="62">
        <f t="shared" si="361"/>
        <v>294405.62663999997</v>
      </c>
      <c r="X485" s="62">
        <f t="shared" si="361"/>
        <v>286091.84648571431</v>
      </c>
      <c r="Y485" s="62">
        <f t="shared" si="361"/>
        <v>277778.06633142853</v>
      </c>
      <c r="Z485" s="62">
        <f t="shared" si="361"/>
        <v>269464.28617714281</v>
      </c>
      <c r="AA485" s="62">
        <f t="shared" si="361"/>
        <v>261150.50602285712</v>
      </c>
      <c r="AB485" s="62">
        <f t="shared" si="361"/>
        <v>252836.72586857138</v>
      </c>
      <c r="AC485" s="62">
        <f t="shared" si="361"/>
        <v>244522.94571428571</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504</v>
      </c>
      <c r="B487" s="64">
        <f>B478+B479+B480+B481+B482+B483+B484+B485+B486</f>
        <v>3695545.0732969511</v>
      </c>
      <c r="C487" s="64">
        <f t="shared" ref="C487:AC487" si="363">C478+C479+C480+C481+C482+C483+C484+C485+C486</f>
        <v>3640944.4252590728</v>
      </c>
      <c r="D487" s="64">
        <f t="shared" si="363"/>
        <v>3586416.1990510779</v>
      </c>
      <c r="E487" s="64">
        <f t="shared" si="363"/>
        <v>3531989.2210952197</v>
      </c>
      <c r="F487" s="64">
        <f t="shared" si="363"/>
        <v>3477702.0862952769</v>
      </c>
      <c r="G487" s="64">
        <f t="shared" si="363"/>
        <v>3423604.66988625</v>
      </c>
      <c r="H487" s="64">
        <f t="shared" si="363"/>
        <v>3369757.9215912493</v>
      </c>
      <c r="I487" s="64">
        <f t="shared" si="363"/>
        <v>3316229.752719624</v>
      </c>
      <c r="J487" s="64">
        <f t="shared" si="363"/>
        <v>3309543.3901317073</v>
      </c>
      <c r="K487" s="64">
        <f t="shared" si="363"/>
        <v>3303279.0673329928</v>
      </c>
      <c r="L487" s="64">
        <f t="shared" si="363"/>
        <v>3297424.5771757094</v>
      </c>
      <c r="M487" s="64">
        <f t="shared" si="363"/>
        <v>3291891.6973576136</v>
      </c>
      <c r="N487" s="64">
        <f t="shared" si="363"/>
        <v>3286513.7022784967</v>
      </c>
      <c r="O487" s="64">
        <f t="shared" si="363"/>
        <v>3281077.9364403323</v>
      </c>
      <c r="P487" s="64">
        <f t="shared" si="363"/>
        <v>3275384.0719577763</v>
      </c>
      <c r="Q487" s="64">
        <f t="shared" si="363"/>
        <v>3269296.8470412944</v>
      </c>
      <c r="R487" s="64">
        <f t="shared" si="363"/>
        <v>3262766.1388790393</v>
      </c>
      <c r="S487" s="64">
        <f t="shared" si="363"/>
        <v>3255812.9217930553</v>
      </c>
      <c r="T487" s="64">
        <f t="shared" si="363"/>
        <v>3248499.264611287</v>
      </c>
      <c r="U487" s="64">
        <f t="shared" si="363"/>
        <v>3240900.5579139078</v>
      </c>
      <c r="V487" s="64">
        <f t="shared" si="363"/>
        <v>3233087.9386511156</v>
      </c>
      <c r="W487" s="64">
        <f t="shared" si="363"/>
        <v>3225120.491476607</v>
      </c>
      <c r="X487" s="64">
        <f t="shared" si="363"/>
        <v>3217043.724238818</v>
      </c>
      <c r="Y487" s="64">
        <f t="shared" si="363"/>
        <v>3208891.0612371946</v>
      </c>
      <c r="Z487" s="64">
        <f t="shared" si="363"/>
        <v>3200686.3072673003</v>
      </c>
      <c r="AA487" s="64">
        <f t="shared" si="363"/>
        <v>3192446.0762908296</v>
      </c>
      <c r="AB487" s="64">
        <f t="shared" si="363"/>
        <v>3184181.8090776885</v>
      </c>
      <c r="AC487" s="64">
        <f t="shared" si="363"/>
        <v>3175901.3139791447</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25">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25">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25">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25">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25">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25">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25">
      <c r="A497" s="30" t="str">
        <f t="shared" si="364"/>
        <v>Fuel Cost</v>
      </c>
      <c r="B497" s="66">
        <f>B467*B468*B475/B475</f>
        <v>4.4493586984873952</v>
      </c>
      <c r="C497" s="66">
        <f t="shared" ref="C497:AC497" si="372">C467*C468*C475/C475</f>
        <v>4.1425063744537809</v>
      </c>
      <c r="D497" s="66">
        <f t="shared" si="372"/>
        <v>3.8356540504201684</v>
      </c>
      <c r="E497" s="66">
        <f t="shared" si="372"/>
        <v>3.5288017263865541</v>
      </c>
      <c r="F497" s="66">
        <f t="shared" si="372"/>
        <v>3.2219494023529411</v>
      </c>
      <c r="G497" s="66">
        <f t="shared" si="372"/>
        <v>2.9150970783193282</v>
      </c>
      <c r="H497" s="66">
        <f t="shared" si="372"/>
        <v>2.6082447542857148</v>
      </c>
      <c r="I497" s="66">
        <f t="shared" si="372"/>
        <v>2.3013924302521009</v>
      </c>
      <c r="J497" s="66">
        <f t="shared" si="372"/>
        <v>2.2548166310684272</v>
      </c>
      <c r="K497" s="66">
        <f t="shared" si="372"/>
        <v>2.208240831884754</v>
      </c>
      <c r="L497" s="66">
        <f t="shared" si="372"/>
        <v>2.1616650327010802</v>
      </c>
      <c r="M497" s="66">
        <f t="shared" si="372"/>
        <v>2.1150892335174065</v>
      </c>
      <c r="N497" s="66">
        <f t="shared" si="372"/>
        <v>2.0685134343337337</v>
      </c>
      <c r="O497" s="66">
        <f t="shared" si="372"/>
        <v>2.02193763515006</v>
      </c>
      <c r="P497" s="66">
        <f t="shared" si="372"/>
        <v>1.9753618359663867</v>
      </c>
      <c r="Q497" s="66">
        <f t="shared" si="372"/>
        <v>1.9287860367827132</v>
      </c>
      <c r="R497" s="66">
        <f t="shared" si="372"/>
        <v>1.8822102375990393</v>
      </c>
      <c r="S497" s="66">
        <f t="shared" si="372"/>
        <v>1.8356344384153662</v>
      </c>
      <c r="T497" s="66">
        <f t="shared" si="372"/>
        <v>1.7890586392316927</v>
      </c>
      <c r="U497" s="66">
        <f t="shared" si="372"/>
        <v>1.742482840048019</v>
      </c>
      <c r="V497" s="66">
        <f t="shared" si="372"/>
        <v>1.6959070408643455</v>
      </c>
      <c r="W497" s="66">
        <f t="shared" si="372"/>
        <v>1.649331241680672</v>
      </c>
      <c r="X497" s="66">
        <f t="shared" si="372"/>
        <v>1.602755442496999</v>
      </c>
      <c r="Y497" s="66">
        <f t="shared" si="372"/>
        <v>1.556179643313325</v>
      </c>
      <c r="Z497" s="66">
        <f t="shared" si="372"/>
        <v>1.5096038441296515</v>
      </c>
      <c r="AA497" s="66">
        <f t="shared" si="372"/>
        <v>1.4630280449459783</v>
      </c>
      <c r="AB497" s="66">
        <f t="shared" si="372"/>
        <v>1.4164522457623046</v>
      </c>
      <c r="AC497" s="66">
        <f t="shared" si="372"/>
        <v>1.3698764465786315</v>
      </c>
    </row>
    <row r="498" spans="1:29" ht="15.75" thickBot="1" x14ac:dyDescent="0.3">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75" thickBot="1" x14ac:dyDescent="0.3">
      <c r="A499" s="31" t="s">
        <v>187</v>
      </c>
      <c r="B499" s="76">
        <f>B490+B491+B492-B493+B494+B495+B496+B497+B498</f>
        <v>20.845782590019422</v>
      </c>
      <c r="C499" s="76">
        <f t="shared" ref="C499:AC499" si="374">C490+C491+C492-C493+C494+C495+C496+C497+C498</f>
        <v>20.539896606613944</v>
      </c>
      <c r="D499" s="76">
        <f t="shared" si="374"/>
        <v>20.234416347745626</v>
      </c>
      <c r="E499" s="76">
        <f t="shared" si="374"/>
        <v>19.929503305976112</v>
      </c>
      <c r="F499" s="76">
        <f t="shared" si="374"/>
        <v>19.625373699253746</v>
      </c>
      <c r="G499" s="76">
        <f t="shared" si="374"/>
        <v>19.322306940659754</v>
      </c>
      <c r="H499" s="76">
        <f t="shared" si="374"/>
        <v>19.020644485225578</v>
      </c>
      <c r="I499" s="76">
        <f t="shared" si="374"/>
        <v>18.720766788465774</v>
      </c>
      <c r="J499" s="76">
        <f t="shared" si="374"/>
        <v>18.683308174527863</v>
      </c>
      <c r="K499" s="76">
        <f t="shared" si="374"/>
        <v>18.648213929156913</v>
      </c>
      <c r="L499" s="76">
        <f t="shared" si="374"/>
        <v>18.615415664970453</v>
      </c>
      <c r="M499" s="76">
        <f t="shared" si="374"/>
        <v>18.584419139378877</v>
      </c>
      <c r="N499" s="76">
        <f t="shared" si="374"/>
        <v>18.554290315406238</v>
      </c>
      <c r="O499" s="76">
        <f t="shared" si="374"/>
        <v>18.523837845724643</v>
      </c>
      <c r="P499" s="76">
        <f t="shared" si="374"/>
        <v>18.491939445262144</v>
      </c>
      <c r="Q499" s="76">
        <f t="shared" si="374"/>
        <v>18.4578373448897</v>
      </c>
      <c r="R499" s="76">
        <f t="shared" si="374"/>
        <v>18.421250744540927</v>
      </c>
      <c r="S499" s="76">
        <f t="shared" si="374"/>
        <v>18.382297147420569</v>
      </c>
      <c r="T499" s="76">
        <f t="shared" si="374"/>
        <v>18.341324278054923</v>
      </c>
      <c r="U499" s="76">
        <f t="shared" si="374"/>
        <v>18.298754492635432</v>
      </c>
      <c r="V499" s="76">
        <f t="shared" si="374"/>
        <v>18.254986317493735</v>
      </c>
      <c r="W499" s="76">
        <f t="shared" si="374"/>
        <v>18.210350759093132</v>
      </c>
      <c r="X499" s="76">
        <f t="shared" si="374"/>
        <v>18.165102763363219</v>
      </c>
      <c r="Y499" s="76">
        <f t="shared" si="374"/>
        <v>18.119429581281295</v>
      </c>
      <c r="Z499" s="76">
        <f t="shared" si="374"/>
        <v>18.073464573046589</v>
      </c>
      <c r="AA499" s="76">
        <f t="shared" si="374"/>
        <v>18.027300814074771</v>
      </c>
      <c r="AB499" s="76">
        <f t="shared" si="374"/>
        <v>17.981002398314875</v>
      </c>
      <c r="AC499" s="76">
        <f t="shared" si="374"/>
        <v>17.934613070031716</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25">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25">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25">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25">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25">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25">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25">
      <c r="A509" s="30" t="str">
        <f t="shared" si="375"/>
        <v>Fuel Cost</v>
      </c>
      <c r="B509" s="66">
        <f>B467*B468*B475/B475/(B472)</f>
        <v>1.5890566780312125E-3</v>
      </c>
      <c r="C509" s="66">
        <f t="shared" ref="C509:AC509" si="383">C467*C468*C475/C475/(C472)</f>
        <v>1.4794665623049218E-3</v>
      </c>
      <c r="D509" s="66">
        <f t="shared" si="383"/>
        <v>1.3698764465786316E-3</v>
      </c>
      <c r="E509" s="66">
        <f t="shared" si="383"/>
        <v>1.2602863308523408E-3</v>
      </c>
      <c r="F509" s="66">
        <f t="shared" si="383"/>
        <v>1.1506962151260503E-3</v>
      </c>
      <c r="G509" s="66">
        <f t="shared" si="383"/>
        <v>1.0411060993997601E-3</v>
      </c>
      <c r="H509" s="66">
        <f t="shared" si="383"/>
        <v>9.3151598367346956E-4</v>
      </c>
      <c r="I509" s="66">
        <f t="shared" si="383"/>
        <v>8.2192586794717891E-4</v>
      </c>
      <c r="J509" s="66">
        <f t="shared" si="383"/>
        <v>8.0529165395300977E-4</v>
      </c>
      <c r="K509" s="66">
        <f t="shared" si="383"/>
        <v>7.8865743995884074E-4</v>
      </c>
      <c r="L509" s="66">
        <f t="shared" si="383"/>
        <v>7.720232259646715E-4</v>
      </c>
      <c r="M509" s="66">
        <f t="shared" si="383"/>
        <v>7.5538901197050236E-4</v>
      </c>
      <c r="N509" s="66">
        <f t="shared" si="383"/>
        <v>7.3875479797633344E-4</v>
      </c>
      <c r="O509" s="66">
        <f t="shared" si="383"/>
        <v>7.2212058398216431E-4</v>
      </c>
      <c r="P509" s="66">
        <f t="shared" si="383"/>
        <v>7.0548636998799528E-4</v>
      </c>
      <c r="Q509" s="66">
        <f t="shared" si="383"/>
        <v>6.8885215599382614E-4</v>
      </c>
      <c r="R509" s="66">
        <f t="shared" si="383"/>
        <v>6.722179419996569E-4</v>
      </c>
      <c r="S509" s="66">
        <f t="shared" si="383"/>
        <v>6.5558372800548798E-4</v>
      </c>
      <c r="T509" s="66">
        <f t="shared" si="383"/>
        <v>6.3894951401131884E-4</v>
      </c>
      <c r="U509" s="66">
        <f t="shared" si="383"/>
        <v>6.223153000171496E-4</v>
      </c>
      <c r="V509" s="66">
        <f t="shared" si="383"/>
        <v>6.0568108602298057E-4</v>
      </c>
      <c r="W509" s="66">
        <f t="shared" si="383"/>
        <v>5.8904687202881144E-4</v>
      </c>
      <c r="X509" s="66">
        <f t="shared" si="383"/>
        <v>5.7241265803464252E-4</v>
      </c>
      <c r="Y509" s="66">
        <f t="shared" si="383"/>
        <v>5.5577844404047327E-4</v>
      </c>
      <c r="Z509" s="66">
        <f t="shared" si="383"/>
        <v>5.3914423004630414E-4</v>
      </c>
      <c r="AA509" s="66">
        <f t="shared" si="383"/>
        <v>5.2251001605213511E-4</v>
      </c>
      <c r="AB509" s="66">
        <f t="shared" si="383"/>
        <v>5.0587580205796586E-4</v>
      </c>
      <c r="AC509" s="66">
        <f t="shared" si="383"/>
        <v>4.8924158806379694E-4</v>
      </c>
    </row>
    <row r="510" spans="1:29" x14ac:dyDescent="0.25">
      <c r="A510" s="59" t="str">
        <f>A473</f>
        <v>Market failure (av. utilization)</v>
      </c>
      <c r="B510" s="66">
        <f t="shared" ref="B510:AC510" si="384">B499/B473-B499/B472</f>
        <v>1.436637360417075E-2</v>
      </c>
      <c r="C510" s="66">
        <f t="shared" si="384"/>
        <v>1.4155564904669765E-2</v>
      </c>
      <c r="D510" s="66">
        <f t="shared" si="384"/>
        <v>1.3945035820014422E-2</v>
      </c>
      <c r="E510" s="66">
        <f t="shared" si="384"/>
        <v>1.3734897646696706E-2</v>
      </c>
      <c r="F510" s="66">
        <f t="shared" si="384"/>
        <v>1.3525299396528113E-2</v>
      </c>
      <c r="G510" s="66">
        <f t="shared" si="384"/>
        <v>1.3316433633769416E-2</v>
      </c>
      <c r="H510" s="66">
        <f t="shared" si="384"/>
        <v>1.3108535680387046E-2</v>
      </c>
      <c r="I510" s="66">
        <f t="shared" si="384"/>
        <v>1.2901867736470552E-2</v>
      </c>
      <c r="J510" s="66">
        <f t="shared" si="384"/>
        <v>1.2876052229655086E-2</v>
      </c>
      <c r="K510" s="66">
        <f t="shared" si="384"/>
        <v>1.2851866184435708E-2</v>
      </c>
      <c r="L510" s="66">
        <f t="shared" si="384"/>
        <v>1.2829262469999167E-2</v>
      </c>
      <c r="M510" s="66">
        <f t="shared" si="384"/>
        <v>1.2807900467150062E-2</v>
      </c>
      <c r="N510" s="66">
        <f t="shared" si="384"/>
        <v>1.2787136461789455E-2</v>
      </c>
      <c r="O510" s="66">
        <f t="shared" si="384"/>
        <v>1.2766149408186347E-2</v>
      </c>
      <c r="P510" s="66">
        <f t="shared" si="384"/>
        <v>1.2744165856528319E-2</v>
      </c>
      <c r="Q510" s="66">
        <f t="shared" si="384"/>
        <v>1.2720663571952442E-2</v>
      </c>
      <c r="R510" s="66">
        <f t="shared" si="384"/>
        <v>1.2695449034323686E-2</v>
      </c>
      <c r="S510" s="66">
        <f t="shared" si="384"/>
        <v>1.2668603223808262E-2</v>
      </c>
      <c r="T510" s="66">
        <f t="shared" si="384"/>
        <v>1.2640365783146111E-2</v>
      </c>
      <c r="U510" s="66">
        <f t="shared" si="384"/>
        <v>1.2611027789288368E-2</v>
      </c>
      <c r="V510" s="66">
        <f t="shared" si="384"/>
        <v>1.258086389626382E-2</v>
      </c>
      <c r="W510" s="66">
        <f t="shared" si="384"/>
        <v>1.2550102225156259E-2</v>
      </c>
      <c r="X510" s="66">
        <f t="shared" si="384"/>
        <v>1.2518918478099094E-2</v>
      </c>
      <c r="Y510" s="66">
        <f t="shared" si="384"/>
        <v>1.2487441703617409E-2</v>
      </c>
      <c r="Z510" s="66">
        <f t="shared" si="384"/>
        <v>1.2455763810107441E-2</v>
      </c>
      <c r="AA510" s="66">
        <f t="shared" si="384"/>
        <v>1.2423948942735682E-2</v>
      </c>
      <c r="AB510" s="66">
        <f t="shared" si="384"/>
        <v>1.2392041273392227E-2</v>
      </c>
      <c r="AC510" s="66">
        <f t="shared" si="384"/>
        <v>1.2360070949491726E-2</v>
      </c>
    </row>
    <row r="511" spans="1:29" x14ac:dyDescent="0.25">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75" thickBot="1" x14ac:dyDescent="0.3">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75" thickBot="1" x14ac:dyDescent="0.3">
      <c r="A513" s="31" t="s">
        <v>505</v>
      </c>
      <c r="B513" s="67">
        <f>B502+B503+B504+B505+B506+B507+B508+B509+B510+B511+B512</f>
        <v>2.1760421369870931E-2</v>
      </c>
      <c r="C513" s="67">
        <f t="shared" ref="C513:AC513" si="387">C502+C503+C504+C505+C506+C507+C508+C509+C510+C511+C512</f>
        <v>2.1440367676296562E-2</v>
      </c>
      <c r="D513" s="67">
        <f t="shared" si="387"/>
        <v>2.1120738499188246E-2</v>
      </c>
      <c r="E513" s="67">
        <f t="shared" si="387"/>
        <v>2.0801702810952848E-2</v>
      </c>
      <c r="F513" s="67">
        <f t="shared" si="387"/>
        <v>2.0483486844097697E-2</v>
      </c>
      <c r="G513" s="67">
        <f t="shared" si="387"/>
        <v>2.0166382953269717E-2</v>
      </c>
      <c r="H513" s="67">
        <f t="shared" si="387"/>
        <v>1.9850748408660857E-2</v>
      </c>
      <c r="I513" s="67">
        <f t="shared" si="387"/>
        <v>1.9536981287330144E-2</v>
      </c>
      <c r="J513" s="67">
        <f t="shared" si="387"/>
        <v>1.9497787704108281E-2</v>
      </c>
      <c r="K513" s="67">
        <f t="shared" si="387"/>
        <v>1.9461067999827851E-2</v>
      </c>
      <c r="L513" s="67">
        <f t="shared" si="387"/>
        <v>1.9426750619610432E-2</v>
      </c>
      <c r="M513" s="67">
        <f t="shared" si="387"/>
        <v>1.939431842905005E-2</v>
      </c>
      <c r="N513" s="67">
        <f t="shared" si="387"/>
        <v>1.9362794129413496E-2</v>
      </c>
      <c r="O513" s="67">
        <f t="shared" si="387"/>
        <v>1.9330931193781251E-2</v>
      </c>
      <c r="P513" s="67">
        <f t="shared" si="387"/>
        <v>1.9297555356243758E-2</v>
      </c>
      <c r="Q513" s="67">
        <f t="shared" si="387"/>
        <v>1.9261873750106295E-2</v>
      </c>
      <c r="R513" s="67">
        <f t="shared" si="387"/>
        <v>1.9223592569495834E-2</v>
      </c>
      <c r="S513" s="67">
        <f t="shared" si="387"/>
        <v>1.9182834760008854E-2</v>
      </c>
      <c r="T513" s="67">
        <f t="shared" si="387"/>
        <v>1.9139964151716114E-2</v>
      </c>
      <c r="U513" s="67">
        <f t="shared" si="387"/>
        <v>1.9095422663065693E-2</v>
      </c>
      <c r="V513" s="67">
        <f t="shared" si="387"/>
        <v>1.9049627278919113E-2</v>
      </c>
      <c r="W513" s="67">
        <f t="shared" si="387"/>
        <v>1.9002924336954191E-2</v>
      </c>
      <c r="X513" s="67">
        <f t="shared" si="387"/>
        <v>1.895558059142206E-2</v>
      </c>
      <c r="Y513" s="67">
        <f t="shared" si="387"/>
        <v>1.8907791966196831E-2</v>
      </c>
      <c r="Z513" s="67">
        <f t="shared" si="387"/>
        <v>1.8859697998317326E-2</v>
      </c>
      <c r="AA513" s="67">
        <f t="shared" si="387"/>
        <v>1.8811396074169914E-2</v>
      </c>
      <c r="AB513" s="67">
        <f t="shared" si="387"/>
        <v>1.8762953256340781E-2</v>
      </c>
      <c r="AC513" s="67">
        <f t="shared" si="387"/>
        <v>1.8714415315196298E-2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285</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Input'!$L$159</f>
        <v>5000000</v>
      </c>
      <c r="C11" s="42">
        <f>'Parameter Input'!$M$159</f>
        <v>5000000</v>
      </c>
      <c r="D11" s="1" t="s">
        <v>138</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151</v>
      </c>
      <c r="B12" s="60">
        <f>'Parameter Input'!$L$160</f>
        <v>-750000</v>
      </c>
      <c r="C12" s="61">
        <f>'Parameter Input'!$M$160</f>
        <v>-750000</v>
      </c>
      <c r="D12" s="1" t="s">
        <v>138</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Input'!$L$166</f>
        <v>0.06</v>
      </c>
      <c r="C15" s="46">
        <f>'Parameter Input'!$M$166</f>
        <v>0.06</v>
      </c>
      <c r="D15" s="1" t="s">
        <v>180</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Input'!$L$162</f>
        <v>650000</v>
      </c>
      <c r="C17" s="44">
        <f>'Parameter Input'!$M$162</f>
        <v>650000</v>
      </c>
      <c r="D17" s="1" t="s">
        <v>161</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Input'!$L$163</f>
        <v>31.614305882352937</v>
      </c>
      <c r="C19" s="48">
        <f>'Parameter Input'!$M$163</f>
        <v>31.614305882352937</v>
      </c>
      <c r="D19" s="1" t="s">
        <v>184</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Input'!$L$164</f>
        <v>0.13371034051801745</v>
      </c>
      <c r="C20" s="46">
        <f>'Parameter Input'!$M$164</f>
        <v>8.7585019329602734E-2</v>
      </c>
      <c r="D20" s="1" t="s">
        <v>94</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458</v>
      </c>
      <c r="B21" s="115">
        <f>'Parameter Input'!$L$167</f>
        <v>0</v>
      </c>
      <c r="C21" s="116">
        <f>'Parameter Input'!$M$167</f>
        <v>0</v>
      </c>
      <c r="D21" s="1" t="s">
        <v>200</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Input'!$L$161</f>
        <v>20</v>
      </c>
      <c r="C22" s="44">
        <f>'Parameter Input'!$M$161</f>
        <v>20</v>
      </c>
      <c r="D22" s="1" t="s">
        <v>165</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Input'!$L$165</f>
        <v>0</v>
      </c>
      <c r="C26" s="73">
        <f>'Parameter Input'!$M$165</f>
        <v>0</v>
      </c>
      <c r="D26" s="1" t="s">
        <v>180</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9.4166661249999992E-2</v>
      </c>
      <c r="C40" s="66">
        <f>'Parameter Input'!K4</f>
        <v>9.4166661249999992E-2</v>
      </c>
      <c r="D40" s="66">
        <f>'Parameter Input'!L4</f>
        <v>9.4166661249999992E-2</v>
      </c>
      <c r="E40" s="66">
        <f>'Parameter Input'!M4</f>
        <v>9.4166661249999992E-2</v>
      </c>
      <c r="F40" s="66">
        <f>'Parameter Input'!N4</f>
        <v>9.4166661249999992E-2</v>
      </c>
      <c r="G40" s="66">
        <f>'Parameter Input'!O4</f>
        <v>9.4166661249999992E-2</v>
      </c>
      <c r="H40" s="66">
        <f>'Parameter Input'!P4</f>
        <v>9.4166661249999992E-2</v>
      </c>
      <c r="I40" s="66">
        <f>'Parameter Input'!Q4</f>
        <v>9.4166661249999992E-2</v>
      </c>
      <c r="J40" s="66">
        <f>'Parameter Input'!R4</f>
        <v>9.5999994399999997E-2</v>
      </c>
      <c r="K40" s="66">
        <f>'Parameter Input'!S4</f>
        <v>9.7833327550000002E-2</v>
      </c>
      <c r="L40" s="66">
        <f>'Parameter Input'!T4</f>
        <v>9.9666660700000007E-2</v>
      </c>
      <c r="M40" s="66">
        <f>'Parameter Input'!U4</f>
        <v>0.10149999385000001</v>
      </c>
      <c r="N40" s="66">
        <f>'Parameter Input'!V4</f>
        <v>0.103333327</v>
      </c>
      <c r="O40" s="66">
        <f>'Parameter Input'!W4</f>
        <v>0.1023333271</v>
      </c>
      <c r="P40" s="66">
        <f>'Parameter Input'!X4</f>
        <v>0.10133332719999999</v>
      </c>
      <c r="Q40" s="66">
        <f>'Parameter Input'!Y4</f>
        <v>0.10033332729999998</v>
      </c>
      <c r="R40" s="66">
        <f>'Parameter Input'!Z4</f>
        <v>9.9333327399999977E-2</v>
      </c>
      <c r="S40" s="66">
        <f>'Parameter Input'!AA4</f>
        <v>9.8333327499999998E-2</v>
      </c>
      <c r="T40" s="66">
        <f>'Parameter Input'!AB4</f>
        <v>9.7333327599999991E-2</v>
      </c>
      <c r="U40" s="66">
        <f>'Parameter Input'!AC4</f>
        <v>9.6333327699999985E-2</v>
      </c>
      <c r="V40" s="66">
        <f>'Parameter Input'!AD4</f>
        <v>9.5333327799999978E-2</v>
      </c>
      <c r="W40" s="66">
        <f>'Parameter Input'!AE4</f>
        <v>9.4333327899999986E-2</v>
      </c>
      <c r="X40" s="66">
        <f>'Parameter Input'!AF4</f>
        <v>9.3333328000000007E-2</v>
      </c>
      <c r="Y40" s="66">
        <f>'Parameter Input'!AG4</f>
        <v>9.2333328100000001E-2</v>
      </c>
      <c r="Z40" s="66">
        <f>'Parameter Input'!AH4</f>
        <v>9.1333328199999994E-2</v>
      </c>
      <c r="AA40" s="66">
        <f>'Parameter Input'!AI4</f>
        <v>9.0333328299999988E-2</v>
      </c>
      <c r="AB40" s="66">
        <f>'Parameter Input'!AJ4</f>
        <v>8.9333328399999981E-2</v>
      </c>
      <c r="AC40" s="66">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197</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25">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531396.93343291793</v>
      </c>
      <c r="C57" s="62">
        <f t="shared" ref="C57:AC57" si="57">C39*C40*C47</f>
        <v>531396.93343291793</v>
      </c>
      <c r="D57" s="62">
        <f t="shared" si="57"/>
        <v>531396.93343291793</v>
      </c>
      <c r="E57" s="62">
        <f t="shared" si="57"/>
        <v>531396.93343291793</v>
      </c>
      <c r="F57" s="62">
        <f t="shared" si="57"/>
        <v>531396.93343291793</v>
      </c>
      <c r="G57" s="62">
        <f t="shared" si="57"/>
        <v>531396.93343291793</v>
      </c>
      <c r="H57" s="62">
        <f t="shared" si="57"/>
        <v>531396.93343291793</v>
      </c>
      <c r="I57" s="62">
        <f t="shared" si="57"/>
        <v>531396.93343291793</v>
      </c>
      <c r="J57" s="62">
        <f t="shared" si="57"/>
        <v>541742.71399833972</v>
      </c>
      <c r="K57" s="62">
        <f t="shared" si="57"/>
        <v>552088.49456376163</v>
      </c>
      <c r="L57" s="62">
        <f t="shared" si="57"/>
        <v>562434.27512918354</v>
      </c>
      <c r="M57" s="62">
        <f t="shared" si="57"/>
        <v>572780.05569460534</v>
      </c>
      <c r="N57" s="62">
        <f t="shared" si="57"/>
        <v>583125.83626002714</v>
      </c>
      <c r="O57" s="62">
        <f t="shared" si="57"/>
        <v>577482.68322434241</v>
      </c>
      <c r="P57" s="62">
        <f t="shared" si="57"/>
        <v>571839.53018865781</v>
      </c>
      <c r="Q57" s="62">
        <f t="shared" si="57"/>
        <v>566196.37715297309</v>
      </c>
      <c r="R57" s="62">
        <f t="shared" si="57"/>
        <v>560553.22411728848</v>
      </c>
      <c r="S57" s="62">
        <f t="shared" si="57"/>
        <v>554910.07108160388</v>
      </c>
      <c r="T57" s="62">
        <f t="shared" si="57"/>
        <v>549266.91804591927</v>
      </c>
      <c r="U57" s="62">
        <f t="shared" si="57"/>
        <v>543623.76501023455</v>
      </c>
      <c r="V57" s="62">
        <f t="shared" si="57"/>
        <v>537980.61197454983</v>
      </c>
      <c r="W57" s="62">
        <f t="shared" si="57"/>
        <v>532337.45893886534</v>
      </c>
      <c r="X57" s="62">
        <f t="shared" si="57"/>
        <v>526694.30590318074</v>
      </c>
      <c r="Y57" s="62">
        <f t="shared" si="57"/>
        <v>521051.15286749613</v>
      </c>
      <c r="Z57" s="62">
        <f t="shared" si="57"/>
        <v>515407.99983181141</v>
      </c>
      <c r="AA57" s="62">
        <f t="shared" si="57"/>
        <v>509764.84679612675</v>
      </c>
      <c r="AB57" s="62">
        <f t="shared" si="57"/>
        <v>504121.69376044202</v>
      </c>
      <c r="AC57" s="62">
        <f t="shared" si="57"/>
        <v>498478.54072475765</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504</v>
      </c>
      <c r="B59" s="64">
        <f>B50+B51+B52+B53+B54+B55+B56+B57+B58</f>
        <v>3191800.4574298249</v>
      </c>
      <c r="C59" s="64">
        <f t="shared" ref="C59:AC59" si="59">C50+C51+C52+C53+C54+C55+C56+C57+C58</f>
        <v>3191800.4574298249</v>
      </c>
      <c r="D59" s="64">
        <f t="shared" si="59"/>
        <v>3191800.4574298249</v>
      </c>
      <c r="E59" s="64">
        <f t="shared" si="59"/>
        <v>3191800.4574298249</v>
      </c>
      <c r="F59" s="64">
        <f t="shared" si="59"/>
        <v>3191800.4574298249</v>
      </c>
      <c r="G59" s="64">
        <f t="shared" si="59"/>
        <v>3191800.4574298249</v>
      </c>
      <c r="H59" s="64">
        <f t="shared" si="59"/>
        <v>3191800.4574298249</v>
      </c>
      <c r="I59" s="64">
        <f t="shared" si="59"/>
        <v>3191800.4574298249</v>
      </c>
      <c r="J59" s="64">
        <f t="shared" si="59"/>
        <v>3202146.2379952464</v>
      </c>
      <c r="K59" s="64">
        <f t="shared" si="59"/>
        <v>3212492.0185606685</v>
      </c>
      <c r="L59" s="64">
        <f t="shared" si="59"/>
        <v>3222837.7991260905</v>
      </c>
      <c r="M59" s="64">
        <f t="shared" si="59"/>
        <v>3233183.579691512</v>
      </c>
      <c r="N59" s="64">
        <f t="shared" si="59"/>
        <v>3243529.3602569341</v>
      </c>
      <c r="O59" s="64">
        <f t="shared" si="59"/>
        <v>3237886.2072212491</v>
      </c>
      <c r="P59" s="64">
        <f t="shared" si="59"/>
        <v>3232243.0541855646</v>
      </c>
      <c r="Q59" s="64">
        <f t="shared" si="59"/>
        <v>3226599.9011498801</v>
      </c>
      <c r="R59" s="64">
        <f t="shared" si="59"/>
        <v>3220956.7481141952</v>
      </c>
      <c r="S59" s="64">
        <f t="shared" si="59"/>
        <v>3215313.5950785107</v>
      </c>
      <c r="T59" s="64">
        <f t="shared" si="59"/>
        <v>3209670.4420428262</v>
      </c>
      <c r="U59" s="64">
        <f t="shared" si="59"/>
        <v>3204027.2890071413</v>
      </c>
      <c r="V59" s="64">
        <f t="shared" si="59"/>
        <v>3198384.1359714568</v>
      </c>
      <c r="W59" s="64">
        <f t="shared" si="59"/>
        <v>3192740.9829357723</v>
      </c>
      <c r="X59" s="64">
        <f t="shared" si="59"/>
        <v>3187097.8299000878</v>
      </c>
      <c r="Y59" s="64">
        <f t="shared" si="59"/>
        <v>3181454.6768644028</v>
      </c>
      <c r="Z59" s="64">
        <f t="shared" si="59"/>
        <v>3175811.5238287183</v>
      </c>
      <c r="AA59" s="64">
        <f t="shared" si="59"/>
        <v>3170168.3707930334</v>
      </c>
      <c r="AB59" s="64">
        <f t="shared" si="59"/>
        <v>3164525.2177573489</v>
      </c>
      <c r="AC59" s="64">
        <f t="shared" si="59"/>
        <v>3158882.0647216644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25">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2.9770136326774113</v>
      </c>
      <c r="C69" s="66">
        <f t="shared" ref="C69:AC69" si="68">C39*C40*C47/C47</f>
        <v>2.9770136326774113</v>
      </c>
      <c r="D69" s="66">
        <f t="shared" si="68"/>
        <v>2.9770136326774113</v>
      </c>
      <c r="E69" s="66">
        <f t="shared" si="68"/>
        <v>2.9770136326774113</v>
      </c>
      <c r="F69" s="66">
        <f t="shared" si="68"/>
        <v>2.9770136326774113</v>
      </c>
      <c r="G69" s="66">
        <f t="shared" si="68"/>
        <v>2.9770136326774113</v>
      </c>
      <c r="H69" s="66">
        <f t="shared" si="68"/>
        <v>2.9770136326774113</v>
      </c>
      <c r="I69" s="66">
        <f t="shared" si="68"/>
        <v>2.9770136326774113</v>
      </c>
      <c r="J69" s="66">
        <f t="shared" si="68"/>
        <v>3.0349731876657686</v>
      </c>
      <c r="K69" s="66">
        <f t="shared" si="68"/>
        <v>3.0929327426541269</v>
      </c>
      <c r="L69" s="66">
        <f t="shared" si="68"/>
        <v>3.1508922976424847</v>
      </c>
      <c r="M69" s="66">
        <f t="shared" si="68"/>
        <v>3.208851852630842</v>
      </c>
      <c r="N69" s="66">
        <f t="shared" si="68"/>
        <v>3.2668114076191999</v>
      </c>
      <c r="O69" s="66">
        <f t="shared" si="68"/>
        <v>3.2351971048982766</v>
      </c>
      <c r="P69" s="66">
        <f t="shared" si="68"/>
        <v>3.2035828021773547</v>
      </c>
      <c r="Q69" s="66">
        <f t="shared" si="68"/>
        <v>3.1719684994564319</v>
      </c>
      <c r="R69" s="66">
        <f t="shared" si="68"/>
        <v>3.1403541967355095</v>
      </c>
      <c r="S69" s="66">
        <f t="shared" si="68"/>
        <v>3.1087398940145876</v>
      </c>
      <c r="T69" s="66">
        <f t="shared" si="68"/>
        <v>3.0771255912936653</v>
      </c>
      <c r="U69" s="66">
        <f t="shared" si="68"/>
        <v>3.0455112885727424</v>
      </c>
      <c r="V69" s="66">
        <f t="shared" si="68"/>
        <v>3.0138969858518196</v>
      </c>
      <c r="W69" s="66">
        <f t="shared" si="68"/>
        <v>2.9822826831308982</v>
      </c>
      <c r="X69" s="66">
        <f t="shared" si="68"/>
        <v>2.9506683804099763</v>
      </c>
      <c r="Y69" s="66">
        <f t="shared" si="68"/>
        <v>2.9190540776890539</v>
      </c>
      <c r="Z69" s="66">
        <f t="shared" si="68"/>
        <v>2.8874397749681311</v>
      </c>
      <c r="AA69" s="66">
        <f t="shared" si="68"/>
        <v>2.8558254722472087</v>
      </c>
      <c r="AB69" s="66">
        <f t="shared" si="68"/>
        <v>2.8242111695262859</v>
      </c>
      <c r="AC69" s="66">
        <f t="shared" si="68"/>
        <v>2.7925968668053649</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187</v>
      </c>
      <c r="B71" s="76">
        <f>B62+B63+B64-B65+B66+B67+B68+B69+B70</f>
        <v>18.052173670899968</v>
      </c>
      <c r="C71" s="76">
        <f t="shared" ref="C71:AC71" si="71">C62+C63+C64-C65+C66+C67+C68+C69+C70</f>
        <v>18.052173670899968</v>
      </c>
      <c r="D71" s="76">
        <f t="shared" si="71"/>
        <v>18.052173670899968</v>
      </c>
      <c r="E71" s="76">
        <f t="shared" si="71"/>
        <v>18.052173670899968</v>
      </c>
      <c r="F71" s="76">
        <f t="shared" si="71"/>
        <v>18.052173670899968</v>
      </c>
      <c r="G71" s="76">
        <f t="shared" si="71"/>
        <v>18.052173670899968</v>
      </c>
      <c r="H71" s="76">
        <f t="shared" si="71"/>
        <v>18.052173670899968</v>
      </c>
      <c r="I71" s="76">
        <f t="shared" si="71"/>
        <v>18.052173670899968</v>
      </c>
      <c r="J71" s="76">
        <f t="shared" si="71"/>
        <v>18.110133225888326</v>
      </c>
      <c r="K71" s="76">
        <f t="shared" si="71"/>
        <v>18.168092780876684</v>
      </c>
      <c r="L71" s="76">
        <f t="shared" si="71"/>
        <v>18.226052335865042</v>
      </c>
      <c r="M71" s="76">
        <f t="shared" si="71"/>
        <v>18.2840118908534</v>
      </c>
      <c r="N71" s="76">
        <f t="shared" si="71"/>
        <v>18.341971445841757</v>
      </c>
      <c r="O71" s="76">
        <f t="shared" si="71"/>
        <v>18.310357143120836</v>
      </c>
      <c r="P71" s="76">
        <f t="shared" si="71"/>
        <v>18.278742840399914</v>
      </c>
      <c r="Q71" s="76">
        <f t="shared" si="71"/>
        <v>18.247128537678989</v>
      </c>
      <c r="R71" s="76">
        <f t="shared" si="71"/>
        <v>18.215514234958068</v>
      </c>
      <c r="S71" s="76">
        <f t="shared" si="71"/>
        <v>18.183899932237146</v>
      </c>
      <c r="T71" s="76">
        <f t="shared" si="71"/>
        <v>18.152285629516221</v>
      </c>
      <c r="U71" s="76">
        <f t="shared" si="71"/>
        <v>18.1206713267953</v>
      </c>
      <c r="V71" s="76">
        <f t="shared" si="71"/>
        <v>18.089057024074378</v>
      </c>
      <c r="W71" s="76">
        <f t="shared" si="71"/>
        <v>18.057442721353457</v>
      </c>
      <c r="X71" s="76">
        <f t="shared" si="71"/>
        <v>18.025828418632535</v>
      </c>
      <c r="Y71" s="76">
        <f t="shared" si="71"/>
        <v>17.99421411591161</v>
      </c>
      <c r="Z71" s="76">
        <f t="shared" si="71"/>
        <v>17.962599813190689</v>
      </c>
      <c r="AA71" s="76">
        <f t="shared" si="71"/>
        <v>17.930985510469768</v>
      </c>
      <c r="AB71" s="76">
        <f t="shared" si="71"/>
        <v>17.899371207748842</v>
      </c>
      <c r="AC71" s="76">
        <f t="shared" si="71"/>
        <v>17.867756905027925</v>
      </c>
    </row>
    <row r="72" spans="1:29" ht="15.75" thickBot="1" x14ac:dyDescent="0.3"/>
    <row r="73" spans="1:29" ht="15.75" thickBot="1" x14ac:dyDescent="0.3">
      <c r="A73" s="26" t="s">
        <v>503</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25">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1.3290239431595586E-3</v>
      </c>
      <c r="C81" s="66">
        <f t="shared" ref="C81:AC81" si="80">C39*C40*C47/C47/(C44)</f>
        <v>1.3290239431595586E-3</v>
      </c>
      <c r="D81" s="66">
        <f t="shared" si="80"/>
        <v>1.3290239431595586E-3</v>
      </c>
      <c r="E81" s="66">
        <f t="shared" si="80"/>
        <v>1.3290239431595586E-3</v>
      </c>
      <c r="F81" s="66">
        <f t="shared" si="80"/>
        <v>1.3290239431595586E-3</v>
      </c>
      <c r="G81" s="66">
        <f t="shared" si="80"/>
        <v>1.3290239431595586E-3</v>
      </c>
      <c r="H81" s="66">
        <f t="shared" si="80"/>
        <v>1.3290239431595586E-3</v>
      </c>
      <c r="I81" s="66">
        <f t="shared" si="80"/>
        <v>1.3290239431595586E-3</v>
      </c>
      <c r="J81" s="66">
        <f t="shared" si="80"/>
        <v>1.3548987444936466E-3</v>
      </c>
      <c r="K81" s="66">
        <f t="shared" si="80"/>
        <v>1.3807735458277353E-3</v>
      </c>
      <c r="L81" s="66">
        <f t="shared" si="80"/>
        <v>1.4066483471618235E-3</v>
      </c>
      <c r="M81" s="66">
        <f t="shared" si="80"/>
        <v>1.4325231484959115E-3</v>
      </c>
      <c r="N81" s="66">
        <f t="shared" si="80"/>
        <v>1.45839794983E-3</v>
      </c>
      <c r="O81" s="66">
        <f t="shared" si="80"/>
        <v>1.4442844218295879E-3</v>
      </c>
      <c r="P81" s="66">
        <f t="shared" si="80"/>
        <v>1.4301708938291762E-3</v>
      </c>
      <c r="Q81" s="66">
        <f t="shared" si="80"/>
        <v>1.4160573658287643E-3</v>
      </c>
      <c r="R81" s="66">
        <f t="shared" si="80"/>
        <v>1.4019438378283524E-3</v>
      </c>
      <c r="S81" s="66">
        <f t="shared" si="80"/>
        <v>1.3878303098279409E-3</v>
      </c>
      <c r="T81" s="66">
        <f t="shared" si="80"/>
        <v>1.3737167818275292E-3</v>
      </c>
      <c r="U81" s="66">
        <f t="shared" si="80"/>
        <v>1.3596032538271171E-3</v>
      </c>
      <c r="V81" s="66">
        <f t="shared" si="80"/>
        <v>1.3454897258267052E-3</v>
      </c>
      <c r="W81" s="66">
        <f t="shared" si="80"/>
        <v>1.3313761978262938E-3</v>
      </c>
      <c r="X81" s="66">
        <f t="shared" si="80"/>
        <v>1.3172626698258823E-3</v>
      </c>
      <c r="Y81" s="66">
        <f t="shared" si="80"/>
        <v>1.3031491418254704E-3</v>
      </c>
      <c r="Z81" s="66">
        <f t="shared" si="80"/>
        <v>1.2890356138250585E-3</v>
      </c>
      <c r="AA81" s="66">
        <f t="shared" si="80"/>
        <v>1.2749220858246468E-3</v>
      </c>
      <c r="AB81" s="66">
        <f t="shared" si="80"/>
        <v>1.2608085578242347E-3</v>
      </c>
      <c r="AC81" s="66">
        <f t="shared" si="80"/>
        <v>1.2466950298238237E-3</v>
      </c>
    </row>
    <row r="82" spans="1:29" x14ac:dyDescent="0.25">
      <c r="A82" s="59" t="str">
        <f>A45</f>
        <v>Market failure (av. utilization)</v>
      </c>
      <c r="B82" s="66">
        <f t="shared" ref="B82:AC82" si="81">B71/B45-B71/B44</f>
        <v>4.5331909329826905E-3</v>
      </c>
      <c r="C82" s="66">
        <f t="shared" si="81"/>
        <v>4.5331909329826905E-3</v>
      </c>
      <c r="D82" s="66">
        <f t="shared" si="81"/>
        <v>4.5331909329826905E-3</v>
      </c>
      <c r="E82" s="66">
        <f t="shared" si="81"/>
        <v>4.5331909329826905E-3</v>
      </c>
      <c r="F82" s="66">
        <f t="shared" si="81"/>
        <v>4.5331909329826905E-3</v>
      </c>
      <c r="G82" s="66">
        <f t="shared" si="81"/>
        <v>4.5331909329826905E-3</v>
      </c>
      <c r="H82" s="66">
        <f t="shared" si="81"/>
        <v>4.5331909329826905E-3</v>
      </c>
      <c r="I82" s="66">
        <f t="shared" si="81"/>
        <v>4.5331909329826905E-3</v>
      </c>
      <c r="J82" s="66">
        <f t="shared" si="81"/>
        <v>4.547745508733117E-3</v>
      </c>
      <c r="K82" s="66">
        <f t="shared" si="81"/>
        <v>4.5623000844835417E-3</v>
      </c>
      <c r="L82" s="66">
        <f t="shared" si="81"/>
        <v>4.5768546602339664E-3</v>
      </c>
      <c r="M82" s="66">
        <f t="shared" si="81"/>
        <v>4.5914092359843912E-3</v>
      </c>
      <c r="N82" s="66">
        <f t="shared" si="81"/>
        <v>4.6059638117348142E-3</v>
      </c>
      <c r="O82" s="66">
        <f t="shared" si="81"/>
        <v>4.5980249522345838E-3</v>
      </c>
      <c r="P82" s="66">
        <f t="shared" si="81"/>
        <v>4.5900860927343533E-3</v>
      </c>
      <c r="Q82" s="66">
        <f t="shared" si="81"/>
        <v>4.5821472332341195E-3</v>
      </c>
      <c r="R82" s="66">
        <f t="shared" si="81"/>
        <v>4.5742083737338891E-3</v>
      </c>
      <c r="S82" s="66">
        <f t="shared" si="81"/>
        <v>4.5662695142336569E-3</v>
      </c>
      <c r="T82" s="66">
        <f t="shared" si="81"/>
        <v>4.5583306547334248E-3</v>
      </c>
      <c r="U82" s="66">
        <f t="shared" si="81"/>
        <v>4.5503917952331926E-3</v>
      </c>
      <c r="V82" s="66">
        <f t="shared" si="81"/>
        <v>4.5424529357329622E-3</v>
      </c>
      <c r="W82" s="66">
        <f t="shared" si="81"/>
        <v>4.5345140762327301E-3</v>
      </c>
      <c r="X82" s="66">
        <f t="shared" si="81"/>
        <v>4.5265752167324997E-3</v>
      </c>
      <c r="Y82" s="66">
        <f t="shared" si="81"/>
        <v>4.5186363572322658E-3</v>
      </c>
      <c r="Z82" s="66">
        <f t="shared" si="81"/>
        <v>4.5106974977320354E-3</v>
      </c>
      <c r="AA82" s="66">
        <f t="shared" si="81"/>
        <v>4.502758638231805E-3</v>
      </c>
      <c r="AB82" s="66">
        <f t="shared" si="81"/>
        <v>4.4948197787315711E-3</v>
      </c>
      <c r="AC82" s="66">
        <f t="shared" si="81"/>
        <v>4.4868809192313425E-3</v>
      </c>
    </row>
    <row r="83" spans="1:29" x14ac:dyDescent="0.25">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505</v>
      </c>
      <c r="B85" s="76">
        <f>B74+B75+B76+B77+B78+B79+B80+B81+B82+B83+B84</f>
        <v>1.2515885154245758E-2</v>
      </c>
      <c r="C85" s="76">
        <f t="shared" ref="C85:AC85" si="84">C74+C75+C76+C77+C78+C79+C80+C81+C82+C83+C84</f>
        <v>1.2515885154245758E-2</v>
      </c>
      <c r="D85" s="76">
        <f t="shared" si="84"/>
        <v>1.2515885154245758E-2</v>
      </c>
      <c r="E85" s="76">
        <f t="shared" si="84"/>
        <v>1.2515885154245758E-2</v>
      </c>
      <c r="F85" s="76">
        <f t="shared" si="84"/>
        <v>1.2515885154245758E-2</v>
      </c>
      <c r="G85" s="76">
        <f t="shared" si="84"/>
        <v>1.2515885154245758E-2</v>
      </c>
      <c r="H85" s="76">
        <f t="shared" si="84"/>
        <v>1.2515885154245758E-2</v>
      </c>
      <c r="I85" s="76">
        <f t="shared" si="84"/>
        <v>1.2515885154245758E-2</v>
      </c>
      <c r="J85" s="76">
        <f t="shared" si="84"/>
        <v>1.2556314531330272E-2</v>
      </c>
      <c r="K85" s="76">
        <f t="shared" si="84"/>
        <v>1.2596743908414785E-2</v>
      </c>
      <c r="L85" s="76">
        <f t="shared" si="84"/>
        <v>1.2637173285499299E-2</v>
      </c>
      <c r="M85" s="76">
        <f t="shared" si="84"/>
        <v>1.2677602662583812E-2</v>
      </c>
      <c r="N85" s="76">
        <f t="shared" si="84"/>
        <v>1.2718032039668323E-2</v>
      </c>
      <c r="O85" s="76">
        <f t="shared" si="84"/>
        <v>1.2695979652167681E-2</v>
      </c>
      <c r="P85" s="76">
        <f t="shared" si="84"/>
        <v>1.2673927264667038E-2</v>
      </c>
      <c r="Q85" s="76">
        <f t="shared" si="84"/>
        <v>1.2651874877166392E-2</v>
      </c>
      <c r="R85" s="76">
        <f t="shared" si="84"/>
        <v>1.262982248966575E-2</v>
      </c>
      <c r="S85" s="76">
        <f t="shared" si="84"/>
        <v>1.2607770102165107E-2</v>
      </c>
      <c r="T85" s="76">
        <f t="shared" si="84"/>
        <v>1.2585717714664463E-2</v>
      </c>
      <c r="U85" s="76">
        <f t="shared" si="84"/>
        <v>1.2563665327163819E-2</v>
      </c>
      <c r="V85" s="76">
        <f t="shared" si="84"/>
        <v>1.2541612939663176E-2</v>
      </c>
      <c r="W85" s="76">
        <f t="shared" si="84"/>
        <v>1.2519560552162532E-2</v>
      </c>
      <c r="X85" s="76">
        <f t="shared" si="84"/>
        <v>1.2497508164661891E-2</v>
      </c>
      <c r="Y85" s="76">
        <f t="shared" si="84"/>
        <v>1.2475455777161245E-2</v>
      </c>
      <c r="Z85" s="76">
        <f t="shared" si="84"/>
        <v>1.2453403389660602E-2</v>
      </c>
      <c r="AA85" s="76">
        <f t="shared" si="84"/>
        <v>1.243135100215996E-2</v>
      </c>
      <c r="AB85" s="76">
        <f t="shared" si="84"/>
        <v>1.2409298614659314E-2</v>
      </c>
      <c r="AC85" s="76">
        <f t="shared" si="84"/>
        <v>1.2387246227158675E-2</v>
      </c>
    </row>
    <row r="87" spans="1:29" x14ac:dyDescent="0.25">
      <c r="B87" s="40"/>
    </row>
    <row r="107" spans="1:2" s="3" customFormat="1" ht="21" x14ac:dyDescent="0.35">
      <c r="A107" s="2" t="str">
        <f>'Parameter Input'!A158</f>
        <v>Railway long-haul: Liquid bulk</v>
      </c>
    </row>
    <row r="108" spans="1:2" s="3" customFormat="1" ht="21" x14ac:dyDescent="0.35">
      <c r="A108" s="2" t="s">
        <v>285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Input'!$L$159</f>
        <v>5000000</v>
      </c>
      <c r="C117" s="42">
        <f>'Parameter Input'!$M$159</f>
        <v>5000000</v>
      </c>
      <c r="D117" s="1" t="s">
        <v>138</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151</v>
      </c>
      <c r="B118" s="60">
        <f>'Parameter Input'!$L$160</f>
        <v>-750000</v>
      </c>
      <c r="C118" s="61">
        <f>'Parameter Input'!$M$160</f>
        <v>-750000</v>
      </c>
      <c r="D118" s="1" t="s">
        <v>138</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203</v>
      </c>
      <c r="B121" s="45">
        <f>'Parameter Input'!$L$166</f>
        <v>0.06</v>
      </c>
      <c r="C121" s="46">
        <f>'Parameter Input'!$M$166</f>
        <v>0.06</v>
      </c>
      <c r="D121" s="1" t="s">
        <v>180</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175</v>
      </c>
      <c r="B123" s="43">
        <f>'Parameter Input'!$L$162</f>
        <v>650000</v>
      </c>
      <c r="C123" s="44">
        <f>'Parameter Input'!$M$162</f>
        <v>650000</v>
      </c>
      <c r="D123" s="1" t="s">
        <v>161</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183</v>
      </c>
      <c r="B125" s="47">
        <f>'Parameter Input'!$L$163</f>
        <v>31.614305882352937</v>
      </c>
      <c r="C125" s="48">
        <f>'Parameter Input'!$M$163</f>
        <v>31.614305882352937</v>
      </c>
      <c r="D125" s="1" t="s">
        <v>184</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191</v>
      </c>
      <c r="B126" s="45">
        <f>'Parameter Input'!$L$164</f>
        <v>0.13371034051801745</v>
      </c>
      <c r="C126" s="46">
        <f>'Parameter Input'!$M$164</f>
        <v>8.7585019329602734E-2</v>
      </c>
      <c r="D126" s="1" t="s">
        <v>94</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458</v>
      </c>
      <c r="B127" s="115">
        <f>'Parameter Input'!$L$167</f>
        <v>0</v>
      </c>
      <c r="C127" s="116">
        <f>'Parameter Input'!$M$167</f>
        <v>0</v>
      </c>
      <c r="D127" s="1" t="s">
        <v>200</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164</v>
      </c>
      <c r="B128" s="43">
        <f>'Parameter Input'!$L$161</f>
        <v>20</v>
      </c>
      <c r="C128" s="44">
        <f>'Parameter Input'!$M$161</f>
        <v>20</v>
      </c>
      <c r="D128" s="1" t="s">
        <v>165</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197</v>
      </c>
      <c r="B132" s="72">
        <f>'Parameter Input'!$L$165</f>
        <v>0</v>
      </c>
      <c r="C132" s="73">
        <f>'Parameter Input'!$M$165</f>
        <v>0</v>
      </c>
      <c r="D132" s="1" t="s">
        <v>180</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25">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25">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25">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25">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25">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25">
      <c r="A152" s="30" t="s">
        <v>197</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25">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25">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25">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25">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25">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25">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25">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25">
      <c r="A163" s="30" t="str">
        <f>A146</f>
        <v>Fuel Cost</v>
      </c>
      <c r="B163" s="62">
        <f>B145*B146*B153</f>
        <v>531396.93343291793</v>
      </c>
      <c r="C163" s="62">
        <f t="shared" ref="C163:AC163" si="161">C145*C146*C153</f>
        <v>531396.93343291793</v>
      </c>
      <c r="D163" s="62">
        <f t="shared" si="161"/>
        <v>531396.93343291793</v>
      </c>
      <c r="E163" s="62">
        <f t="shared" si="161"/>
        <v>531396.93343291793</v>
      </c>
      <c r="F163" s="62">
        <f t="shared" si="161"/>
        <v>531396.93343291793</v>
      </c>
      <c r="G163" s="62">
        <f t="shared" si="161"/>
        <v>531396.93343291793</v>
      </c>
      <c r="H163" s="62">
        <f t="shared" si="161"/>
        <v>531396.93343291793</v>
      </c>
      <c r="I163" s="62">
        <f t="shared" si="161"/>
        <v>531396.93343291793</v>
      </c>
      <c r="J163" s="62">
        <f t="shared" si="161"/>
        <v>541742.71399833972</v>
      </c>
      <c r="K163" s="62">
        <f t="shared" si="161"/>
        <v>552088.49456376163</v>
      </c>
      <c r="L163" s="62">
        <f t="shared" si="161"/>
        <v>562434.27512918354</v>
      </c>
      <c r="M163" s="62">
        <f t="shared" si="161"/>
        <v>572780.05569460534</v>
      </c>
      <c r="N163" s="62">
        <f t="shared" si="161"/>
        <v>583125.83626002714</v>
      </c>
      <c r="O163" s="62">
        <f t="shared" si="161"/>
        <v>577482.68322434241</v>
      </c>
      <c r="P163" s="62">
        <f t="shared" si="161"/>
        <v>571839.53018865781</v>
      </c>
      <c r="Q163" s="62">
        <f t="shared" si="161"/>
        <v>566196.37715297309</v>
      </c>
      <c r="R163" s="62">
        <f t="shared" si="161"/>
        <v>560553.22411728848</v>
      </c>
      <c r="S163" s="62">
        <f t="shared" si="161"/>
        <v>554910.07108160388</v>
      </c>
      <c r="T163" s="62">
        <f t="shared" si="161"/>
        <v>549266.91804591927</v>
      </c>
      <c r="U163" s="62">
        <f t="shared" si="161"/>
        <v>543623.76501023455</v>
      </c>
      <c r="V163" s="62">
        <f t="shared" si="161"/>
        <v>537980.61197454983</v>
      </c>
      <c r="W163" s="62">
        <f t="shared" si="161"/>
        <v>532337.45893886534</v>
      </c>
      <c r="X163" s="62">
        <f t="shared" si="161"/>
        <v>526694.30590318074</v>
      </c>
      <c r="Y163" s="62">
        <f t="shared" si="161"/>
        <v>521051.15286749613</v>
      </c>
      <c r="Z163" s="62">
        <f t="shared" si="161"/>
        <v>515407.99983181141</v>
      </c>
      <c r="AA163" s="62">
        <f t="shared" si="161"/>
        <v>509764.84679612675</v>
      </c>
      <c r="AB163" s="62">
        <f t="shared" si="161"/>
        <v>504121.69376044202</v>
      </c>
      <c r="AC163" s="62">
        <f t="shared" si="161"/>
        <v>498478.54072475765</v>
      </c>
    </row>
    <row r="164" spans="1:29" ht="15.75" thickBot="1" x14ac:dyDescent="0.3">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75" thickBot="1" x14ac:dyDescent="0.3">
      <c r="A165" s="31" t="s">
        <v>504</v>
      </c>
      <c r="B165" s="64">
        <f>B156+B157+B158+B159+B160+B161+B162+B163+B164</f>
        <v>3208423.5097115878</v>
      </c>
      <c r="C165" s="64">
        <f t="shared" ref="C165:AC165" si="163">C156+C157+C158+C159+C160+C161+C162+C163+C164</f>
        <v>3208423.5097115878</v>
      </c>
      <c r="D165" s="64">
        <f t="shared" si="163"/>
        <v>3208423.5097115878</v>
      </c>
      <c r="E165" s="64">
        <f t="shared" si="163"/>
        <v>3208423.5097115878</v>
      </c>
      <c r="F165" s="64">
        <f t="shared" si="163"/>
        <v>3208423.5097115878</v>
      </c>
      <c r="G165" s="64">
        <f t="shared" si="163"/>
        <v>3208423.5097115878</v>
      </c>
      <c r="H165" s="64">
        <f t="shared" si="163"/>
        <v>3208423.5097115878</v>
      </c>
      <c r="I165" s="64">
        <f t="shared" si="163"/>
        <v>3208423.5097115878</v>
      </c>
      <c r="J165" s="64">
        <f t="shared" si="163"/>
        <v>3218769.2902770094</v>
      </c>
      <c r="K165" s="64">
        <f t="shared" si="163"/>
        <v>3229115.0708424314</v>
      </c>
      <c r="L165" s="64">
        <f t="shared" si="163"/>
        <v>3239460.8514078534</v>
      </c>
      <c r="M165" s="64">
        <f t="shared" si="163"/>
        <v>3249806.631973275</v>
      </c>
      <c r="N165" s="64">
        <f t="shared" si="163"/>
        <v>3260152.412538697</v>
      </c>
      <c r="O165" s="64">
        <f t="shared" si="163"/>
        <v>3254509.2595030121</v>
      </c>
      <c r="P165" s="64">
        <f t="shared" si="163"/>
        <v>3248866.1064673276</v>
      </c>
      <c r="Q165" s="64">
        <f t="shared" si="163"/>
        <v>3243222.9534316426</v>
      </c>
      <c r="R165" s="64">
        <f t="shared" si="163"/>
        <v>3237579.8003959581</v>
      </c>
      <c r="S165" s="64">
        <f t="shared" si="163"/>
        <v>3231936.6473602736</v>
      </c>
      <c r="T165" s="64">
        <f t="shared" si="163"/>
        <v>3226293.4943245891</v>
      </c>
      <c r="U165" s="64">
        <f t="shared" si="163"/>
        <v>3220650.3412889042</v>
      </c>
      <c r="V165" s="64">
        <f t="shared" si="163"/>
        <v>3215007.1882532197</v>
      </c>
      <c r="W165" s="64">
        <f t="shared" si="163"/>
        <v>3209364.0352175352</v>
      </c>
      <c r="X165" s="64">
        <f t="shared" si="163"/>
        <v>3203720.8821818503</v>
      </c>
      <c r="Y165" s="64">
        <f t="shared" si="163"/>
        <v>3198077.7291461658</v>
      </c>
      <c r="Z165" s="64">
        <f t="shared" si="163"/>
        <v>3192434.5761104813</v>
      </c>
      <c r="AA165" s="64">
        <f t="shared" si="163"/>
        <v>3186791.4230747963</v>
      </c>
      <c r="AB165" s="64">
        <f t="shared" si="163"/>
        <v>3181148.2700391118</v>
      </c>
      <c r="AC165" s="64">
        <f t="shared" si="163"/>
        <v>3175505.1170034274</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25">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25">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25">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25">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25">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25">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25">
      <c r="A175" s="30" t="str">
        <f t="shared" si="164"/>
        <v>Fuel Cost</v>
      </c>
      <c r="B175" s="66">
        <f>B145*B146*B153/B153</f>
        <v>2.9770136326774113</v>
      </c>
      <c r="C175" s="66">
        <f t="shared" ref="C175:AC175" si="172">C145*C146*C153/C153</f>
        <v>2.9770136326774113</v>
      </c>
      <c r="D175" s="66">
        <f t="shared" si="172"/>
        <v>2.9770136326774113</v>
      </c>
      <c r="E175" s="66">
        <f t="shared" si="172"/>
        <v>2.9770136326774113</v>
      </c>
      <c r="F175" s="66">
        <f t="shared" si="172"/>
        <v>2.9770136326774113</v>
      </c>
      <c r="G175" s="66">
        <f t="shared" si="172"/>
        <v>2.9770136326774113</v>
      </c>
      <c r="H175" s="66">
        <f t="shared" si="172"/>
        <v>2.9770136326774113</v>
      </c>
      <c r="I175" s="66">
        <f t="shared" si="172"/>
        <v>2.9770136326774113</v>
      </c>
      <c r="J175" s="66">
        <f t="shared" si="172"/>
        <v>3.0349731876657686</v>
      </c>
      <c r="K175" s="66">
        <f t="shared" si="172"/>
        <v>3.0929327426541269</v>
      </c>
      <c r="L175" s="66">
        <f t="shared" si="172"/>
        <v>3.1508922976424847</v>
      </c>
      <c r="M175" s="66">
        <f t="shared" si="172"/>
        <v>3.208851852630842</v>
      </c>
      <c r="N175" s="66">
        <f t="shared" si="172"/>
        <v>3.2668114076191999</v>
      </c>
      <c r="O175" s="66">
        <f t="shared" si="172"/>
        <v>3.2351971048982766</v>
      </c>
      <c r="P175" s="66">
        <f t="shared" si="172"/>
        <v>3.2035828021773547</v>
      </c>
      <c r="Q175" s="66">
        <f t="shared" si="172"/>
        <v>3.1719684994564319</v>
      </c>
      <c r="R175" s="66">
        <f t="shared" si="172"/>
        <v>3.1403541967355095</v>
      </c>
      <c r="S175" s="66">
        <f t="shared" si="172"/>
        <v>3.1087398940145876</v>
      </c>
      <c r="T175" s="66">
        <f t="shared" si="172"/>
        <v>3.0771255912936653</v>
      </c>
      <c r="U175" s="66">
        <f t="shared" si="172"/>
        <v>3.0455112885727424</v>
      </c>
      <c r="V175" s="66">
        <f t="shared" si="172"/>
        <v>3.0138969858518196</v>
      </c>
      <c r="W175" s="66">
        <f t="shared" si="172"/>
        <v>2.9822826831308982</v>
      </c>
      <c r="X175" s="66">
        <f t="shared" si="172"/>
        <v>2.9506683804099763</v>
      </c>
      <c r="Y175" s="66">
        <f t="shared" si="172"/>
        <v>2.9190540776890539</v>
      </c>
      <c r="Z175" s="66">
        <f t="shared" si="172"/>
        <v>2.8874397749681311</v>
      </c>
      <c r="AA175" s="66">
        <f t="shared" si="172"/>
        <v>2.8558254722472087</v>
      </c>
      <c r="AB175" s="66">
        <f t="shared" si="172"/>
        <v>2.8242111695262859</v>
      </c>
      <c r="AC175" s="66">
        <f t="shared" si="172"/>
        <v>2.7925968668053649</v>
      </c>
    </row>
    <row r="176" spans="1:29" ht="15.75" thickBot="1" x14ac:dyDescent="0.3">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75" thickBot="1" x14ac:dyDescent="0.3">
      <c r="A177" s="31" t="s">
        <v>187</v>
      </c>
      <c r="B177" s="76">
        <f>B168+B169+B170-B171+B172+B173+B174+B175+B176</f>
        <v>18.202279552638732</v>
      </c>
      <c r="C177" s="76">
        <f t="shared" ref="C177:AC177" si="175">C168+C169+C170-C171+C172+C173+C174+C175+C176</f>
        <v>18.202279552638732</v>
      </c>
      <c r="D177" s="76">
        <f t="shared" si="175"/>
        <v>18.202279552638732</v>
      </c>
      <c r="E177" s="76">
        <f t="shared" si="175"/>
        <v>18.202279552638732</v>
      </c>
      <c r="F177" s="76">
        <f t="shared" si="175"/>
        <v>18.202279552638732</v>
      </c>
      <c r="G177" s="76">
        <f t="shared" si="175"/>
        <v>18.202279552638732</v>
      </c>
      <c r="H177" s="76">
        <f t="shared" si="175"/>
        <v>18.202279552638732</v>
      </c>
      <c r="I177" s="76">
        <f t="shared" si="175"/>
        <v>18.202279552638732</v>
      </c>
      <c r="J177" s="76">
        <f t="shared" si="175"/>
        <v>18.26023910762709</v>
      </c>
      <c r="K177" s="76">
        <f t="shared" si="175"/>
        <v>18.318198662615448</v>
      </c>
      <c r="L177" s="76">
        <f t="shared" si="175"/>
        <v>18.376158217603805</v>
      </c>
      <c r="M177" s="76">
        <f t="shared" si="175"/>
        <v>18.434117772592163</v>
      </c>
      <c r="N177" s="76">
        <f t="shared" si="175"/>
        <v>18.492077327580521</v>
      </c>
      <c r="O177" s="76">
        <f t="shared" si="175"/>
        <v>18.4604630248596</v>
      </c>
      <c r="P177" s="76">
        <f t="shared" si="175"/>
        <v>18.428848722138675</v>
      </c>
      <c r="Q177" s="76">
        <f t="shared" si="175"/>
        <v>18.397234419417753</v>
      </c>
      <c r="R177" s="76">
        <f t="shared" si="175"/>
        <v>18.365620116696832</v>
      </c>
      <c r="S177" s="76">
        <f t="shared" si="175"/>
        <v>18.33400581397591</v>
      </c>
      <c r="T177" s="76">
        <f t="shared" si="175"/>
        <v>18.302391511254989</v>
      </c>
      <c r="U177" s="76">
        <f t="shared" si="175"/>
        <v>18.270777208534064</v>
      </c>
      <c r="V177" s="76">
        <f t="shared" si="175"/>
        <v>18.239162905813142</v>
      </c>
      <c r="W177" s="76">
        <f t="shared" si="175"/>
        <v>18.207548603092221</v>
      </c>
      <c r="X177" s="76">
        <f t="shared" si="175"/>
        <v>18.175934300371299</v>
      </c>
      <c r="Y177" s="76">
        <f t="shared" si="175"/>
        <v>18.144319997650374</v>
      </c>
      <c r="Z177" s="76">
        <f t="shared" si="175"/>
        <v>18.112705694929453</v>
      </c>
      <c r="AA177" s="76">
        <f t="shared" si="175"/>
        <v>18.081091392208531</v>
      </c>
      <c r="AB177" s="76">
        <f t="shared" si="175"/>
        <v>18.049477089487606</v>
      </c>
      <c r="AC177" s="76">
        <f t="shared" si="175"/>
        <v>18.017862786766685</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25">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25">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25">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25">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25">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25">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25">
      <c r="A187" s="30" t="str">
        <f t="shared" si="176"/>
        <v>Fuel Cost</v>
      </c>
      <c r="B187" s="66">
        <f>B145*B146*B153/B153/(B150)</f>
        <v>1.3290239431595586E-3</v>
      </c>
      <c r="C187" s="66">
        <f t="shared" ref="C187:AC187" si="184">C145*C146*C153/C153/(C150)</f>
        <v>1.3290239431595586E-3</v>
      </c>
      <c r="D187" s="66">
        <f t="shared" si="184"/>
        <v>1.3290239431595586E-3</v>
      </c>
      <c r="E187" s="66">
        <f t="shared" si="184"/>
        <v>1.3290239431595586E-3</v>
      </c>
      <c r="F187" s="66">
        <f t="shared" si="184"/>
        <v>1.3290239431595586E-3</v>
      </c>
      <c r="G187" s="66">
        <f t="shared" si="184"/>
        <v>1.3290239431595586E-3</v>
      </c>
      <c r="H187" s="66">
        <f t="shared" si="184"/>
        <v>1.3290239431595586E-3</v>
      </c>
      <c r="I187" s="66">
        <f t="shared" si="184"/>
        <v>1.3290239431595586E-3</v>
      </c>
      <c r="J187" s="66">
        <f t="shared" si="184"/>
        <v>1.3548987444936466E-3</v>
      </c>
      <c r="K187" s="66">
        <f t="shared" si="184"/>
        <v>1.3807735458277353E-3</v>
      </c>
      <c r="L187" s="66">
        <f t="shared" si="184"/>
        <v>1.4066483471618235E-3</v>
      </c>
      <c r="M187" s="66">
        <f t="shared" si="184"/>
        <v>1.4325231484959115E-3</v>
      </c>
      <c r="N187" s="66">
        <f t="shared" si="184"/>
        <v>1.45839794983E-3</v>
      </c>
      <c r="O187" s="66">
        <f t="shared" si="184"/>
        <v>1.4442844218295879E-3</v>
      </c>
      <c r="P187" s="66">
        <f t="shared" si="184"/>
        <v>1.4301708938291762E-3</v>
      </c>
      <c r="Q187" s="66">
        <f t="shared" si="184"/>
        <v>1.4160573658287643E-3</v>
      </c>
      <c r="R187" s="66">
        <f t="shared" si="184"/>
        <v>1.4019438378283524E-3</v>
      </c>
      <c r="S187" s="66">
        <f t="shared" si="184"/>
        <v>1.3878303098279409E-3</v>
      </c>
      <c r="T187" s="66">
        <f t="shared" si="184"/>
        <v>1.3737167818275292E-3</v>
      </c>
      <c r="U187" s="66">
        <f t="shared" si="184"/>
        <v>1.3596032538271171E-3</v>
      </c>
      <c r="V187" s="66">
        <f t="shared" si="184"/>
        <v>1.3454897258267052E-3</v>
      </c>
      <c r="W187" s="66">
        <f t="shared" si="184"/>
        <v>1.3313761978262938E-3</v>
      </c>
      <c r="X187" s="66">
        <f t="shared" si="184"/>
        <v>1.3172626698258823E-3</v>
      </c>
      <c r="Y187" s="66">
        <f t="shared" si="184"/>
        <v>1.3031491418254704E-3</v>
      </c>
      <c r="Z187" s="66">
        <f t="shared" si="184"/>
        <v>1.2890356138250585E-3</v>
      </c>
      <c r="AA187" s="66">
        <f t="shared" si="184"/>
        <v>1.2749220858246468E-3</v>
      </c>
      <c r="AB187" s="66">
        <f t="shared" si="184"/>
        <v>1.2608085578242347E-3</v>
      </c>
      <c r="AC187" s="66">
        <f t="shared" si="184"/>
        <v>1.2466950298238237E-3</v>
      </c>
    </row>
    <row r="188" spans="1:29" x14ac:dyDescent="0.25">
      <c r="A188" s="59" t="str">
        <f>A151</f>
        <v>Market failure (av. utilization)</v>
      </c>
      <c r="B188" s="66">
        <f t="shared" ref="B188:AC188" si="185">B177/B151-B177/B150</f>
        <v>1.0919336227168881E-2</v>
      </c>
      <c r="C188" s="66">
        <f t="shared" si="185"/>
        <v>1.0919336227168881E-2</v>
      </c>
      <c r="D188" s="66">
        <f t="shared" si="185"/>
        <v>1.0919336227168881E-2</v>
      </c>
      <c r="E188" s="66">
        <f t="shared" si="185"/>
        <v>1.0919336227168881E-2</v>
      </c>
      <c r="F188" s="66">
        <f t="shared" si="185"/>
        <v>1.0919336227168881E-2</v>
      </c>
      <c r="G188" s="66">
        <f t="shared" si="185"/>
        <v>1.0919336227168881E-2</v>
      </c>
      <c r="H188" s="66">
        <f t="shared" si="185"/>
        <v>1.0919336227168881E-2</v>
      </c>
      <c r="I188" s="66">
        <f t="shared" si="185"/>
        <v>1.0919336227168881E-2</v>
      </c>
      <c r="J188" s="66">
        <f t="shared" si="185"/>
        <v>1.0954105491461563E-2</v>
      </c>
      <c r="K188" s="66">
        <f t="shared" si="185"/>
        <v>1.0988874755754245E-2</v>
      </c>
      <c r="L188" s="66">
        <f t="shared" si="185"/>
        <v>1.1023644020046927E-2</v>
      </c>
      <c r="M188" s="66">
        <f t="shared" si="185"/>
        <v>1.1058413284339607E-2</v>
      </c>
      <c r="N188" s="66">
        <f t="shared" si="185"/>
        <v>1.1093182548632289E-2</v>
      </c>
      <c r="O188" s="66">
        <f t="shared" si="185"/>
        <v>1.1074217495381735E-2</v>
      </c>
      <c r="P188" s="66">
        <f t="shared" si="185"/>
        <v>1.105525244213118E-2</v>
      </c>
      <c r="Q188" s="66">
        <f t="shared" si="185"/>
        <v>1.1036287388880626E-2</v>
      </c>
      <c r="R188" s="66">
        <f t="shared" si="185"/>
        <v>1.1017322335630074E-2</v>
      </c>
      <c r="S188" s="66">
        <f t="shared" si="185"/>
        <v>1.0998357282379523E-2</v>
      </c>
      <c r="T188" s="66">
        <f t="shared" si="185"/>
        <v>1.0979392229128969E-2</v>
      </c>
      <c r="U188" s="66">
        <f t="shared" si="185"/>
        <v>1.0960427175878414E-2</v>
      </c>
      <c r="V188" s="66">
        <f t="shared" si="185"/>
        <v>1.0941462122627863E-2</v>
      </c>
      <c r="W188" s="66">
        <f t="shared" si="185"/>
        <v>1.0922497069377307E-2</v>
      </c>
      <c r="X188" s="66">
        <f t="shared" si="185"/>
        <v>1.0903532016126757E-2</v>
      </c>
      <c r="Y188" s="66">
        <f t="shared" si="185"/>
        <v>1.0884566962876199E-2</v>
      </c>
      <c r="Z188" s="66">
        <f t="shared" si="185"/>
        <v>1.0865601909625648E-2</v>
      </c>
      <c r="AA188" s="66">
        <f t="shared" si="185"/>
        <v>1.0846636856375096E-2</v>
      </c>
      <c r="AB188" s="66">
        <f t="shared" si="185"/>
        <v>1.082767180312454E-2</v>
      </c>
      <c r="AC188" s="66">
        <f t="shared" si="185"/>
        <v>1.0808706749873987E-2</v>
      </c>
    </row>
    <row r="189" spans="1:29" x14ac:dyDescent="0.25">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75" thickBot="1" x14ac:dyDescent="0.3">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75" thickBot="1" x14ac:dyDescent="0.3">
      <c r="A191" s="31" t="s">
        <v>505</v>
      </c>
      <c r="B191" s="76">
        <f>B180+B181+B182+B183+B184+B185+B186+B187+B188+B189+B190</f>
        <v>1.8943604708840517E-2</v>
      </c>
      <c r="C191" s="67">
        <f t="shared" ref="C191:AC191" si="188">C180+C181+C182+C183+C184+C185+C186+C187+C188+C189+C190</f>
        <v>1.8943604708840517E-2</v>
      </c>
      <c r="D191" s="67">
        <f t="shared" si="188"/>
        <v>1.8943604708840517E-2</v>
      </c>
      <c r="E191" s="67">
        <f t="shared" si="188"/>
        <v>1.8943604708840517E-2</v>
      </c>
      <c r="F191" s="67">
        <f t="shared" si="188"/>
        <v>1.8943604708840517E-2</v>
      </c>
      <c r="G191" s="67">
        <f t="shared" si="188"/>
        <v>1.8943604708840517E-2</v>
      </c>
      <c r="H191" s="67">
        <f t="shared" si="188"/>
        <v>1.8943604708840517E-2</v>
      </c>
      <c r="I191" s="67">
        <f t="shared" si="188"/>
        <v>1.8943604708840517E-2</v>
      </c>
      <c r="J191" s="67">
        <f t="shared" si="188"/>
        <v>1.900424877446729E-2</v>
      </c>
      <c r="K191" s="67">
        <f t="shared" si="188"/>
        <v>1.9064892840094057E-2</v>
      </c>
      <c r="L191" s="67">
        <f t="shared" si="188"/>
        <v>1.912553690572083E-2</v>
      </c>
      <c r="M191" s="67">
        <f t="shared" si="188"/>
        <v>1.9186180971347597E-2</v>
      </c>
      <c r="N191" s="67">
        <f t="shared" si="188"/>
        <v>1.924682503697437E-2</v>
      </c>
      <c r="O191" s="67">
        <f t="shared" si="188"/>
        <v>1.92137464557234E-2</v>
      </c>
      <c r="P191" s="67">
        <f t="shared" si="188"/>
        <v>1.9180667874472437E-2</v>
      </c>
      <c r="Q191" s="67">
        <f t="shared" si="188"/>
        <v>1.9147589293221468E-2</v>
      </c>
      <c r="R191" s="67">
        <f t="shared" si="188"/>
        <v>1.9114510711970505E-2</v>
      </c>
      <c r="S191" s="67">
        <f t="shared" si="188"/>
        <v>1.9081432130719542E-2</v>
      </c>
      <c r="T191" s="67">
        <f t="shared" si="188"/>
        <v>1.9048353549468579E-2</v>
      </c>
      <c r="U191" s="67">
        <f t="shared" si="188"/>
        <v>1.9015274968217609E-2</v>
      </c>
      <c r="V191" s="67">
        <f t="shared" si="188"/>
        <v>1.8982196386966646E-2</v>
      </c>
      <c r="W191" s="67">
        <f t="shared" si="188"/>
        <v>1.894911780571568E-2</v>
      </c>
      <c r="X191" s="67">
        <f t="shared" si="188"/>
        <v>1.891603922446472E-2</v>
      </c>
      <c r="Y191" s="67">
        <f t="shared" si="188"/>
        <v>1.888296064321375E-2</v>
      </c>
      <c r="Z191" s="67">
        <f t="shared" si="188"/>
        <v>1.8849882061962787E-2</v>
      </c>
      <c r="AA191" s="67">
        <f t="shared" si="188"/>
        <v>1.8816803480711821E-2</v>
      </c>
      <c r="AB191" s="67">
        <f t="shared" si="188"/>
        <v>1.8783724899460855E-2</v>
      </c>
      <c r="AC191" s="67">
        <f t="shared" si="188"/>
        <v>1.8750646318209892E-2</v>
      </c>
    </row>
    <row r="193" spans="2:2" x14ac:dyDescent="0.25">
      <c r="B193" s="40"/>
    </row>
    <row r="215" spans="1:44" s="3" customFormat="1" ht="21" x14ac:dyDescent="0.35">
      <c r="A215" s="2" t="str">
        <f>'Parameter Input'!A170</f>
        <v>Railway long-haul: Container</v>
      </c>
    </row>
    <row r="216" spans="1:44" s="3" customFormat="1" ht="21" x14ac:dyDescent="0.35">
      <c r="A216" s="2" t="s">
        <v>285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Input'!$L$159</f>
        <v>5000000</v>
      </c>
      <c r="C225" s="42">
        <f>'Parameter Input'!$M$159</f>
        <v>5000000</v>
      </c>
      <c r="D225" s="1" t="s">
        <v>138</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25">
      <c r="A226" s="24" t="s">
        <v>151</v>
      </c>
      <c r="B226" s="60">
        <f>'Parameter Input'!$L$160</f>
        <v>-750000</v>
      </c>
      <c r="C226" s="61">
        <f>'Parameter Input'!$M$160</f>
        <v>-750000</v>
      </c>
      <c r="D226" s="1" t="s">
        <v>138</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25">
      <c r="A229" s="24" t="s">
        <v>203</v>
      </c>
      <c r="B229" s="45">
        <f>'Parameter Input'!$L$166</f>
        <v>0.06</v>
      </c>
      <c r="C229" s="46">
        <f>'Parameter Input'!$M$166</f>
        <v>0.06</v>
      </c>
      <c r="D229" s="1" t="s">
        <v>180</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25">
      <c r="A231" s="24" t="s">
        <v>175</v>
      </c>
      <c r="B231" s="43">
        <f>'Parameter Input'!$L$162</f>
        <v>650000</v>
      </c>
      <c r="C231" s="44">
        <f>'Parameter Input'!$M$162</f>
        <v>650000</v>
      </c>
      <c r="D231" s="1" t="s">
        <v>161</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25">
      <c r="A233" s="24" t="s">
        <v>183</v>
      </c>
      <c r="B233" s="47">
        <f>'Parameter Input'!$L$163</f>
        <v>31.614305882352937</v>
      </c>
      <c r="C233" s="48">
        <f>'Parameter Input'!$M$163</f>
        <v>31.614305882352937</v>
      </c>
      <c r="D233" s="1" t="s">
        <v>184</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25">
      <c r="A234" s="24" t="s">
        <v>191</v>
      </c>
      <c r="B234" s="45">
        <f>'Parameter Input'!$L$164</f>
        <v>0.13371034051801745</v>
      </c>
      <c r="C234" s="46">
        <f>'Parameter Input'!$M$164</f>
        <v>8.7585019329602734E-2</v>
      </c>
      <c r="D234" s="1" t="s">
        <v>94</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25">
      <c r="A235" s="24" t="s">
        <v>458</v>
      </c>
      <c r="B235" s="115">
        <f>'Parameter Input'!$L$167</f>
        <v>0</v>
      </c>
      <c r="C235" s="116">
        <f>'Parameter Input'!$M$167</f>
        <v>0</v>
      </c>
      <c r="D235" s="1" t="s">
        <v>200</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25">
      <c r="A236" s="24" t="s">
        <v>164</v>
      </c>
      <c r="B236" s="43">
        <f>'Parameter Input'!$L$161</f>
        <v>20</v>
      </c>
      <c r="C236" s="44">
        <f>'Parameter Input'!$M$161</f>
        <v>20</v>
      </c>
      <c r="D236" s="1" t="s">
        <v>165</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25">
      <c r="A240" s="24" t="s">
        <v>197</v>
      </c>
      <c r="B240" s="72">
        <f>'Parameter Input'!$L$165</f>
        <v>0</v>
      </c>
      <c r="C240" s="73">
        <f>'Parameter Input'!$M$165</f>
        <v>0</v>
      </c>
      <c r="D240" s="1" t="s">
        <v>180</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25">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25">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25">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25">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25">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25">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25">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25">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25">
      <c r="A254" s="30" t="str">
        <f t="shared" si="194"/>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25">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25">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25">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25">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25">
      <c r="A260" s="30" t="s">
        <v>197</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25">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25">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25">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25">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25">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25">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25">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25">
      <c r="A271" s="30" t="str">
        <f>A254</f>
        <v>Fuel Cost</v>
      </c>
      <c r="B271" s="62">
        <f>B253*B254*B261</f>
        <v>531396.93343291793</v>
      </c>
      <c r="C271" s="62">
        <f t="shared" ref="C271:AC271" si="265">C253*C254*C261</f>
        <v>531396.93343291793</v>
      </c>
      <c r="D271" s="62">
        <f t="shared" si="265"/>
        <v>531396.93343291793</v>
      </c>
      <c r="E271" s="62">
        <f t="shared" si="265"/>
        <v>531396.93343291793</v>
      </c>
      <c r="F271" s="62">
        <f t="shared" si="265"/>
        <v>531396.93343291793</v>
      </c>
      <c r="G271" s="62">
        <f t="shared" si="265"/>
        <v>531396.93343291793</v>
      </c>
      <c r="H271" s="62">
        <f t="shared" si="265"/>
        <v>531396.93343291793</v>
      </c>
      <c r="I271" s="62">
        <f t="shared" si="265"/>
        <v>531396.93343291793</v>
      </c>
      <c r="J271" s="62">
        <f t="shared" si="265"/>
        <v>541742.71399833972</v>
      </c>
      <c r="K271" s="62">
        <f t="shared" si="265"/>
        <v>552088.49456376163</v>
      </c>
      <c r="L271" s="62">
        <f t="shared" si="265"/>
        <v>562434.27512918354</v>
      </c>
      <c r="M271" s="62">
        <f t="shared" si="265"/>
        <v>572780.05569460534</v>
      </c>
      <c r="N271" s="62">
        <f t="shared" si="265"/>
        <v>583125.83626002714</v>
      </c>
      <c r="O271" s="62">
        <f t="shared" si="265"/>
        <v>577482.68322434241</v>
      </c>
      <c r="P271" s="62">
        <f t="shared" si="265"/>
        <v>571839.53018865781</v>
      </c>
      <c r="Q271" s="62">
        <f t="shared" si="265"/>
        <v>566196.37715297309</v>
      </c>
      <c r="R271" s="62">
        <f t="shared" si="265"/>
        <v>560553.22411728848</v>
      </c>
      <c r="S271" s="62">
        <f t="shared" si="265"/>
        <v>554910.07108160388</v>
      </c>
      <c r="T271" s="62">
        <f t="shared" si="265"/>
        <v>549266.91804591927</v>
      </c>
      <c r="U271" s="62">
        <f t="shared" si="265"/>
        <v>543623.76501023455</v>
      </c>
      <c r="V271" s="62">
        <f t="shared" si="265"/>
        <v>537980.61197454983</v>
      </c>
      <c r="W271" s="62">
        <f t="shared" si="265"/>
        <v>532337.45893886534</v>
      </c>
      <c r="X271" s="62">
        <f t="shared" si="265"/>
        <v>526694.30590318074</v>
      </c>
      <c r="Y271" s="62">
        <f t="shared" si="265"/>
        <v>521051.15286749613</v>
      </c>
      <c r="Z271" s="62">
        <f t="shared" si="265"/>
        <v>515407.99983181141</v>
      </c>
      <c r="AA271" s="62">
        <f t="shared" si="265"/>
        <v>509764.84679612675</v>
      </c>
      <c r="AB271" s="62">
        <f t="shared" si="265"/>
        <v>504121.69376044202</v>
      </c>
      <c r="AC271" s="62">
        <f t="shared" si="265"/>
        <v>498478.54072475765</v>
      </c>
    </row>
    <row r="272" spans="1:29" ht="15.75" thickBot="1" x14ac:dyDescent="0.3">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75" thickBot="1" x14ac:dyDescent="0.3">
      <c r="A273" s="31" t="s">
        <v>504</v>
      </c>
      <c r="B273" s="64">
        <f>B264+B265+B266+B267+B268+B269+B270+B271+B272</f>
        <v>3005177.4051480619</v>
      </c>
      <c r="C273" s="64">
        <f t="shared" ref="C273:AC273" si="267">C264+C265+C266+C267+C268+C269+C270+C271+C272</f>
        <v>3005177.4051480619</v>
      </c>
      <c r="D273" s="64">
        <f t="shared" si="267"/>
        <v>3005177.4051480619</v>
      </c>
      <c r="E273" s="64">
        <f t="shared" si="267"/>
        <v>3005177.4051480619</v>
      </c>
      <c r="F273" s="64">
        <f t="shared" si="267"/>
        <v>3005177.4051480619</v>
      </c>
      <c r="G273" s="64">
        <f t="shared" si="267"/>
        <v>3005177.4051480619</v>
      </c>
      <c r="H273" s="64">
        <f t="shared" si="267"/>
        <v>3005177.4051480619</v>
      </c>
      <c r="I273" s="64">
        <f t="shared" si="267"/>
        <v>3005177.4051480619</v>
      </c>
      <c r="J273" s="64">
        <f t="shared" si="267"/>
        <v>3015523.1857134835</v>
      </c>
      <c r="K273" s="64">
        <f t="shared" si="267"/>
        <v>3025868.9662789055</v>
      </c>
      <c r="L273" s="64">
        <f t="shared" si="267"/>
        <v>3036214.7468443275</v>
      </c>
      <c r="M273" s="64">
        <f t="shared" si="267"/>
        <v>3046560.5274097491</v>
      </c>
      <c r="N273" s="64">
        <f t="shared" si="267"/>
        <v>3056906.3079751711</v>
      </c>
      <c r="O273" s="64">
        <f t="shared" si="267"/>
        <v>3051263.1549394862</v>
      </c>
      <c r="P273" s="64">
        <f t="shared" si="267"/>
        <v>3045620.0019038017</v>
      </c>
      <c r="Q273" s="64">
        <f t="shared" si="267"/>
        <v>3039976.8488681167</v>
      </c>
      <c r="R273" s="64">
        <f t="shared" si="267"/>
        <v>3034333.6958324322</v>
      </c>
      <c r="S273" s="64">
        <f t="shared" si="267"/>
        <v>3028690.5427967478</v>
      </c>
      <c r="T273" s="64">
        <f t="shared" si="267"/>
        <v>3023047.3897610633</v>
      </c>
      <c r="U273" s="64">
        <f t="shared" si="267"/>
        <v>3017404.2367253783</v>
      </c>
      <c r="V273" s="64">
        <f t="shared" si="267"/>
        <v>3011761.0836896938</v>
      </c>
      <c r="W273" s="64">
        <f t="shared" si="267"/>
        <v>3006117.9306540093</v>
      </c>
      <c r="X273" s="64">
        <f t="shared" si="267"/>
        <v>3000474.7776183244</v>
      </c>
      <c r="Y273" s="64">
        <f t="shared" si="267"/>
        <v>2994831.6245826399</v>
      </c>
      <c r="Z273" s="64">
        <f t="shared" si="267"/>
        <v>2989188.4715469554</v>
      </c>
      <c r="AA273" s="64">
        <f t="shared" si="267"/>
        <v>2983545.3185112705</v>
      </c>
      <c r="AB273" s="64">
        <f t="shared" si="267"/>
        <v>2977902.165475586</v>
      </c>
      <c r="AC273" s="64">
        <f t="shared" si="267"/>
        <v>2972259.0124399015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25">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25">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25">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25">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25">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25">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25">
      <c r="A283" s="30" t="str">
        <f t="shared" si="268"/>
        <v>Fuel Cost</v>
      </c>
      <c r="B283" s="66">
        <f>B253*B254*B261/B261</f>
        <v>2.9770136326774113</v>
      </c>
      <c r="C283" s="66">
        <f t="shared" ref="C283:AC283" si="276">C253*C254*C261/C261</f>
        <v>2.9770136326774113</v>
      </c>
      <c r="D283" s="66">
        <f t="shared" si="276"/>
        <v>2.9770136326774113</v>
      </c>
      <c r="E283" s="66">
        <f t="shared" si="276"/>
        <v>2.9770136326774113</v>
      </c>
      <c r="F283" s="66">
        <f t="shared" si="276"/>
        <v>2.9770136326774113</v>
      </c>
      <c r="G283" s="66">
        <f t="shared" si="276"/>
        <v>2.9770136326774113</v>
      </c>
      <c r="H283" s="66">
        <f t="shared" si="276"/>
        <v>2.9770136326774113</v>
      </c>
      <c r="I283" s="66">
        <f t="shared" si="276"/>
        <v>2.9770136326774113</v>
      </c>
      <c r="J283" s="66">
        <f t="shared" si="276"/>
        <v>3.0349731876657686</v>
      </c>
      <c r="K283" s="66">
        <f t="shared" si="276"/>
        <v>3.0929327426541269</v>
      </c>
      <c r="L283" s="66">
        <f t="shared" si="276"/>
        <v>3.1508922976424847</v>
      </c>
      <c r="M283" s="66">
        <f t="shared" si="276"/>
        <v>3.208851852630842</v>
      </c>
      <c r="N283" s="66">
        <f t="shared" si="276"/>
        <v>3.2668114076191999</v>
      </c>
      <c r="O283" s="66">
        <f t="shared" si="276"/>
        <v>3.2351971048982766</v>
      </c>
      <c r="P283" s="66">
        <f t="shared" si="276"/>
        <v>3.2035828021773547</v>
      </c>
      <c r="Q283" s="66">
        <f t="shared" si="276"/>
        <v>3.1719684994564319</v>
      </c>
      <c r="R283" s="66">
        <f t="shared" si="276"/>
        <v>3.1403541967355095</v>
      </c>
      <c r="S283" s="66">
        <f t="shared" si="276"/>
        <v>3.1087398940145876</v>
      </c>
      <c r="T283" s="66">
        <f t="shared" si="276"/>
        <v>3.0771255912936653</v>
      </c>
      <c r="U283" s="66">
        <f t="shared" si="276"/>
        <v>3.0455112885727424</v>
      </c>
      <c r="V283" s="66">
        <f t="shared" si="276"/>
        <v>3.0138969858518196</v>
      </c>
      <c r="W283" s="66">
        <f t="shared" si="276"/>
        <v>2.9822826831308982</v>
      </c>
      <c r="X283" s="66">
        <f t="shared" si="276"/>
        <v>2.9506683804099763</v>
      </c>
      <c r="Y283" s="66">
        <f t="shared" si="276"/>
        <v>2.9190540776890539</v>
      </c>
      <c r="Z283" s="66">
        <f t="shared" si="276"/>
        <v>2.8874397749681311</v>
      </c>
      <c r="AA283" s="66">
        <f t="shared" si="276"/>
        <v>2.8558254722472087</v>
      </c>
      <c r="AB283" s="66">
        <f t="shared" si="276"/>
        <v>2.8242111695262859</v>
      </c>
      <c r="AC283" s="66">
        <f t="shared" si="276"/>
        <v>2.7925968668053649</v>
      </c>
    </row>
    <row r="284" spans="1:29" ht="15.75" thickBot="1" x14ac:dyDescent="0.3">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75" thickBot="1" x14ac:dyDescent="0.3">
      <c r="A285" s="31" t="s">
        <v>187</v>
      </c>
      <c r="B285" s="76">
        <f>B276+B277+B278-B279+B280+B281+B282+B283+B284</f>
        <v>16.949686836780252</v>
      </c>
      <c r="C285" s="76">
        <f t="shared" ref="C285:AC285" si="279">C276+C277+C278-C279+C280+C281+C282+C283+C284</f>
        <v>16.949686836780252</v>
      </c>
      <c r="D285" s="76">
        <f t="shared" si="279"/>
        <v>16.949686836780252</v>
      </c>
      <c r="E285" s="76">
        <f t="shared" si="279"/>
        <v>16.949686836780252</v>
      </c>
      <c r="F285" s="76">
        <f t="shared" si="279"/>
        <v>16.949686836780252</v>
      </c>
      <c r="G285" s="76">
        <f t="shared" si="279"/>
        <v>16.949686836780252</v>
      </c>
      <c r="H285" s="76">
        <f t="shared" si="279"/>
        <v>16.949686836780252</v>
      </c>
      <c r="I285" s="76">
        <f t="shared" si="279"/>
        <v>16.949686836780252</v>
      </c>
      <c r="J285" s="76">
        <f t="shared" si="279"/>
        <v>17.00764639176861</v>
      </c>
      <c r="K285" s="76">
        <f t="shared" si="279"/>
        <v>17.065605946756968</v>
      </c>
      <c r="L285" s="76">
        <f t="shared" si="279"/>
        <v>17.123565501745325</v>
      </c>
      <c r="M285" s="76">
        <f t="shared" si="279"/>
        <v>17.181525056733683</v>
      </c>
      <c r="N285" s="76">
        <f t="shared" si="279"/>
        <v>17.239484611722041</v>
      </c>
      <c r="O285" s="76">
        <f t="shared" si="279"/>
        <v>17.207870309001116</v>
      </c>
      <c r="P285" s="76">
        <f t="shared" si="279"/>
        <v>17.176256006280195</v>
      </c>
      <c r="Q285" s="76">
        <f t="shared" si="279"/>
        <v>17.144641703559273</v>
      </c>
      <c r="R285" s="76">
        <f t="shared" si="279"/>
        <v>17.113027400838348</v>
      </c>
      <c r="S285" s="76">
        <f t="shared" si="279"/>
        <v>17.081413098117427</v>
      </c>
      <c r="T285" s="76">
        <f t="shared" si="279"/>
        <v>17.049798795396505</v>
      </c>
      <c r="U285" s="76">
        <f t="shared" si="279"/>
        <v>17.018184492675584</v>
      </c>
      <c r="V285" s="76">
        <f t="shared" si="279"/>
        <v>16.986570189954659</v>
      </c>
      <c r="W285" s="76">
        <f t="shared" si="279"/>
        <v>16.954955887233737</v>
      </c>
      <c r="X285" s="76">
        <f t="shared" si="279"/>
        <v>16.923341584512816</v>
      </c>
      <c r="Y285" s="76">
        <f t="shared" si="279"/>
        <v>16.891727281791894</v>
      </c>
      <c r="Z285" s="76">
        <f t="shared" si="279"/>
        <v>16.860112979070969</v>
      </c>
      <c r="AA285" s="76">
        <f t="shared" si="279"/>
        <v>16.828498676350048</v>
      </c>
      <c r="AB285" s="76">
        <f t="shared" si="279"/>
        <v>16.796884373629126</v>
      </c>
      <c r="AC285" s="76">
        <f t="shared" si="279"/>
        <v>16.765270070908205</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25">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25">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25">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25">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25">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25">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25">
      <c r="A295" s="30" t="str">
        <f t="shared" si="280"/>
        <v>Fuel Cost</v>
      </c>
      <c r="B295" s="66">
        <f>B253*B254*B261/B261/(B258)</f>
        <v>1.3290239431595586E-3</v>
      </c>
      <c r="C295" s="66">
        <f t="shared" ref="C295:AC295" si="288">C253*C254*C261/C261/(C258)</f>
        <v>1.3290239431595586E-3</v>
      </c>
      <c r="D295" s="66">
        <f t="shared" si="288"/>
        <v>1.3290239431595586E-3</v>
      </c>
      <c r="E295" s="66">
        <f t="shared" si="288"/>
        <v>1.3290239431595586E-3</v>
      </c>
      <c r="F295" s="66">
        <f t="shared" si="288"/>
        <v>1.3290239431595586E-3</v>
      </c>
      <c r="G295" s="66">
        <f t="shared" si="288"/>
        <v>1.3290239431595586E-3</v>
      </c>
      <c r="H295" s="66">
        <f t="shared" si="288"/>
        <v>1.3290239431595586E-3</v>
      </c>
      <c r="I295" s="66">
        <f t="shared" si="288"/>
        <v>1.3290239431595586E-3</v>
      </c>
      <c r="J295" s="66">
        <f t="shared" si="288"/>
        <v>1.3548987444936466E-3</v>
      </c>
      <c r="K295" s="66">
        <f t="shared" si="288"/>
        <v>1.3807735458277353E-3</v>
      </c>
      <c r="L295" s="66">
        <f t="shared" si="288"/>
        <v>1.4066483471618235E-3</v>
      </c>
      <c r="M295" s="66">
        <f t="shared" si="288"/>
        <v>1.4325231484959115E-3</v>
      </c>
      <c r="N295" s="66">
        <f t="shared" si="288"/>
        <v>1.45839794983E-3</v>
      </c>
      <c r="O295" s="66">
        <f t="shared" si="288"/>
        <v>1.4442844218295879E-3</v>
      </c>
      <c r="P295" s="66">
        <f t="shared" si="288"/>
        <v>1.4301708938291762E-3</v>
      </c>
      <c r="Q295" s="66">
        <f t="shared" si="288"/>
        <v>1.4160573658287643E-3</v>
      </c>
      <c r="R295" s="66">
        <f t="shared" si="288"/>
        <v>1.4019438378283524E-3</v>
      </c>
      <c r="S295" s="66">
        <f t="shared" si="288"/>
        <v>1.3878303098279409E-3</v>
      </c>
      <c r="T295" s="66">
        <f t="shared" si="288"/>
        <v>1.3737167818275292E-3</v>
      </c>
      <c r="U295" s="66">
        <f t="shared" si="288"/>
        <v>1.3596032538271171E-3</v>
      </c>
      <c r="V295" s="66">
        <f t="shared" si="288"/>
        <v>1.3454897258267052E-3</v>
      </c>
      <c r="W295" s="66">
        <f t="shared" si="288"/>
        <v>1.3313761978262938E-3</v>
      </c>
      <c r="X295" s="66">
        <f t="shared" si="288"/>
        <v>1.3172626698258823E-3</v>
      </c>
      <c r="Y295" s="66">
        <f t="shared" si="288"/>
        <v>1.3031491418254704E-3</v>
      </c>
      <c r="Z295" s="66">
        <f t="shared" si="288"/>
        <v>1.2890356138250585E-3</v>
      </c>
      <c r="AA295" s="66">
        <f t="shared" si="288"/>
        <v>1.2749220858246468E-3</v>
      </c>
      <c r="AB295" s="66">
        <f t="shared" si="288"/>
        <v>1.2608085578242347E-3</v>
      </c>
      <c r="AC295" s="66">
        <f t="shared" si="288"/>
        <v>1.2466950298238237E-3</v>
      </c>
    </row>
    <row r="296" spans="1:29" x14ac:dyDescent="0.25">
      <c r="A296" s="59" t="str">
        <f>A259</f>
        <v>Market failure (av. utilization)</v>
      </c>
      <c r="B296" s="66">
        <f t="shared" ref="B296:AC296" si="289">B285/B259-B285/B258</f>
        <v>1.0167920395947974E-2</v>
      </c>
      <c r="C296" s="66">
        <f t="shared" si="289"/>
        <v>1.0167920395947974E-2</v>
      </c>
      <c r="D296" s="66">
        <f t="shared" si="289"/>
        <v>1.0167920395947974E-2</v>
      </c>
      <c r="E296" s="66">
        <f t="shared" si="289"/>
        <v>1.0167920395947974E-2</v>
      </c>
      <c r="F296" s="66">
        <f t="shared" si="289"/>
        <v>1.0167920395947974E-2</v>
      </c>
      <c r="G296" s="66">
        <f t="shared" si="289"/>
        <v>1.0167920395947974E-2</v>
      </c>
      <c r="H296" s="66">
        <f t="shared" si="289"/>
        <v>1.0167920395947974E-2</v>
      </c>
      <c r="I296" s="66">
        <f t="shared" si="289"/>
        <v>1.0167920395947974E-2</v>
      </c>
      <c r="J296" s="66">
        <f t="shared" si="289"/>
        <v>1.0202689660240656E-2</v>
      </c>
      <c r="K296" s="66">
        <f t="shared" si="289"/>
        <v>1.0237458924533338E-2</v>
      </c>
      <c r="L296" s="66">
        <f t="shared" si="289"/>
        <v>1.0272228188826015E-2</v>
      </c>
      <c r="M296" s="66">
        <f t="shared" si="289"/>
        <v>1.0306997453118697E-2</v>
      </c>
      <c r="N296" s="66">
        <f t="shared" si="289"/>
        <v>1.0341766717411379E-2</v>
      </c>
      <c r="O296" s="66">
        <f t="shared" si="289"/>
        <v>1.0322801664160827E-2</v>
      </c>
      <c r="P296" s="66">
        <f t="shared" si="289"/>
        <v>1.0303836610910271E-2</v>
      </c>
      <c r="Q296" s="66">
        <f t="shared" si="289"/>
        <v>1.028487155765972E-2</v>
      </c>
      <c r="R296" s="66">
        <f t="shared" si="289"/>
        <v>1.0265906504409165E-2</v>
      </c>
      <c r="S296" s="66">
        <f t="shared" si="289"/>
        <v>1.0246941451158611E-2</v>
      </c>
      <c r="T296" s="66">
        <f t="shared" si="289"/>
        <v>1.022797639790806E-2</v>
      </c>
      <c r="U296" s="66">
        <f t="shared" si="289"/>
        <v>1.0209011344657508E-2</v>
      </c>
      <c r="V296" s="66">
        <f t="shared" si="289"/>
        <v>1.0190046291406952E-2</v>
      </c>
      <c r="W296" s="66">
        <f t="shared" si="289"/>
        <v>1.0171081238156399E-2</v>
      </c>
      <c r="X296" s="66">
        <f t="shared" si="289"/>
        <v>1.0152116184905845E-2</v>
      </c>
      <c r="Y296" s="66">
        <f t="shared" si="289"/>
        <v>1.0133151131655294E-2</v>
      </c>
      <c r="Z296" s="66">
        <f t="shared" si="289"/>
        <v>1.011418607840474E-2</v>
      </c>
      <c r="AA296" s="66">
        <f t="shared" si="289"/>
        <v>1.0095221025154186E-2</v>
      </c>
      <c r="AB296" s="66">
        <f t="shared" si="289"/>
        <v>1.0076255971903633E-2</v>
      </c>
      <c r="AC296" s="66">
        <f t="shared" si="289"/>
        <v>1.0057290918653081E-2</v>
      </c>
    </row>
    <row r="297" spans="1:29" x14ac:dyDescent="0.25">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75" thickBot="1" x14ac:dyDescent="0.3">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75" thickBot="1" x14ac:dyDescent="0.3">
      <c r="A299" s="31" t="s">
        <v>505</v>
      </c>
      <c r="B299" s="77">
        <f>B288+B289+B290+B291+B292+B293+B294+B295+B296+B297+B298</f>
        <v>1.7683870288775261E-2</v>
      </c>
      <c r="C299" s="67">
        <f t="shared" ref="C299:AC299" si="292">C288+C289+C290+C291+C292+C293+C294+C295+C296+C297+C298</f>
        <v>1.7683870288775261E-2</v>
      </c>
      <c r="D299" s="67">
        <f t="shared" si="292"/>
        <v>1.7683870288775261E-2</v>
      </c>
      <c r="E299" s="67">
        <f t="shared" si="292"/>
        <v>1.7683870288775261E-2</v>
      </c>
      <c r="F299" s="67">
        <f t="shared" si="292"/>
        <v>1.7683870288775261E-2</v>
      </c>
      <c r="G299" s="67">
        <f t="shared" si="292"/>
        <v>1.7683870288775261E-2</v>
      </c>
      <c r="H299" s="67">
        <f t="shared" si="292"/>
        <v>1.7683870288775261E-2</v>
      </c>
      <c r="I299" s="67">
        <f t="shared" si="292"/>
        <v>1.7683870288775261E-2</v>
      </c>
      <c r="J299" s="67">
        <f t="shared" si="292"/>
        <v>1.7744514354402031E-2</v>
      </c>
      <c r="K299" s="67">
        <f t="shared" si="292"/>
        <v>1.7805158420028801E-2</v>
      </c>
      <c r="L299" s="67">
        <f t="shared" si="292"/>
        <v>1.7865802485655564E-2</v>
      </c>
      <c r="M299" s="67">
        <f t="shared" si="292"/>
        <v>1.7926446551282338E-2</v>
      </c>
      <c r="N299" s="67">
        <f t="shared" si="292"/>
        <v>1.7987090616909104E-2</v>
      </c>
      <c r="O299" s="67">
        <f t="shared" si="292"/>
        <v>1.7954012035658141E-2</v>
      </c>
      <c r="P299" s="67">
        <f t="shared" si="292"/>
        <v>1.7920933454407175E-2</v>
      </c>
      <c r="Q299" s="67">
        <f t="shared" si="292"/>
        <v>1.7887854873156212E-2</v>
      </c>
      <c r="R299" s="67">
        <f t="shared" si="292"/>
        <v>1.7854776291905246E-2</v>
      </c>
      <c r="S299" s="67">
        <f t="shared" si="292"/>
        <v>1.7821697710654279E-2</v>
      </c>
      <c r="T299" s="67">
        <f t="shared" si="292"/>
        <v>1.7788619129403316E-2</v>
      </c>
      <c r="U299" s="67">
        <f t="shared" si="292"/>
        <v>1.7755540548152354E-2</v>
      </c>
      <c r="V299" s="67">
        <f t="shared" si="292"/>
        <v>1.7722461966901384E-2</v>
      </c>
      <c r="W299" s="67">
        <f t="shared" si="292"/>
        <v>1.7689383385650421E-2</v>
      </c>
      <c r="X299" s="67">
        <f t="shared" si="292"/>
        <v>1.7656304804399454E-2</v>
      </c>
      <c r="Y299" s="67">
        <f t="shared" si="292"/>
        <v>1.7623226223148492E-2</v>
      </c>
      <c r="Z299" s="67">
        <f t="shared" si="292"/>
        <v>1.7590147641897525E-2</v>
      </c>
      <c r="AA299" s="67">
        <f t="shared" si="292"/>
        <v>1.7557069060646559E-2</v>
      </c>
      <c r="AB299" s="67">
        <f t="shared" si="292"/>
        <v>1.7523990479395596E-2</v>
      </c>
      <c r="AC299" s="67">
        <f t="shared" si="292"/>
        <v>1.7490911898144633E-2</v>
      </c>
    </row>
    <row r="301" spans="1:29" x14ac:dyDescent="0.25">
      <c r="B301" s="40"/>
    </row>
    <row r="324" spans="1:44" s="3" customFormat="1" ht="21" x14ac:dyDescent="0.35">
      <c r="A324" s="2" t="str">
        <f>'Parameter Input'!A182</f>
        <v>Railway long-haul: Break bulk</v>
      </c>
    </row>
    <row r="325" spans="1:44" s="3" customFormat="1" ht="21" x14ac:dyDescent="0.35">
      <c r="A325" s="2" t="s">
        <v>285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Input'!$L$159</f>
        <v>5000000</v>
      </c>
      <c r="C334" s="42">
        <f>'Parameter Input'!$M$159</f>
        <v>5000000</v>
      </c>
      <c r="D334" s="1" t="s">
        <v>138</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25">
      <c r="A335" s="24" t="s">
        <v>151</v>
      </c>
      <c r="B335" s="60">
        <f>'Parameter Input'!$L$160</f>
        <v>-750000</v>
      </c>
      <c r="C335" s="61">
        <f>'Parameter Input'!$M$160</f>
        <v>-750000</v>
      </c>
      <c r="D335" s="1" t="s">
        <v>138</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25">
      <c r="A338" s="24" t="s">
        <v>203</v>
      </c>
      <c r="B338" s="45">
        <f>'Parameter Input'!$L$166</f>
        <v>0.06</v>
      </c>
      <c r="C338" s="46">
        <f>'Parameter Input'!$M$166</f>
        <v>0.06</v>
      </c>
      <c r="D338" s="1" t="s">
        <v>180</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25">
      <c r="A340" s="24" t="s">
        <v>175</v>
      </c>
      <c r="B340" s="43">
        <f>'Parameter Input'!$L$162</f>
        <v>650000</v>
      </c>
      <c r="C340" s="44">
        <f>'Parameter Input'!$M$162</f>
        <v>650000</v>
      </c>
      <c r="D340" s="1" t="s">
        <v>161</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25">
      <c r="A342" s="24" t="s">
        <v>183</v>
      </c>
      <c r="B342" s="47">
        <f>'Parameter Input'!$L$163</f>
        <v>31.614305882352937</v>
      </c>
      <c r="C342" s="48">
        <f>'Parameter Input'!$M$163</f>
        <v>31.614305882352937</v>
      </c>
      <c r="D342" s="1" t="s">
        <v>184</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25">
      <c r="A343" s="24" t="s">
        <v>191</v>
      </c>
      <c r="B343" s="45">
        <f>'Parameter Input'!$L$164</f>
        <v>0.13371034051801745</v>
      </c>
      <c r="C343" s="46">
        <f>'Parameter Input'!$M$164</f>
        <v>8.7585019329602734E-2</v>
      </c>
      <c r="D343" s="1" t="s">
        <v>94</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25">
      <c r="A344" s="24" t="s">
        <v>458</v>
      </c>
      <c r="B344" s="115">
        <f>'Parameter Input'!$L$167</f>
        <v>0</v>
      </c>
      <c r="C344" s="116">
        <f>'Parameter Input'!$M$167</f>
        <v>0</v>
      </c>
      <c r="D344" s="1" t="s">
        <v>200</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25">
      <c r="A345" s="24" t="s">
        <v>164</v>
      </c>
      <c r="B345" s="43">
        <f>'Parameter Input'!$L$161</f>
        <v>20</v>
      </c>
      <c r="C345" s="44">
        <f>'Parameter Input'!$M$161</f>
        <v>20</v>
      </c>
      <c r="D345" s="1" t="s">
        <v>165</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25">
      <c r="A349" s="24" t="s">
        <v>197</v>
      </c>
      <c r="B349" s="72">
        <f>'Parameter Input'!$L$165</f>
        <v>0</v>
      </c>
      <c r="C349" s="73">
        <f>'Parameter Input'!$M$165</f>
        <v>0</v>
      </c>
      <c r="D349" s="1" t="s">
        <v>180</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25">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25">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25">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25">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25">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25">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25">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25">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25">
      <c r="A363" s="30" t="str">
        <f t="shared" si="298"/>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25">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25">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25">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25">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25">
      <c r="A369" s="30" t="s">
        <v>197</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25">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25">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25">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25">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25">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25">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25">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25">
      <c r="A380" s="30" t="str">
        <f>A363</f>
        <v>Fuel Cost</v>
      </c>
      <c r="B380" s="62">
        <f>B362*B363*B370</f>
        <v>531396.93343291793</v>
      </c>
      <c r="C380" s="62">
        <f t="shared" ref="C380:AC380" si="369">C362*C363*C370</f>
        <v>531396.93343291793</v>
      </c>
      <c r="D380" s="62">
        <f t="shared" si="369"/>
        <v>531396.93343291793</v>
      </c>
      <c r="E380" s="62">
        <f t="shared" si="369"/>
        <v>531396.93343291793</v>
      </c>
      <c r="F380" s="62">
        <f t="shared" si="369"/>
        <v>531396.93343291793</v>
      </c>
      <c r="G380" s="62">
        <f t="shared" si="369"/>
        <v>531396.93343291793</v>
      </c>
      <c r="H380" s="62">
        <f t="shared" si="369"/>
        <v>531396.93343291793</v>
      </c>
      <c r="I380" s="62">
        <f t="shared" si="369"/>
        <v>531396.93343291793</v>
      </c>
      <c r="J380" s="62">
        <f t="shared" si="369"/>
        <v>541742.71399833972</v>
      </c>
      <c r="K380" s="62">
        <f t="shared" si="369"/>
        <v>552088.49456376163</v>
      </c>
      <c r="L380" s="62">
        <f t="shared" si="369"/>
        <v>562434.27512918354</v>
      </c>
      <c r="M380" s="62">
        <f t="shared" si="369"/>
        <v>572780.05569460534</v>
      </c>
      <c r="N380" s="62">
        <f t="shared" si="369"/>
        <v>583125.83626002714</v>
      </c>
      <c r="O380" s="62">
        <f t="shared" si="369"/>
        <v>577482.68322434241</v>
      </c>
      <c r="P380" s="62">
        <f t="shared" si="369"/>
        <v>571839.53018865781</v>
      </c>
      <c r="Q380" s="62">
        <f t="shared" si="369"/>
        <v>566196.37715297309</v>
      </c>
      <c r="R380" s="62">
        <f t="shared" si="369"/>
        <v>560553.22411728848</v>
      </c>
      <c r="S380" s="62">
        <f t="shared" si="369"/>
        <v>554910.07108160388</v>
      </c>
      <c r="T380" s="62">
        <f t="shared" si="369"/>
        <v>549266.91804591927</v>
      </c>
      <c r="U380" s="62">
        <f t="shared" si="369"/>
        <v>543623.76501023455</v>
      </c>
      <c r="V380" s="62">
        <f t="shared" si="369"/>
        <v>537980.61197454983</v>
      </c>
      <c r="W380" s="62">
        <f t="shared" si="369"/>
        <v>532337.45893886534</v>
      </c>
      <c r="X380" s="62">
        <f t="shared" si="369"/>
        <v>526694.30590318074</v>
      </c>
      <c r="Y380" s="62">
        <f t="shared" si="369"/>
        <v>521051.15286749613</v>
      </c>
      <c r="Z380" s="62">
        <f t="shared" si="369"/>
        <v>515407.99983181141</v>
      </c>
      <c r="AA380" s="62">
        <f t="shared" si="369"/>
        <v>509764.84679612675</v>
      </c>
      <c r="AB380" s="62">
        <f t="shared" si="369"/>
        <v>504121.69376044202</v>
      </c>
      <c r="AC380" s="62">
        <f t="shared" si="369"/>
        <v>498478.54072475765</v>
      </c>
    </row>
    <row r="381" spans="1:29" ht="15.75" thickBot="1" x14ac:dyDescent="0.3">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75" thickBot="1" x14ac:dyDescent="0.3">
      <c r="A382" s="31" t="s">
        <v>504</v>
      </c>
      <c r="B382" s="64">
        <f>B373+B374+B375+B376+B377+B378+B379+B380+B381</f>
        <v>4891800.4574298244</v>
      </c>
      <c r="C382" s="64">
        <f t="shared" ref="C382:AC382" si="371">C373+C374+C375+C376+C377+C378+C379+C380+C381</f>
        <v>4891800.4574298244</v>
      </c>
      <c r="D382" s="64">
        <f t="shared" si="371"/>
        <v>4891800.4574298244</v>
      </c>
      <c r="E382" s="64">
        <f t="shared" si="371"/>
        <v>4891800.4574298244</v>
      </c>
      <c r="F382" s="64">
        <f t="shared" si="371"/>
        <v>4891800.4574298244</v>
      </c>
      <c r="G382" s="64">
        <f t="shared" si="371"/>
        <v>4891800.4574298244</v>
      </c>
      <c r="H382" s="64">
        <f t="shared" si="371"/>
        <v>4891800.4574298244</v>
      </c>
      <c r="I382" s="64">
        <f t="shared" si="371"/>
        <v>4891800.4574298244</v>
      </c>
      <c r="J382" s="64">
        <f t="shared" si="371"/>
        <v>4902146.2379952464</v>
      </c>
      <c r="K382" s="64">
        <f t="shared" si="371"/>
        <v>4912492.0185606685</v>
      </c>
      <c r="L382" s="64">
        <f t="shared" si="371"/>
        <v>4922837.7991260896</v>
      </c>
      <c r="M382" s="64">
        <f t="shared" si="371"/>
        <v>4933183.5796915116</v>
      </c>
      <c r="N382" s="64">
        <f t="shared" si="371"/>
        <v>4943529.3602569336</v>
      </c>
      <c r="O382" s="64">
        <f t="shared" si="371"/>
        <v>4937886.2072212491</v>
      </c>
      <c r="P382" s="64">
        <f t="shared" si="371"/>
        <v>4932243.0541855637</v>
      </c>
      <c r="Q382" s="64">
        <f t="shared" si="371"/>
        <v>4926599.9011498792</v>
      </c>
      <c r="R382" s="64">
        <f t="shared" si="371"/>
        <v>4920956.7481141947</v>
      </c>
      <c r="S382" s="64">
        <f t="shared" si="371"/>
        <v>4915313.5950785102</v>
      </c>
      <c r="T382" s="64">
        <f t="shared" si="371"/>
        <v>4909670.4420428257</v>
      </c>
      <c r="U382" s="64">
        <f t="shared" si="371"/>
        <v>4904027.2890071413</v>
      </c>
      <c r="V382" s="64">
        <f t="shared" si="371"/>
        <v>4898384.1359714558</v>
      </c>
      <c r="W382" s="64">
        <f t="shared" si="371"/>
        <v>4892740.9829357713</v>
      </c>
      <c r="X382" s="64">
        <f t="shared" si="371"/>
        <v>4887097.8299000869</v>
      </c>
      <c r="Y382" s="64">
        <f t="shared" si="371"/>
        <v>4881454.6768644024</v>
      </c>
      <c r="Z382" s="64">
        <f t="shared" si="371"/>
        <v>4875811.5238287179</v>
      </c>
      <c r="AA382" s="64">
        <f t="shared" si="371"/>
        <v>4870168.3707930334</v>
      </c>
      <c r="AB382" s="64">
        <f t="shared" si="371"/>
        <v>4864525.217757348</v>
      </c>
      <c r="AC382" s="64">
        <f t="shared" si="371"/>
        <v>4858882.0647216644</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25">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25">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25">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25">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25">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25">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25">
      <c r="A392" s="30" t="str">
        <f t="shared" si="372"/>
        <v>Fuel Cost</v>
      </c>
      <c r="B392" s="66">
        <f>B362*B363*B370/B370</f>
        <v>2.9770136326774113</v>
      </c>
      <c r="C392" s="66">
        <f t="shared" ref="C392:AC392" si="380">C362*C363*C370/C370</f>
        <v>2.9770136326774113</v>
      </c>
      <c r="D392" s="66">
        <f t="shared" si="380"/>
        <v>2.9770136326774113</v>
      </c>
      <c r="E392" s="66">
        <f t="shared" si="380"/>
        <v>2.9770136326774113</v>
      </c>
      <c r="F392" s="66">
        <f t="shared" si="380"/>
        <v>2.9770136326774113</v>
      </c>
      <c r="G392" s="66">
        <f t="shared" si="380"/>
        <v>2.9770136326774113</v>
      </c>
      <c r="H392" s="66">
        <f t="shared" si="380"/>
        <v>2.9770136326774113</v>
      </c>
      <c r="I392" s="66">
        <f t="shared" si="380"/>
        <v>2.9770136326774113</v>
      </c>
      <c r="J392" s="66">
        <f t="shared" si="380"/>
        <v>3.0349731876657686</v>
      </c>
      <c r="K392" s="66">
        <f t="shared" si="380"/>
        <v>3.0929327426541269</v>
      </c>
      <c r="L392" s="66">
        <f t="shared" si="380"/>
        <v>3.1508922976424847</v>
      </c>
      <c r="M392" s="66">
        <f t="shared" si="380"/>
        <v>3.208851852630842</v>
      </c>
      <c r="N392" s="66">
        <f t="shared" si="380"/>
        <v>3.2668114076191999</v>
      </c>
      <c r="O392" s="66">
        <f t="shared" si="380"/>
        <v>3.2351971048982766</v>
      </c>
      <c r="P392" s="66">
        <f t="shared" si="380"/>
        <v>3.2035828021773547</v>
      </c>
      <c r="Q392" s="66">
        <f t="shared" si="380"/>
        <v>3.1719684994564319</v>
      </c>
      <c r="R392" s="66">
        <f t="shared" si="380"/>
        <v>3.1403541967355095</v>
      </c>
      <c r="S392" s="66">
        <f t="shared" si="380"/>
        <v>3.1087398940145876</v>
      </c>
      <c r="T392" s="66">
        <f t="shared" si="380"/>
        <v>3.0771255912936653</v>
      </c>
      <c r="U392" s="66">
        <f t="shared" si="380"/>
        <v>3.0455112885727424</v>
      </c>
      <c r="V392" s="66">
        <f t="shared" si="380"/>
        <v>3.0138969858518196</v>
      </c>
      <c r="W392" s="66">
        <f t="shared" si="380"/>
        <v>2.9822826831308982</v>
      </c>
      <c r="X392" s="66">
        <f t="shared" si="380"/>
        <v>2.9506683804099763</v>
      </c>
      <c r="Y392" s="66">
        <f t="shared" si="380"/>
        <v>2.9190540776890539</v>
      </c>
      <c r="Z392" s="66">
        <f t="shared" si="380"/>
        <v>2.8874397749681311</v>
      </c>
      <c r="AA392" s="66">
        <f t="shared" si="380"/>
        <v>2.8558254722472087</v>
      </c>
      <c r="AB392" s="66">
        <f t="shared" si="380"/>
        <v>2.8242111695262859</v>
      </c>
      <c r="AC392" s="66">
        <f t="shared" si="380"/>
        <v>2.7925968668053649</v>
      </c>
    </row>
    <row r="393" spans="1:29" ht="15.75" thickBot="1" x14ac:dyDescent="0.3">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75" thickBot="1" x14ac:dyDescent="0.3">
      <c r="A394" s="31" t="s">
        <v>187</v>
      </c>
      <c r="B394" s="76">
        <f>B385+B386+B387-B388+B389+B390+B391+B392+B393</f>
        <v>27.575983194709494</v>
      </c>
      <c r="C394" s="76">
        <f t="shared" ref="C394:AC394" si="383">C385+C386+C387-C388+C389+C390+C391+C392+C393</f>
        <v>27.575983194709494</v>
      </c>
      <c r="D394" s="76">
        <f t="shared" si="383"/>
        <v>27.575983194709494</v>
      </c>
      <c r="E394" s="76">
        <f t="shared" si="383"/>
        <v>27.575983194709494</v>
      </c>
      <c r="F394" s="76">
        <f t="shared" si="383"/>
        <v>27.575983194709494</v>
      </c>
      <c r="G394" s="76">
        <f t="shared" si="383"/>
        <v>27.575983194709494</v>
      </c>
      <c r="H394" s="76">
        <f t="shared" si="383"/>
        <v>27.575983194709494</v>
      </c>
      <c r="I394" s="76">
        <f t="shared" si="383"/>
        <v>27.575983194709494</v>
      </c>
      <c r="J394" s="76">
        <f t="shared" si="383"/>
        <v>27.633942749697852</v>
      </c>
      <c r="K394" s="76">
        <f t="shared" si="383"/>
        <v>27.691902304686209</v>
      </c>
      <c r="L394" s="76">
        <f t="shared" si="383"/>
        <v>27.749861859674567</v>
      </c>
      <c r="M394" s="76">
        <f t="shared" si="383"/>
        <v>27.807821414662925</v>
      </c>
      <c r="N394" s="76">
        <f t="shared" si="383"/>
        <v>27.865780969651283</v>
      </c>
      <c r="O394" s="76">
        <f t="shared" si="383"/>
        <v>27.834166666930358</v>
      </c>
      <c r="P394" s="76">
        <f t="shared" si="383"/>
        <v>27.802552364209436</v>
      </c>
      <c r="Q394" s="76">
        <f t="shared" si="383"/>
        <v>27.770938061488515</v>
      </c>
      <c r="R394" s="76">
        <f t="shared" si="383"/>
        <v>27.73932375876759</v>
      </c>
      <c r="S394" s="76">
        <f t="shared" si="383"/>
        <v>27.707709456046668</v>
      </c>
      <c r="T394" s="76">
        <f t="shared" si="383"/>
        <v>27.676095153325747</v>
      </c>
      <c r="U394" s="76">
        <f t="shared" si="383"/>
        <v>27.644480850604825</v>
      </c>
      <c r="V394" s="76">
        <f t="shared" si="383"/>
        <v>27.6128665478839</v>
      </c>
      <c r="W394" s="76">
        <f t="shared" si="383"/>
        <v>27.581252245162979</v>
      </c>
      <c r="X394" s="76">
        <f t="shared" si="383"/>
        <v>27.549637942442057</v>
      </c>
      <c r="Y394" s="76">
        <f t="shared" si="383"/>
        <v>27.518023639721136</v>
      </c>
      <c r="Z394" s="76">
        <f t="shared" si="383"/>
        <v>27.486409337000211</v>
      </c>
      <c r="AA394" s="76">
        <f t="shared" si="383"/>
        <v>27.454795034279289</v>
      </c>
      <c r="AB394" s="76">
        <f t="shared" si="383"/>
        <v>27.423180731558368</v>
      </c>
      <c r="AC394" s="76">
        <f t="shared" si="383"/>
        <v>27.391566428837447</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25">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25">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25">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25">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25">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25">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25">
      <c r="A404" s="30" t="str">
        <f t="shared" si="384"/>
        <v>Fuel Cost</v>
      </c>
      <c r="B404" s="66">
        <f>B362*B363*B370/B370/(B367)</f>
        <v>1.3290239431595586E-3</v>
      </c>
      <c r="C404" s="66">
        <f t="shared" ref="C404:AC404" si="392">C362*C363*C370/C370/(C367)</f>
        <v>1.3290239431595586E-3</v>
      </c>
      <c r="D404" s="66">
        <f t="shared" si="392"/>
        <v>1.3290239431595586E-3</v>
      </c>
      <c r="E404" s="66">
        <f t="shared" si="392"/>
        <v>1.3290239431595586E-3</v>
      </c>
      <c r="F404" s="66">
        <f t="shared" si="392"/>
        <v>1.3290239431595586E-3</v>
      </c>
      <c r="G404" s="66">
        <f t="shared" si="392"/>
        <v>1.3290239431595586E-3</v>
      </c>
      <c r="H404" s="66">
        <f t="shared" si="392"/>
        <v>1.3290239431595586E-3</v>
      </c>
      <c r="I404" s="66">
        <f t="shared" si="392"/>
        <v>1.3290239431595586E-3</v>
      </c>
      <c r="J404" s="66">
        <f t="shared" si="392"/>
        <v>1.3548987444936466E-3</v>
      </c>
      <c r="K404" s="66">
        <f t="shared" si="392"/>
        <v>1.3807735458277353E-3</v>
      </c>
      <c r="L404" s="66">
        <f t="shared" si="392"/>
        <v>1.4066483471618235E-3</v>
      </c>
      <c r="M404" s="66">
        <f t="shared" si="392"/>
        <v>1.4325231484959115E-3</v>
      </c>
      <c r="N404" s="66">
        <f t="shared" si="392"/>
        <v>1.45839794983E-3</v>
      </c>
      <c r="O404" s="66">
        <f t="shared" si="392"/>
        <v>1.4442844218295879E-3</v>
      </c>
      <c r="P404" s="66">
        <f t="shared" si="392"/>
        <v>1.4301708938291762E-3</v>
      </c>
      <c r="Q404" s="66">
        <f t="shared" si="392"/>
        <v>1.4160573658287643E-3</v>
      </c>
      <c r="R404" s="66">
        <f t="shared" si="392"/>
        <v>1.4019438378283524E-3</v>
      </c>
      <c r="S404" s="66">
        <f t="shared" si="392"/>
        <v>1.3878303098279409E-3</v>
      </c>
      <c r="T404" s="66">
        <f t="shared" si="392"/>
        <v>1.3737167818275292E-3</v>
      </c>
      <c r="U404" s="66">
        <f t="shared" si="392"/>
        <v>1.3596032538271171E-3</v>
      </c>
      <c r="V404" s="66">
        <f t="shared" si="392"/>
        <v>1.3454897258267052E-3</v>
      </c>
      <c r="W404" s="66">
        <f t="shared" si="392"/>
        <v>1.3313761978262938E-3</v>
      </c>
      <c r="X404" s="66">
        <f t="shared" si="392"/>
        <v>1.3172626698258823E-3</v>
      </c>
      <c r="Y404" s="66">
        <f t="shared" si="392"/>
        <v>1.3031491418254704E-3</v>
      </c>
      <c r="Z404" s="66">
        <f t="shared" si="392"/>
        <v>1.2890356138250585E-3</v>
      </c>
      <c r="AA404" s="66">
        <f t="shared" si="392"/>
        <v>1.2749220858246468E-3</v>
      </c>
      <c r="AB404" s="66">
        <f t="shared" si="392"/>
        <v>1.2608085578242347E-3</v>
      </c>
      <c r="AC404" s="66">
        <f t="shared" si="392"/>
        <v>1.2466950298238237E-3</v>
      </c>
    </row>
    <row r="405" spans="1:29" x14ac:dyDescent="0.25">
      <c r="A405" s="59" t="str">
        <f>A368</f>
        <v>Market failure (av. utilization)</v>
      </c>
      <c r="B405" s="66">
        <f t="shared" ref="B405:AC405" si="393">B394/B368-B394/B367</f>
        <v>4.7874970824148422E-3</v>
      </c>
      <c r="C405" s="66">
        <f t="shared" si="393"/>
        <v>4.7874970824148422E-3</v>
      </c>
      <c r="D405" s="66">
        <f t="shared" si="393"/>
        <v>4.7874970824148422E-3</v>
      </c>
      <c r="E405" s="66">
        <f t="shared" si="393"/>
        <v>4.7874970824148422E-3</v>
      </c>
      <c r="F405" s="66">
        <f t="shared" si="393"/>
        <v>4.7874970824148422E-3</v>
      </c>
      <c r="G405" s="66">
        <f t="shared" si="393"/>
        <v>4.7874970824148422E-3</v>
      </c>
      <c r="H405" s="66">
        <f t="shared" si="393"/>
        <v>4.7874970824148422E-3</v>
      </c>
      <c r="I405" s="66">
        <f t="shared" si="393"/>
        <v>4.7874970824148422E-3</v>
      </c>
      <c r="J405" s="66">
        <f t="shared" si="393"/>
        <v>4.7975595051558753E-3</v>
      </c>
      <c r="K405" s="66">
        <f t="shared" si="393"/>
        <v>4.8076219278969101E-3</v>
      </c>
      <c r="L405" s="66">
        <f t="shared" si="393"/>
        <v>4.8176843506379449E-3</v>
      </c>
      <c r="M405" s="66">
        <f t="shared" si="393"/>
        <v>4.8277467733789797E-3</v>
      </c>
      <c r="N405" s="66">
        <f t="shared" si="393"/>
        <v>4.8378091961200145E-3</v>
      </c>
      <c r="O405" s="66">
        <f t="shared" si="393"/>
        <v>4.8323206018976283E-3</v>
      </c>
      <c r="P405" s="66">
        <f t="shared" si="393"/>
        <v>4.826832007675249E-3</v>
      </c>
      <c r="Q405" s="66">
        <f t="shared" si="393"/>
        <v>4.8213434134528645E-3</v>
      </c>
      <c r="R405" s="66">
        <f t="shared" si="393"/>
        <v>4.8158548192304834E-3</v>
      </c>
      <c r="S405" s="66">
        <f t="shared" si="393"/>
        <v>4.8103662250080989E-3</v>
      </c>
      <c r="T405" s="66">
        <f t="shared" si="393"/>
        <v>4.8048776307857196E-3</v>
      </c>
      <c r="U405" s="66">
        <f t="shared" si="393"/>
        <v>4.7993890365633351E-3</v>
      </c>
      <c r="V405" s="66">
        <f t="shared" si="393"/>
        <v>4.793900442340954E-3</v>
      </c>
      <c r="W405" s="66">
        <f t="shared" si="393"/>
        <v>4.7884118481185713E-3</v>
      </c>
      <c r="X405" s="66">
        <f t="shared" si="393"/>
        <v>4.7829232538961867E-3</v>
      </c>
      <c r="Y405" s="66">
        <f t="shared" si="393"/>
        <v>4.7774346596738074E-3</v>
      </c>
      <c r="Z405" s="66">
        <f t="shared" si="393"/>
        <v>4.7719460654514247E-3</v>
      </c>
      <c r="AA405" s="66">
        <f t="shared" si="393"/>
        <v>4.7664574712290419E-3</v>
      </c>
      <c r="AB405" s="66">
        <f t="shared" si="393"/>
        <v>4.7609688770066574E-3</v>
      </c>
      <c r="AC405" s="66">
        <f t="shared" si="393"/>
        <v>4.7554802827842781E-3</v>
      </c>
    </row>
    <row r="406" spans="1:29" x14ac:dyDescent="0.25">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75" thickBot="1" x14ac:dyDescent="0.3">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75" thickBot="1" x14ac:dyDescent="0.3">
      <c r="A408" s="31" t="s">
        <v>505</v>
      </c>
      <c r="B408" s="77">
        <f>B397+B398+B399+B400+B401+B402+B403+B404+B405+B406+B407</f>
        <v>1.7021891983950016E-2</v>
      </c>
      <c r="C408" s="67">
        <f t="shared" ref="C408:AC408" si="396">C397+C398+C399+C400+C401+C402+C403+C404+C405+C406+C407</f>
        <v>1.7021891983950016E-2</v>
      </c>
      <c r="D408" s="67">
        <f t="shared" si="396"/>
        <v>1.7021891983950016E-2</v>
      </c>
      <c r="E408" s="67">
        <f t="shared" si="396"/>
        <v>1.7021891983950016E-2</v>
      </c>
      <c r="F408" s="67">
        <f t="shared" si="396"/>
        <v>1.7021891983950016E-2</v>
      </c>
      <c r="G408" s="67">
        <f t="shared" si="396"/>
        <v>1.7021891983950016E-2</v>
      </c>
      <c r="H408" s="67">
        <f t="shared" si="396"/>
        <v>1.7021891983950016E-2</v>
      </c>
      <c r="I408" s="67">
        <f t="shared" si="396"/>
        <v>1.7021891983950016E-2</v>
      </c>
      <c r="J408" s="67">
        <f t="shared" si="396"/>
        <v>1.7057829208025139E-2</v>
      </c>
      <c r="K408" s="67">
        <f t="shared" si="396"/>
        <v>1.7093766432100262E-2</v>
      </c>
      <c r="L408" s="67">
        <f t="shared" si="396"/>
        <v>1.7129703656175388E-2</v>
      </c>
      <c r="M408" s="67">
        <f t="shared" si="396"/>
        <v>1.7165640880250507E-2</v>
      </c>
      <c r="N408" s="67">
        <f t="shared" si="396"/>
        <v>1.7201578104325634E-2</v>
      </c>
      <c r="O408" s="67">
        <f t="shared" si="396"/>
        <v>1.7181975982102832E-2</v>
      </c>
      <c r="P408" s="67">
        <f t="shared" si="396"/>
        <v>1.7162373859880044E-2</v>
      </c>
      <c r="Q408" s="67">
        <f t="shared" si="396"/>
        <v>1.7142771737657249E-2</v>
      </c>
      <c r="R408" s="67">
        <f t="shared" si="396"/>
        <v>1.7123169615434454E-2</v>
      </c>
      <c r="S408" s="67">
        <f t="shared" si="396"/>
        <v>1.7103567493211659E-2</v>
      </c>
      <c r="T408" s="67">
        <f t="shared" si="396"/>
        <v>1.7083965370988864E-2</v>
      </c>
      <c r="U408" s="67">
        <f t="shared" si="396"/>
        <v>1.7064363248766069E-2</v>
      </c>
      <c r="V408" s="67">
        <f t="shared" si="396"/>
        <v>1.7044761126543274E-2</v>
      </c>
      <c r="W408" s="67">
        <f t="shared" si="396"/>
        <v>1.7025159004320483E-2</v>
      </c>
      <c r="X408" s="67">
        <f t="shared" si="396"/>
        <v>1.7005556882097685E-2</v>
      </c>
      <c r="Y408" s="67">
        <f t="shared" si="396"/>
        <v>1.6985954759874897E-2</v>
      </c>
      <c r="Z408" s="67">
        <f t="shared" si="396"/>
        <v>1.6966352637652102E-2</v>
      </c>
      <c r="AA408" s="67">
        <f t="shared" si="396"/>
        <v>1.6946750515429307E-2</v>
      </c>
      <c r="AB408" s="67">
        <f t="shared" si="396"/>
        <v>1.6927148393206512E-2</v>
      </c>
      <c r="AC408" s="67">
        <f t="shared" si="396"/>
        <v>1.6907546270983717E-2</v>
      </c>
    </row>
    <row r="410" spans="1:29" x14ac:dyDescent="0.25">
      <c r="B410" s="40"/>
    </row>
    <row r="429" spans="1:1" s="3" customFormat="1" ht="21" x14ac:dyDescent="0.35">
      <c r="A429" s="2" t="str">
        <f>'Parameter Input'!A193</f>
        <v>Railway long-haul:  Neo bulk</v>
      </c>
    </row>
    <row r="430" spans="1:1" s="3" customFormat="1" ht="21" x14ac:dyDescent="0.35">
      <c r="A430" s="2" t="s">
        <v>285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Input'!$L$159</f>
        <v>5000000</v>
      </c>
      <c r="C439" s="42">
        <f>'Parameter Input'!$M$159</f>
        <v>5000000</v>
      </c>
      <c r="D439" s="1" t="s">
        <v>138</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25">
      <c r="A440" s="24" t="s">
        <v>151</v>
      </c>
      <c r="B440" s="60">
        <f>'Parameter Input'!$L$160</f>
        <v>-750000</v>
      </c>
      <c r="C440" s="61">
        <f>'Parameter Input'!$M$160</f>
        <v>-750000</v>
      </c>
      <c r="D440" s="1" t="s">
        <v>138</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25">
      <c r="A443" s="24" t="s">
        <v>203</v>
      </c>
      <c r="B443" s="45">
        <f>'Parameter Input'!$L$166</f>
        <v>0.06</v>
      </c>
      <c r="C443" s="46">
        <f>'Parameter Input'!$M$166</f>
        <v>0.06</v>
      </c>
      <c r="D443" s="1" t="s">
        <v>180</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25">
      <c r="A445" s="24" t="s">
        <v>175</v>
      </c>
      <c r="B445" s="43">
        <f>'Parameter Input'!$L$162</f>
        <v>650000</v>
      </c>
      <c r="C445" s="44">
        <f>'Parameter Input'!$M$162</f>
        <v>650000</v>
      </c>
      <c r="D445" s="1" t="s">
        <v>161</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25">
      <c r="A447" s="24" t="s">
        <v>183</v>
      </c>
      <c r="B447" s="47">
        <f>'Parameter Input'!$L$163</f>
        <v>31.614305882352937</v>
      </c>
      <c r="C447" s="48">
        <f>'Parameter Input'!$M$163</f>
        <v>31.614305882352937</v>
      </c>
      <c r="D447" s="1" t="s">
        <v>184</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25">
      <c r="A448" s="24" t="s">
        <v>191</v>
      </c>
      <c r="B448" s="45">
        <f>'Parameter Input'!$L$164</f>
        <v>0.13371034051801745</v>
      </c>
      <c r="C448" s="46">
        <f>'Parameter Input'!$M$164</f>
        <v>8.7585019329602734E-2</v>
      </c>
      <c r="D448" s="1" t="s">
        <v>94</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25">
      <c r="A449" s="24" t="s">
        <v>458</v>
      </c>
      <c r="B449" s="115">
        <f>'Parameter Input'!$L$167</f>
        <v>0</v>
      </c>
      <c r="C449" s="116">
        <f>'Parameter Input'!$M$167</f>
        <v>0</v>
      </c>
      <c r="D449" s="1" t="s">
        <v>200</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25">
      <c r="A450" s="24" t="s">
        <v>164</v>
      </c>
      <c r="B450" s="43">
        <f>'Parameter Input'!$L$161</f>
        <v>20</v>
      </c>
      <c r="C450" s="44">
        <f>'Parameter Input'!$M$161</f>
        <v>20</v>
      </c>
      <c r="D450" s="1" t="s">
        <v>165</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25">
      <c r="A454" s="24" t="s">
        <v>197</v>
      </c>
      <c r="B454" s="72">
        <f>'Parameter Input'!$L$165</f>
        <v>0</v>
      </c>
      <c r="C454" s="73">
        <f>'Parameter Input'!$M$165</f>
        <v>0</v>
      </c>
      <c r="D454" s="1" t="s">
        <v>180</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25">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25">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25">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25">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25">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25">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25">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25">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25">
      <c r="A468" s="30" t="str">
        <f t="shared" si="402"/>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25">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25">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25">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25">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25">
      <c r="A474" s="30" t="s">
        <v>197</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25">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25">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25">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25">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25">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25">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25">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25">
      <c r="A485" s="30" t="str">
        <f>A468</f>
        <v>Fuel Cost</v>
      </c>
      <c r="B485" s="62">
        <f>B467*B468*B475</f>
        <v>531396.93343291793</v>
      </c>
      <c r="C485" s="62">
        <f t="shared" ref="C485:AC485" si="473">C467*C468*C475</f>
        <v>531396.93343291793</v>
      </c>
      <c r="D485" s="62">
        <f t="shared" si="473"/>
        <v>531396.93343291793</v>
      </c>
      <c r="E485" s="62">
        <f t="shared" si="473"/>
        <v>531396.93343291793</v>
      </c>
      <c r="F485" s="62">
        <f t="shared" si="473"/>
        <v>531396.93343291793</v>
      </c>
      <c r="G485" s="62">
        <f t="shared" si="473"/>
        <v>531396.93343291793</v>
      </c>
      <c r="H485" s="62">
        <f t="shared" si="473"/>
        <v>531396.93343291793</v>
      </c>
      <c r="I485" s="62">
        <f t="shared" si="473"/>
        <v>531396.93343291793</v>
      </c>
      <c r="J485" s="62">
        <f t="shared" si="473"/>
        <v>541742.71399833972</v>
      </c>
      <c r="K485" s="62">
        <f t="shared" si="473"/>
        <v>552088.49456376163</v>
      </c>
      <c r="L485" s="62">
        <f t="shared" si="473"/>
        <v>562434.27512918354</v>
      </c>
      <c r="M485" s="62">
        <f t="shared" si="473"/>
        <v>572780.05569460534</v>
      </c>
      <c r="N485" s="62">
        <f t="shared" si="473"/>
        <v>583125.83626002714</v>
      </c>
      <c r="O485" s="62">
        <f t="shared" si="473"/>
        <v>577482.68322434241</v>
      </c>
      <c r="P485" s="62">
        <f t="shared" si="473"/>
        <v>571839.53018865781</v>
      </c>
      <c r="Q485" s="62">
        <f t="shared" si="473"/>
        <v>566196.37715297309</v>
      </c>
      <c r="R485" s="62">
        <f t="shared" si="473"/>
        <v>560553.22411728848</v>
      </c>
      <c r="S485" s="62">
        <f t="shared" si="473"/>
        <v>554910.07108160388</v>
      </c>
      <c r="T485" s="62">
        <f t="shared" si="473"/>
        <v>549266.91804591927</v>
      </c>
      <c r="U485" s="62">
        <f t="shared" si="473"/>
        <v>543623.76501023455</v>
      </c>
      <c r="V485" s="62">
        <f t="shared" si="473"/>
        <v>537980.61197454983</v>
      </c>
      <c r="W485" s="62">
        <f t="shared" si="473"/>
        <v>532337.45893886534</v>
      </c>
      <c r="X485" s="62">
        <f t="shared" si="473"/>
        <v>526694.30590318074</v>
      </c>
      <c r="Y485" s="62">
        <f t="shared" si="473"/>
        <v>521051.15286749613</v>
      </c>
      <c r="Z485" s="62">
        <f t="shared" si="473"/>
        <v>515407.99983181141</v>
      </c>
      <c r="AA485" s="62">
        <f t="shared" si="473"/>
        <v>509764.84679612675</v>
      </c>
      <c r="AB485" s="62">
        <f t="shared" si="473"/>
        <v>504121.69376044202</v>
      </c>
      <c r="AC485" s="62">
        <f t="shared" si="473"/>
        <v>498478.54072475765</v>
      </c>
    </row>
    <row r="486" spans="1:29" ht="15.75" thickBot="1" x14ac:dyDescent="0.3">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75" thickBot="1" x14ac:dyDescent="0.3">
      <c r="A487" s="31" t="s">
        <v>504</v>
      </c>
      <c r="B487" s="64">
        <f>B478+B479+B480+B481+B482+B483+B484+B485+B486</f>
        <v>3143488.9312889436</v>
      </c>
      <c r="C487" s="64">
        <f t="shared" ref="C487:AC487" si="475">C478+C479+C480+C481+C482+C483+C484+C485+C486</f>
        <v>3143488.9312889436</v>
      </c>
      <c r="D487" s="64">
        <f t="shared" si="475"/>
        <v>3143488.9312889436</v>
      </c>
      <c r="E487" s="64">
        <f t="shared" si="475"/>
        <v>3143488.9312889436</v>
      </c>
      <c r="F487" s="64">
        <f t="shared" si="475"/>
        <v>3143488.9312889436</v>
      </c>
      <c r="G487" s="64">
        <f t="shared" si="475"/>
        <v>3143488.9312889436</v>
      </c>
      <c r="H487" s="64">
        <f t="shared" si="475"/>
        <v>3143488.9312889436</v>
      </c>
      <c r="I487" s="64">
        <f t="shared" si="475"/>
        <v>3143488.9312889436</v>
      </c>
      <c r="J487" s="64">
        <f t="shared" si="475"/>
        <v>3153834.7118543652</v>
      </c>
      <c r="K487" s="64">
        <f t="shared" si="475"/>
        <v>3164180.4924197872</v>
      </c>
      <c r="L487" s="64">
        <f t="shared" si="475"/>
        <v>3174526.2729852092</v>
      </c>
      <c r="M487" s="64">
        <f t="shared" si="475"/>
        <v>3184872.0535506308</v>
      </c>
      <c r="N487" s="64">
        <f t="shared" si="475"/>
        <v>3195217.8341160528</v>
      </c>
      <c r="O487" s="64">
        <f t="shared" si="475"/>
        <v>3189574.6810803679</v>
      </c>
      <c r="P487" s="64">
        <f t="shared" si="475"/>
        <v>3183931.5280446834</v>
      </c>
      <c r="Q487" s="64">
        <f t="shared" si="475"/>
        <v>3178288.3750089984</v>
      </c>
      <c r="R487" s="64">
        <f t="shared" si="475"/>
        <v>3172645.221973314</v>
      </c>
      <c r="S487" s="64">
        <f t="shared" si="475"/>
        <v>3167002.0689376295</v>
      </c>
      <c r="T487" s="64">
        <f t="shared" si="475"/>
        <v>3161358.915901945</v>
      </c>
      <c r="U487" s="64">
        <f t="shared" si="475"/>
        <v>3155715.76286626</v>
      </c>
      <c r="V487" s="64">
        <f t="shared" si="475"/>
        <v>3150072.6098305755</v>
      </c>
      <c r="W487" s="64">
        <f t="shared" si="475"/>
        <v>3144429.456794891</v>
      </c>
      <c r="X487" s="64">
        <f t="shared" si="475"/>
        <v>3138786.3037592061</v>
      </c>
      <c r="Y487" s="64">
        <f t="shared" si="475"/>
        <v>3133143.1507235216</v>
      </c>
      <c r="Z487" s="64">
        <f t="shared" si="475"/>
        <v>3127499.9976878371</v>
      </c>
      <c r="AA487" s="64">
        <f t="shared" si="475"/>
        <v>3121856.8446521522</v>
      </c>
      <c r="AB487" s="64">
        <f t="shared" si="475"/>
        <v>3116213.6916164677</v>
      </c>
      <c r="AC487" s="64">
        <f t="shared" si="475"/>
        <v>3110570.5385807832</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25">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25">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25">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25">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25">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25">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25">
      <c r="A497" s="30" t="str">
        <f t="shared" si="476"/>
        <v>Fuel Cost</v>
      </c>
      <c r="B497" s="66">
        <f>B467*B468*B475/B475</f>
        <v>2.9770136326774113</v>
      </c>
      <c r="C497" s="66">
        <f t="shared" ref="C497:AC497" si="484">C467*C468*C475/C475</f>
        <v>2.9770136326774113</v>
      </c>
      <c r="D497" s="66">
        <f t="shared" si="484"/>
        <v>2.9770136326774113</v>
      </c>
      <c r="E497" s="66">
        <f t="shared" si="484"/>
        <v>2.9770136326774113</v>
      </c>
      <c r="F497" s="66">
        <f t="shared" si="484"/>
        <v>2.9770136326774113</v>
      </c>
      <c r="G497" s="66">
        <f t="shared" si="484"/>
        <v>2.9770136326774113</v>
      </c>
      <c r="H497" s="66">
        <f t="shared" si="484"/>
        <v>2.9770136326774113</v>
      </c>
      <c r="I497" s="66">
        <f t="shared" si="484"/>
        <v>2.9770136326774113</v>
      </c>
      <c r="J497" s="66">
        <f t="shared" si="484"/>
        <v>3.0349731876657686</v>
      </c>
      <c r="K497" s="66">
        <f t="shared" si="484"/>
        <v>3.0929327426541269</v>
      </c>
      <c r="L497" s="66">
        <f t="shared" si="484"/>
        <v>3.1508922976424847</v>
      </c>
      <c r="M497" s="66">
        <f t="shared" si="484"/>
        <v>3.208851852630842</v>
      </c>
      <c r="N497" s="66">
        <f t="shared" si="484"/>
        <v>3.2668114076191999</v>
      </c>
      <c r="O497" s="66">
        <f t="shared" si="484"/>
        <v>3.2351971048982766</v>
      </c>
      <c r="P497" s="66">
        <f t="shared" si="484"/>
        <v>3.2035828021773547</v>
      </c>
      <c r="Q497" s="66">
        <f t="shared" si="484"/>
        <v>3.1719684994564319</v>
      </c>
      <c r="R497" s="66">
        <f t="shared" si="484"/>
        <v>3.1403541967355095</v>
      </c>
      <c r="S497" s="66">
        <f t="shared" si="484"/>
        <v>3.1087398940145876</v>
      </c>
      <c r="T497" s="66">
        <f t="shared" si="484"/>
        <v>3.0771255912936653</v>
      </c>
      <c r="U497" s="66">
        <f t="shared" si="484"/>
        <v>3.0455112885727424</v>
      </c>
      <c r="V497" s="66">
        <f t="shared" si="484"/>
        <v>3.0138969858518196</v>
      </c>
      <c r="W497" s="66">
        <f t="shared" si="484"/>
        <v>2.9822826831308982</v>
      </c>
      <c r="X497" s="66">
        <f t="shared" si="484"/>
        <v>2.9506683804099763</v>
      </c>
      <c r="Y497" s="66">
        <f t="shared" si="484"/>
        <v>2.9190540776890539</v>
      </c>
      <c r="Z497" s="66">
        <f t="shared" si="484"/>
        <v>2.8874397749681311</v>
      </c>
      <c r="AA497" s="66">
        <f t="shared" si="484"/>
        <v>2.8558254722472087</v>
      </c>
      <c r="AB497" s="66">
        <f t="shared" si="484"/>
        <v>2.8242111695262859</v>
      </c>
      <c r="AC497" s="66">
        <f t="shared" si="484"/>
        <v>2.7925968668053649</v>
      </c>
    </row>
    <row r="498" spans="1:29" ht="15.75" thickBot="1" x14ac:dyDescent="0.3">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75" thickBot="1" x14ac:dyDescent="0.3">
      <c r="A499" s="31" t="s">
        <v>187</v>
      </c>
      <c r="B499" s="76">
        <f>B490+B491+B492-B493+B494+B495+B496+B497+B498</f>
        <v>17.753031094176247</v>
      </c>
      <c r="C499" s="76">
        <f t="shared" ref="C499:AC499" si="487">C490+C491+C492-C493+C494+C495+C496+C497+C498</f>
        <v>17.753031094176247</v>
      </c>
      <c r="D499" s="76">
        <f t="shared" si="487"/>
        <v>17.753031094176247</v>
      </c>
      <c r="E499" s="76">
        <f t="shared" si="487"/>
        <v>17.753031094176247</v>
      </c>
      <c r="F499" s="76">
        <f t="shared" si="487"/>
        <v>17.753031094176247</v>
      </c>
      <c r="G499" s="76">
        <f t="shared" si="487"/>
        <v>17.753031094176247</v>
      </c>
      <c r="H499" s="76">
        <f t="shared" si="487"/>
        <v>17.753031094176247</v>
      </c>
      <c r="I499" s="76">
        <f t="shared" si="487"/>
        <v>17.753031094176247</v>
      </c>
      <c r="J499" s="76">
        <f t="shared" si="487"/>
        <v>17.810990649164605</v>
      </c>
      <c r="K499" s="76">
        <f t="shared" si="487"/>
        <v>17.868950204152963</v>
      </c>
      <c r="L499" s="76">
        <f t="shared" si="487"/>
        <v>17.926909759141321</v>
      </c>
      <c r="M499" s="76">
        <f t="shared" si="487"/>
        <v>17.984869314129678</v>
      </c>
      <c r="N499" s="76">
        <f t="shared" si="487"/>
        <v>18.042828869118036</v>
      </c>
      <c r="O499" s="76">
        <f t="shared" si="487"/>
        <v>18.011214566397111</v>
      </c>
      <c r="P499" s="76">
        <f t="shared" si="487"/>
        <v>17.97960026367619</v>
      </c>
      <c r="Q499" s="76">
        <f t="shared" si="487"/>
        <v>17.947985960955268</v>
      </c>
      <c r="R499" s="76">
        <f t="shared" si="487"/>
        <v>17.916371658234343</v>
      </c>
      <c r="S499" s="76">
        <f t="shared" si="487"/>
        <v>17.884757355513422</v>
      </c>
      <c r="T499" s="76">
        <f t="shared" si="487"/>
        <v>17.8531430527925</v>
      </c>
      <c r="U499" s="76">
        <f t="shared" si="487"/>
        <v>17.821528750071579</v>
      </c>
      <c r="V499" s="76">
        <f t="shared" si="487"/>
        <v>17.789914447350654</v>
      </c>
      <c r="W499" s="76">
        <f t="shared" si="487"/>
        <v>17.758300144629732</v>
      </c>
      <c r="X499" s="76">
        <f t="shared" si="487"/>
        <v>17.726685841908811</v>
      </c>
      <c r="Y499" s="76">
        <f t="shared" si="487"/>
        <v>17.695071539187889</v>
      </c>
      <c r="Z499" s="76">
        <f t="shared" si="487"/>
        <v>17.663457236466968</v>
      </c>
      <c r="AA499" s="76">
        <f t="shared" si="487"/>
        <v>17.631842933746043</v>
      </c>
      <c r="AB499" s="76">
        <f t="shared" si="487"/>
        <v>17.600228631025121</v>
      </c>
      <c r="AC499" s="76">
        <f t="shared" si="487"/>
        <v>17.5686143283042</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25">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25">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25">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25">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25">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25">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25">
      <c r="A509" s="30" t="str">
        <f t="shared" si="488"/>
        <v>Fuel Cost</v>
      </c>
      <c r="B509" s="66">
        <f>B467*B468*B475/B475/(B472)</f>
        <v>1.063219154527647E-3</v>
      </c>
      <c r="C509" s="66">
        <f t="shared" ref="C509:AC509" si="496">C467*C468*C475/C475/(C472)</f>
        <v>1.063219154527647E-3</v>
      </c>
      <c r="D509" s="66">
        <f t="shared" si="496"/>
        <v>1.063219154527647E-3</v>
      </c>
      <c r="E509" s="66">
        <f t="shared" si="496"/>
        <v>1.063219154527647E-3</v>
      </c>
      <c r="F509" s="66">
        <f t="shared" si="496"/>
        <v>1.063219154527647E-3</v>
      </c>
      <c r="G509" s="66">
        <f t="shared" si="496"/>
        <v>1.063219154527647E-3</v>
      </c>
      <c r="H509" s="66">
        <f t="shared" si="496"/>
        <v>1.063219154527647E-3</v>
      </c>
      <c r="I509" s="66">
        <f t="shared" si="496"/>
        <v>1.063219154527647E-3</v>
      </c>
      <c r="J509" s="66">
        <f t="shared" si="496"/>
        <v>1.0839189955949174E-3</v>
      </c>
      <c r="K509" s="66">
        <f t="shared" si="496"/>
        <v>1.1046188366621882E-3</v>
      </c>
      <c r="L509" s="66">
        <f t="shared" si="496"/>
        <v>1.1253186777294589E-3</v>
      </c>
      <c r="M509" s="66">
        <f t="shared" si="496"/>
        <v>1.1460185187967293E-3</v>
      </c>
      <c r="N509" s="66">
        <f t="shared" si="496"/>
        <v>1.1667183598639999E-3</v>
      </c>
      <c r="O509" s="66">
        <f t="shared" si="496"/>
        <v>1.1554275374636702E-3</v>
      </c>
      <c r="P509" s="66">
        <f t="shared" si="496"/>
        <v>1.144136715063341E-3</v>
      </c>
      <c r="Q509" s="66">
        <f t="shared" si="496"/>
        <v>1.1328458926630114E-3</v>
      </c>
      <c r="R509" s="66">
        <f t="shared" si="496"/>
        <v>1.1215550702626819E-3</v>
      </c>
      <c r="S509" s="66">
        <f t="shared" si="496"/>
        <v>1.1102642478623527E-3</v>
      </c>
      <c r="T509" s="66">
        <f t="shared" si="496"/>
        <v>1.0989734254620233E-3</v>
      </c>
      <c r="U509" s="66">
        <f t="shared" si="496"/>
        <v>1.0876826030616937E-3</v>
      </c>
      <c r="V509" s="66">
        <f t="shared" si="496"/>
        <v>1.0763917806613642E-3</v>
      </c>
      <c r="W509" s="66">
        <f t="shared" si="496"/>
        <v>1.065100958261035E-3</v>
      </c>
      <c r="X509" s="66">
        <f t="shared" si="496"/>
        <v>1.0538101358607058E-3</v>
      </c>
      <c r="Y509" s="66">
        <f t="shared" si="496"/>
        <v>1.0425193134603764E-3</v>
      </c>
      <c r="Z509" s="66">
        <f t="shared" si="496"/>
        <v>1.0312284910600467E-3</v>
      </c>
      <c r="AA509" s="66">
        <f t="shared" si="496"/>
        <v>1.0199376686597175E-3</v>
      </c>
      <c r="AB509" s="66">
        <f t="shared" si="496"/>
        <v>1.0086468462593878E-3</v>
      </c>
      <c r="AC509" s="66">
        <f t="shared" si="496"/>
        <v>9.9735602385905885E-4</v>
      </c>
    </row>
    <row r="510" spans="1:29" x14ac:dyDescent="0.25">
      <c r="A510" s="59" t="str">
        <f>A473</f>
        <v>Market failure (av. utilization)</v>
      </c>
      <c r="B510" s="66">
        <f t="shared" ref="B510:AC510" si="497">B499/B473-B499/B472</f>
        <v>1.2234929353408296E-2</v>
      </c>
      <c r="C510" s="66">
        <f t="shared" si="497"/>
        <v>1.2234929353408296E-2</v>
      </c>
      <c r="D510" s="66">
        <f t="shared" si="497"/>
        <v>1.2234929353408296E-2</v>
      </c>
      <c r="E510" s="66">
        <f t="shared" si="497"/>
        <v>1.2234929353408296E-2</v>
      </c>
      <c r="F510" s="66">
        <f t="shared" si="497"/>
        <v>1.2234929353408296E-2</v>
      </c>
      <c r="G510" s="66">
        <f t="shared" si="497"/>
        <v>1.2234929353408296E-2</v>
      </c>
      <c r="H510" s="66">
        <f t="shared" si="497"/>
        <v>1.2234929353408296E-2</v>
      </c>
      <c r="I510" s="66">
        <f t="shared" si="497"/>
        <v>1.2234929353408296E-2</v>
      </c>
      <c r="J510" s="66">
        <f t="shared" si="497"/>
        <v>1.2274873577967794E-2</v>
      </c>
      <c r="K510" s="66">
        <f t="shared" si="497"/>
        <v>1.2314817802527293E-2</v>
      </c>
      <c r="L510" s="66">
        <f t="shared" si="497"/>
        <v>1.2354762027086789E-2</v>
      </c>
      <c r="M510" s="66">
        <f t="shared" si="497"/>
        <v>1.2394706251646289E-2</v>
      </c>
      <c r="N510" s="66">
        <f t="shared" si="497"/>
        <v>1.2434650476205789E-2</v>
      </c>
      <c r="O510" s="66">
        <f t="shared" si="497"/>
        <v>1.2412862717355153E-2</v>
      </c>
      <c r="P510" s="66">
        <f t="shared" si="497"/>
        <v>1.2391074958504516E-2</v>
      </c>
      <c r="Q510" s="66">
        <f t="shared" si="497"/>
        <v>1.2369287199653882E-2</v>
      </c>
      <c r="R510" s="66">
        <f t="shared" si="497"/>
        <v>1.2347499440803246E-2</v>
      </c>
      <c r="S510" s="66">
        <f t="shared" si="497"/>
        <v>1.2325711681952609E-2</v>
      </c>
      <c r="T510" s="66">
        <f t="shared" si="497"/>
        <v>1.2303923923101975E-2</v>
      </c>
      <c r="U510" s="66">
        <f t="shared" si="497"/>
        <v>1.2282136164251337E-2</v>
      </c>
      <c r="V510" s="66">
        <f t="shared" si="497"/>
        <v>1.2260348405400702E-2</v>
      </c>
      <c r="W510" s="66">
        <f t="shared" si="497"/>
        <v>1.2238560646550068E-2</v>
      </c>
      <c r="X510" s="66">
        <f t="shared" si="497"/>
        <v>1.221677288769943E-2</v>
      </c>
      <c r="Y510" s="66">
        <f t="shared" si="497"/>
        <v>1.2194985128848796E-2</v>
      </c>
      <c r="Z510" s="66">
        <f t="shared" si="497"/>
        <v>1.2173197369998163E-2</v>
      </c>
      <c r="AA510" s="66">
        <f t="shared" si="497"/>
        <v>1.2151409611147523E-2</v>
      </c>
      <c r="AB510" s="66">
        <f t="shared" si="497"/>
        <v>1.2129621852296889E-2</v>
      </c>
      <c r="AC510" s="66">
        <f t="shared" si="497"/>
        <v>1.2107834093446252E-2</v>
      </c>
    </row>
    <row r="511" spans="1:29" x14ac:dyDescent="0.25">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75" thickBot="1" x14ac:dyDescent="0.3">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75" thickBot="1" x14ac:dyDescent="0.3">
      <c r="A513" s="31" t="s">
        <v>505</v>
      </c>
      <c r="B513" s="76">
        <f>B502+B503+B504+B505+B506+B507+B508+B509+B510+B511+B512</f>
        <v>1.8524423013450197E-2</v>
      </c>
      <c r="C513" s="67">
        <f t="shared" ref="C513:AC513" si="500">C502+C503+C504+C505+C506+C507+C508+C509+C510+C511+C512</f>
        <v>1.8524423013450197E-2</v>
      </c>
      <c r="D513" s="67">
        <f t="shared" si="500"/>
        <v>1.8524423013450197E-2</v>
      </c>
      <c r="E513" s="67">
        <f t="shared" si="500"/>
        <v>1.8524423013450197E-2</v>
      </c>
      <c r="F513" s="67">
        <f t="shared" si="500"/>
        <v>1.8524423013450197E-2</v>
      </c>
      <c r="G513" s="67">
        <f t="shared" si="500"/>
        <v>1.8524423013450197E-2</v>
      </c>
      <c r="H513" s="67">
        <f t="shared" si="500"/>
        <v>1.8524423013450197E-2</v>
      </c>
      <c r="I513" s="67">
        <f t="shared" si="500"/>
        <v>1.8524423013450197E-2</v>
      </c>
      <c r="J513" s="67">
        <f t="shared" si="500"/>
        <v>1.8585067079076967E-2</v>
      </c>
      <c r="K513" s="67">
        <f t="shared" si="500"/>
        <v>1.8645711144703737E-2</v>
      </c>
      <c r="L513" s="67">
        <f t="shared" si="500"/>
        <v>1.8706355210330504E-2</v>
      </c>
      <c r="M513" s="67">
        <f t="shared" si="500"/>
        <v>1.8766999275957274E-2</v>
      </c>
      <c r="N513" s="67">
        <f t="shared" si="500"/>
        <v>1.8827643341584044E-2</v>
      </c>
      <c r="O513" s="67">
        <f t="shared" si="500"/>
        <v>1.8794564760333081E-2</v>
      </c>
      <c r="P513" s="67">
        <f t="shared" si="500"/>
        <v>1.8761486179082111E-2</v>
      </c>
      <c r="Q513" s="67">
        <f t="shared" si="500"/>
        <v>1.8728407597831148E-2</v>
      </c>
      <c r="R513" s="67">
        <f t="shared" si="500"/>
        <v>1.8695329016580185E-2</v>
      </c>
      <c r="S513" s="67">
        <f t="shared" si="500"/>
        <v>1.8662250435329219E-2</v>
      </c>
      <c r="T513" s="67">
        <f t="shared" si="500"/>
        <v>1.8629171854078252E-2</v>
      </c>
      <c r="U513" s="67">
        <f t="shared" si="500"/>
        <v>1.859609327282729E-2</v>
      </c>
      <c r="V513" s="67">
        <f t="shared" si="500"/>
        <v>1.8563014691576323E-2</v>
      </c>
      <c r="W513" s="67">
        <f t="shared" si="500"/>
        <v>1.852993611032536E-2</v>
      </c>
      <c r="X513" s="67">
        <f t="shared" si="500"/>
        <v>1.8496857529074394E-2</v>
      </c>
      <c r="Y513" s="67">
        <f t="shared" si="500"/>
        <v>1.8463778947823431E-2</v>
      </c>
      <c r="Z513" s="67">
        <f t="shared" si="500"/>
        <v>1.8430700366572468E-2</v>
      </c>
      <c r="AA513" s="67">
        <f t="shared" si="500"/>
        <v>1.8397621785321498E-2</v>
      </c>
      <c r="AB513" s="67">
        <f t="shared" si="500"/>
        <v>1.8364543204070535E-2</v>
      </c>
      <c r="AC513" s="67">
        <f t="shared" si="500"/>
        <v>1.8331464622819565E-2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299</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Input'!$L$171</f>
        <v>10000000</v>
      </c>
      <c r="C11" s="42">
        <f>'Parameter Input'!$M$171</f>
        <v>6250000</v>
      </c>
      <c r="D11" s="1" t="s">
        <v>138</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151</v>
      </c>
      <c r="B12" s="60">
        <f>'Parameter Input'!$L$172</f>
        <v>-500000</v>
      </c>
      <c r="C12" s="61">
        <f>'Parameter Input'!$M$172</f>
        <v>-937500</v>
      </c>
      <c r="D12" s="1" t="s">
        <v>138</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Input'!$L$178</f>
        <v>0.06</v>
      </c>
      <c r="C15" s="46">
        <f>'Parameter Input'!$M$178</f>
        <v>0.06</v>
      </c>
      <c r="D15" s="1" t="s">
        <v>180</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Input'!$L$174</f>
        <v>1300000</v>
      </c>
      <c r="C17" s="44">
        <f>'Parameter Input'!$M$174</f>
        <v>812500</v>
      </c>
      <c r="D17" s="1" t="s">
        <v>161</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Input'!$L$175</f>
        <v>33.590199999999996</v>
      </c>
      <c r="C19" s="48">
        <f>'Parameter Input'!$M$175</f>
        <v>33.590199999999996</v>
      </c>
      <c r="D19" s="1" t="s">
        <v>184</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Input'!$L$176</f>
        <v>0.13371034051801745</v>
      </c>
      <c r="C20" s="46">
        <f>'Parameter Input'!$M$176</f>
        <v>8.7585019329602734E-2</v>
      </c>
      <c r="D20" s="1" t="s">
        <v>94</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458</v>
      </c>
      <c r="B21" s="115">
        <f>'Parameter Input'!$L$179</f>
        <v>0</v>
      </c>
      <c r="C21" s="116">
        <f>'Parameter Input'!$M$179</f>
        <v>0</v>
      </c>
      <c r="D21" s="1" t="s">
        <v>200</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Input'!$L$173</f>
        <v>20</v>
      </c>
      <c r="C22" s="44">
        <f>'Parameter Input'!$M$173</f>
        <v>20</v>
      </c>
      <c r="D22" s="1" t="s">
        <v>165</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Input'!$L$177</f>
        <v>3.5714285714285712E-2</v>
      </c>
      <c r="C26" s="73">
        <f>'Parameter Input'!$M$177</f>
        <v>1.7857142857142856E-2</v>
      </c>
      <c r="D26" s="1" t="s">
        <v>180</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9.4166661249999992E-2</v>
      </c>
      <c r="C40" s="62">
        <f>'Parameter Input'!K4</f>
        <v>9.4166661249999992E-2</v>
      </c>
      <c r="D40" s="62">
        <f>'Parameter Input'!L4</f>
        <v>9.4166661249999992E-2</v>
      </c>
      <c r="E40" s="62">
        <f>'Parameter Input'!M4</f>
        <v>9.4166661249999992E-2</v>
      </c>
      <c r="F40" s="62">
        <f>'Parameter Input'!N4</f>
        <v>9.4166661249999992E-2</v>
      </c>
      <c r="G40" s="62">
        <f>'Parameter Input'!O4</f>
        <v>9.4166661249999992E-2</v>
      </c>
      <c r="H40" s="62">
        <f>'Parameter Input'!P4</f>
        <v>9.4166661249999992E-2</v>
      </c>
      <c r="I40" s="62">
        <f>'Parameter Input'!Q4</f>
        <v>9.4166661249999992E-2</v>
      </c>
      <c r="J40" s="62">
        <f>'Parameter Input'!R4</f>
        <v>9.5999994399999997E-2</v>
      </c>
      <c r="K40" s="62">
        <f>'Parameter Input'!S4</f>
        <v>9.7833327550000002E-2</v>
      </c>
      <c r="L40" s="62">
        <f>'Parameter Input'!T4</f>
        <v>9.9666660700000007E-2</v>
      </c>
      <c r="M40" s="62">
        <f>'Parameter Input'!U4</f>
        <v>0.10149999385000001</v>
      </c>
      <c r="N40" s="62">
        <f>'Parameter Input'!V4</f>
        <v>0.103333327</v>
      </c>
      <c r="O40" s="62">
        <f>'Parameter Input'!W4</f>
        <v>0.1023333271</v>
      </c>
      <c r="P40" s="62">
        <f>'Parameter Input'!X4</f>
        <v>0.10133332719999999</v>
      </c>
      <c r="Q40" s="62">
        <f>'Parameter Input'!Y4</f>
        <v>0.10033332729999998</v>
      </c>
      <c r="R40" s="62">
        <f>'Parameter Input'!Z4</f>
        <v>9.9333327399999977E-2</v>
      </c>
      <c r="S40" s="62">
        <f>'Parameter Input'!AA4</f>
        <v>9.8333327499999998E-2</v>
      </c>
      <c r="T40" s="62">
        <f>'Parameter Input'!AB4</f>
        <v>9.7333327599999991E-2</v>
      </c>
      <c r="U40" s="62">
        <f>'Parameter Input'!AC4</f>
        <v>9.6333327699999985E-2</v>
      </c>
      <c r="V40" s="62">
        <f>'Parameter Input'!AD4</f>
        <v>9.5333327799999978E-2</v>
      </c>
      <c r="W40" s="62">
        <f>'Parameter Input'!AE4</f>
        <v>9.4333327899999986E-2</v>
      </c>
      <c r="X40" s="62">
        <f>'Parameter Input'!AF4</f>
        <v>9.3333328000000007E-2</v>
      </c>
      <c r="Y40" s="62">
        <f>'Parameter Input'!AG4</f>
        <v>9.2333328100000001E-2</v>
      </c>
      <c r="Z40" s="62">
        <f>'Parameter Input'!AH4</f>
        <v>9.1333328199999994E-2</v>
      </c>
      <c r="AA40" s="62">
        <f>'Parameter Input'!AI4</f>
        <v>9.0333328299999988E-2</v>
      </c>
      <c r="AB40" s="62">
        <f>'Parameter Input'!AJ4</f>
        <v>8.9333328399999981E-2</v>
      </c>
      <c r="AC40" s="62">
        <f>'Parameter Input'!AK4</f>
        <v>8.8333328500000016E-2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197</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25">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564609.2417724753</v>
      </c>
      <c r="C57" s="62">
        <f t="shared" ref="C57:AC57" si="57">C39*C40*C47</f>
        <v>564609.2417724753</v>
      </c>
      <c r="D57" s="62">
        <f t="shared" si="57"/>
        <v>564609.2417724753</v>
      </c>
      <c r="E57" s="62">
        <f t="shared" si="57"/>
        <v>564609.2417724753</v>
      </c>
      <c r="F57" s="62">
        <f t="shared" si="57"/>
        <v>564609.2417724753</v>
      </c>
      <c r="G57" s="62">
        <f t="shared" si="57"/>
        <v>564609.2417724753</v>
      </c>
      <c r="H57" s="62">
        <f t="shared" si="57"/>
        <v>564609.2417724753</v>
      </c>
      <c r="I57" s="62">
        <f t="shared" si="57"/>
        <v>564609.2417724753</v>
      </c>
      <c r="J57" s="62">
        <f t="shared" si="57"/>
        <v>575601.63362323598</v>
      </c>
      <c r="K57" s="62">
        <f t="shared" si="57"/>
        <v>586594.02547399676</v>
      </c>
      <c r="L57" s="62">
        <f t="shared" si="57"/>
        <v>597586.41732475744</v>
      </c>
      <c r="M57" s="62">
        <f t="shared" si="57"/>
        <v>608578.80917551811</v>
      </c>
      <c r="N57" s="62">
        <f t="shared" si="57"/>
        <v>619571.20102627878</v>
      </c>
      <c r="O57" s="62">
        <f t="shared" si="57"/>
        <v>613575.35092586384</v>
      </c>
      <c r="P57" s="62">
        <f t="shared" si="57"/>
        <v>607579.50082544889</v>
      </c>
      <c r="Q57" s="62">
        <f t="shared" si="57"/>
        <v>601583.65072503395</v>
      </c>
      <c r="R57" s="62">
        <f t="shared" si="57"/>
        <v>595587.80062461901</v>
      </c>
      <c r="S57" s="62">
        <f t="shared" si="57"/>
        <v>589591.95052420418</v>
      </c>
      <c r="T57" s="62">
        <f t="shared" si="57"/>
        <v>583596.10042378923</v>
      </c>
      <c r="U57" s="62">
        <f t="shared" si="57"/>
        <v>577600.25032337429</v>
      </c>
      <c r="V57" s="62">
        <f t="shared" si="57"/>
        <v>571604.40022295923</v>
      </c>
      <c r="W57" s="62">
        <f t="shared" si="57"/>
        <v>565608.5501225444</v>
      </c>
      <c r="X57" s="62">
        <f t="shared" si="57"/>
        <v>559612.70002212957</v>
      </c>
      <c r="Y57" s="62">
        <f t="shared" si="57"/>
        <v>553616.84992171463</v>
      </c>
      <c r="Z57" s="62">
        <f t="shared" si="57"/>
        <v>547620.99982129969</v>
      </c>
      <c r="AA57" s="62">
        <f t="shared" si="57"/>
        <v>541625.14972088463</v>
      </c>
      <c r="AB57" s="62">
        <f t="shared" si="57"/>
        <v>535629.29962046968</v>
      </c>
      <c r="AC57" s="62">
        <f t="shared" si="57"/>
        <v>529633.44952005497</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504</v>
      </c>
      <c r="B59" s="64">
        <f>B50+B51+B52+B53+B54+B55+B56+B57+B58</f>
        <v>4321475.740321029</v>
      </c>
      <c r="C59" s="64">
        <f t="shared" ref="C59:AC59" si="59">C50+C51+C52+C53+C54+C55+C56+C57+C58</f>
        <v>4316656.2766932677</v>
      </c>
      <c r="D59" s="64">
        <f t="shared" si="59"/>
        <v>4309813.3292205771</v>
      </c>
      <c r="E59" s="64">
        <f t="shared" si="59"/>
        <v>4300141.4805331975</v>
      </c>
      <c r="F59" s="64">
        <f t="shared" si="59"/>
        <v>4286562.37947072</v>
      </c>
      <c r="G59" s="64">
        <f t="shared" si="59"/>
        <v>4267682.4996275473</v>
      </c>
      <c r="H59" s="64">
        <f t="shared" si="59"/>
        <v>4241798.8906602692</v>
      </c>
      <c r="I59" s="64">
        <f t="shared" si="59"/>
        <v>4207014.0937836505</v>
      </c>
      <c r="J59" s="64">
        <f t="shared" si="59"/>
        <v>4172536.0361881228</v>
      </c>
      <c r="K59" s="64">
        <f t="shared" si="59"/>
        <v>4126266.0824647658</v>
      </c>
      <c r="L59" s="64">
        <f t="shared" si="59"/>
        <v>4068545.3033424718</v>
      </c>
      <c r="M59" s="64">
        <f t="shared" si="59"/>
        <v>4001838.6517731603</v>
      </c>
      <c r="N59" s="64">
        <f t="shared" si="59"/>
        <v>3930804.482276503</v>
      </c>
      <c r="O59" s="64">
        <f t="shared" si="59"/>
        <v>3844396.2001296086</v>
      </c>
      <c r="P59" s="64">
        <f t="shared" si="59"/>
        <v>3765199.2579636076</v>
      </c>
      <c r="Q59" s="64">
        <f t="shared" si="59"/>
        <v>3696992.9036434116</v>
      </c>
      <c r="R59" s="64">
        <f t="shared" si="59"/>
        <v>3641177.5809330223</v>
      </c>
      <c r="S59" s="64">
        <f t="shared" si="59"/>
        <v>3597167.2620852115</v>
      </c>
      <c r="T59" s="64">
        <f t="shared" si="59"/>
        <v>3563227.7286906601</v>
      </c>
      <c r="U59" s="64">
        <f t="shared" si="59"/>
        <v>3537252.5492868247</v>
      </c>
      <c r="V59" s="64">
        <f t="shared" si="59"/>
        <v>3517254.139885081</v>
      </c>
      <c r="W59" s="64">
        <f t="shared" si="59"/>
        <v>3501581.6606428912</v>
      </c>
      <c r="X59" s="64">
        <f t="shared" si="59"/>
        <v>3488963.611015833</v>
      </c>
      <c r="Y59" s="64">
        <f t="shared" si="59"/>
        <v>3478466.1078077797</v>
      </c>
      <c r="Z59" s="64">
        <f t="shared" si="59"/>
        <v>3469424.0391411427</v>
      </c>
      <c r="AA59" s="64">
        <f t="shared" si="59"/>
        <v>3461373.2068156395</v>
      </c>
      <c r="AB59" s="64">
        <f t="shared" si="59"/>
        <v>3453993.9528895807</v>
      </c>
      <c r="AC59" s="64">
        <f t="shared" si="59"/>
        <v>3447068.1100966185</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25">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3.1630769847197495</v>
      </c>
      <c r="C69" s="66">
        <f t="shared" ref="C69:AC69" si="68">C39*C40*C47/C47</f>
        <v>3.1630769847197495</v>
      </c>
      <c r="D69" s="66">
        <f t="shared" si="68"/>
        <v>3.1630769847197495</v>
      </c>
      <c r="E69" s="66">
        <f t="shared" si="68"/>
        <v>3.1630769847197495</v>
      </c>
      <c r="F69" s="66">
        <f t="shared" si="68"/>
        <v>3.1630769847197495</v>
      </c>
      <c r="G69" s="66">
        <f t="shared" si="68"/>
        <v>3.1630769847197495</v>
      </c>
      <c r="H69" s="66">
        <f t="shared" si="68"/>
        <v>3.1630769847197495</v>
      </c>
      <c r="I69" s="66">
        <f t="shared" si="68"/>
        <v>3.1630769847197495</v>
      </c>
      <c r="J69" s="66">
        <f t="shared" si="68"/>
        <v>3.2246590118948792</v>
      </c>
      <c r="K69" s="66">
        <f t="shared" si="68"/>
        <v>3.2862410390700099</v>
      </c>
      <c r="L69" s="66">
        <f t="shared" si="68"/>
        <v>3.3478230662451396</v>
      </c>
      <c r="M69" s="66">
        <f t="shared" si="68"/>
        <v>3.4094050934202693</v>
      </c>
      <c r="N69" s="66">
        <f t="shared" si="68"/>
        <v>3.4709871205953995</v>
      </c>
      <c r="O69" s="66">
        <f t="shared" si="68"/>
        <v>3.4373969239544193</v>
      </c>
      <c r="P69" s="66">
        <f t="shared" si="68"/>
        <v>3.4038067273134391</v>
      </c>
      <c r="Q69" s="66">
        <f t="shared" si="68"/>
        <v>3.370216530672459</v>
      </c>
      <c r="R69" s="66">
        <f t="shared" si="68"/>
        <v>3.3366263340314792</v>
      </c>
      <c r="S69" s="66">
        <f t="shared" si="68"/>
        <v>3.3030361373904995</v>
      </c>
      <c r="T69" s="66">
        <f t="shared" si="68"/>
        <v>3.2694459407495193</v>
      </c>
      <c r="U69" s="66">
        <f t="shared" si="68"/>
        <v>3.2358557441085396</v>
      </c>
      <c r="V69" s="66">
        <f t="shared" si="68"/>
        <v>3.2022655474675585</v>
      </c>
      <c r="W69" s="66">
        <f t="shared" si="68"/>
        <v>3.1686753508265793</v>
      </c>
      <c r="X69" s="66">
        <f t="shared" si="68"/>
        <v>3.1350851541856</v>
      </c>
      <c r="Y69" s="66">
        <f t="shared" si="68"/>
        <v>3.1014949575446198</v>
      </c>
      <c r="Z69" s="66">
        <f t="shared" si="68"/>
        <v>3.0679047609036396</v>
      </c>
      <c r="AA69" s="66">
        <f t="shared" si="68"/>
        <v>3.034314564262659</v>
      </c>
      <c r="AB69" s="66">
        <f t="shared" si="68"/>
        <v>3.0007243676216788</v>
      </c>
      <c r="AC69" s="66">
        <f t="shared" si="68"/>
        <v>2.9671341709807</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187</v>
      </c>
      <c r="B71" s="76">
        <f>B62+B63+B64-B65+B66+B67+B68+B69+B70</f>
        <v>24.380886740318481</v>
      </c>
      <c r="C71" s="76">
        <f t="shared" ref="C71:AC71" si="71">C62+C63+C64-C65+C66+C67+C68+C69+C70</f>
        <v>24.353886944084529</v>
      </c>
      <c r="D71" s="76">
        <f t="shared" si="71"/>
        <v>24.315551103901385</v>
      </c>
      <c r="E71" s="76">
        <f t="shared" si="71"/>
        <v>24.261367077641552</v>
      </c>
      <c r="F71" s="76">
        <f t="shared" si="71"/>
        <v>24.185293682333551</v>
      </c>
      <c r="G71" s="76">
        <f t="shared" si="71"/>
        <v>24.0795240473578</v>
      </c>
      <c r="H71" s="76">
        <f t="shared" si="71"/>
        <v>23.934517834655956</v>
      </c>
      <c r="I71" s="76">
        <f t="shared" si="71"/>
        <v>23.739645023022241</v>
      </c>
      <c r="J71" s="76">
        <f t="shared" si="71"/>
        <v>23.546490638733573</v>
      </c>
      <c r="K71" s="76">
        <f t="shared" si="71"/>
        <v>23.287275211711965</v>
      </c>
      <c r="L71" s="76">
        <f t="shared" si="71"/>
        <v>22.963909502343373</v>
      </c>
      <c r="M71" s="76">
        <f t="shared" si="71"/>
        <v>22.590202770862632</v>
      </c>
      <c r="N71" s="76">
        <f t="shared" si="71"/>
        <v>22.1922522414696</v>
      </c>
      <c r="O71" s="76">
        <f t="shared" si="71"/>
        <v>21.708172229442177</v>
      </c>
      <c r="P71" s="76">
        <f t="shared" si="71"/>
        <v>21.264491881173264</v>
      </c>
      <c r="Q71" s="76">
        <f t="shared" si="71"/>
        <v>20.882383453609137</v>
      </c>
      <c r="R71" s="76">
        <f t="shared" si="71"/>
        <v>20.569692570077542</v>
      </c>
      <c r="S71" s="76">
        <f t="shared" si="71"/>
        <v>20.323136161966563</v>
      </c>
      <c r="T71" s="76">
        <f t="shared" si="71"/>
        <v>20.132998719980282</v>
      </c>
      <c r="U71" s="76">
        <f t="shared" si="71"/>
        <v>19.987479507633864</v>
      </c>
      <c r="V71" s="76">
        <f t="shared" si="71"/>
        <v>19.875443600621292</v>
      </c>
      <c r="W71" s="76">
        <f t="shared" si="71"/>
        <v>19.787642596463368</v>
      </c>
      <c r="X71" s="76">
        <f t="shared" si="71"/>
        <v>19.716953242810384</v>
      </c>
      <c r="Y71" s="76">
        <f t="shared" si="71"/>
        <v>19.658143701028571</v>
      </c>
      <c r="Z71" s="76">
        <f t="shared" si="71"/>
        <v>19.607487854156652</v>
      </c>
      <c r="AA71" s="76">
        <f t="shared" si="71"/>
        <v>19.562385152052993</v>
      </c>
      <c r="AB71" s="76">
        <f t="shared" si="71"/>
        <v>19.521044793923814</v>
      </c>
      <c r="AC71" s="76">
        <f t="shared" si="71"/>
        <v>19.482244554187325</v>
      </c>
    </row>
    <row r="72" spans="1:29" ht="15.75" thickBot="1" x14ac:dyDescent="0.3"/>
    <row r="73" spans="1:29" ht="15.75" thickBot="1" x14ac:dyDescent="0.3">
      <c r="A73" s="26" t="s">
        <v>503</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25">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1.4120879396070311E-3</v>
      </c>
      <c r="C81" s="66">
        <f t="shared" ref="C81:AC81" si="80">C39*C40*C47/C47/(C44)</f>
        <v>1.4120879396070311E-3</v>
      </c>
      <c r="D81" s="66">
        <f t="shared" si="80"/>
        <v>1.4120879396070311E-3</v>
      </c>
      <c r="E81" s="66">
        <f t="shared" si="80"/>
        <v>1.4120879396070311E-3</v>
      </c>
      <c r="F81" s="66">
        <f t="shared" si="80"/>
        <v>1.4120879396070311E-3</v>
      </c>
      <c r="G81" s="66">
        <f t="shared" si="80"/>
        <v>1.4120879396070311E-3</v>
      </c>
      <c r="H81" s="66">
        <f t="shared" si="80"/>
        <v>1.4120879396070311E-3</v>
      </c>
      <c r="I81" s="66">
        <f t="shared" si="80"/>
        <v>1.4120879396070311E-3</v>
      </c>
      <c r="J81" s="66">
        <f t="shared" si="80"/>
        <v>1.4395799160244996E-3</v>
      </c>
      <c r="K81" s="66">
        <f t="shared" si="80"/>
        <v>1.4670718924419688E-3</v>
      </c>
      <c r="L81" s="66">
        <f t="shared" si="80"/>
        <v>1.4945638688594373E-3</v>
      </c>
      <c r="M81" s="66">
        <f t="shared" si="80"/>
        <v>1.522055845276906E-3</v>
      </c>
      <c r="N81" s="66">
        <f t="shared" si="80"/>
        <v>1.5495478216943747E-3</v>
      </c>
      <c r="O81" s="66">
        <f t="shared" si="80"/>
        <v>1.5345521981939372E-3</v>
      </c>
      <c r="P81" s="66">
        <f t="shared" si="80"/>
        <v>1.5195565746934996E-3</v>
      </c>
      <c r="Q81" s="66">
        <f t="shared" si="80"/>
        <v>1.5045609511930621E-3</v>
      </c>
      <c r="R81" s="66">
        <f t="shared" si="80"/>
        <v>1.4895653276926248E-3</v>
      </c>
      <c r="S81" s="66">
        <f t="shared" si="80"/>
        <v>1.4745697041921872E-3</v>
      </c>
      <c r="T81" s="66">
        <f t="shared" si="80"/>
        <v>1.4595740806917497E-3</v>
      </c>
      <c r="U81" s="66">
        <f t="shared" si="80"/>
        <v>1.4445784571913123E-3</v>
      </c>
      <c r="V81" s="66">
        <f t="shared" si="80"/>
        <v>1.4295828336908744E-3</v>
      </c>
      <c r="W81" s="66">
        <f t="shared" si="80"/>
        <v>1.4145872101904372E-3</v>
      </c>
      <c r="X81" s="66">
        <f t="shared" si="80"/>
        <v>1.3995915866899999E-3</v>
      </c>
      <c r="Y81" s="66">
        <f t="shared" si="80"/>
        <v>1.3845959631895624E-3</v>
      </c>
      <c r="Z81" s="66">
        <f t="shared" si="80"/>
        <v>1.3696003396891248E-3</v>
      </c>
      <c r="AA81" s="66">
        <f t="shared" si="80"/>
        <v>1.3546047161886871E-3</v>
      </c>
      <c r="AB81" s="66">
        <f t="shared" si="80"/>
        <v>1.3396090926882495E-3</v>
      </c>
      <c r="AC81" s="66">
        <f t="shared" si="80"/>
        <v>1.3246134691878124E-3</v>
      </c>
    </row>
    <row r="82" spans="1:29" x14ac:dyDescent="0.25">
      <c r="A82" s="59" t="str">
        <f>A45</f>
        <v>Market failure (av. utilization)</v>
      </c>
      <c r="B82" s="66">
        <f t="shared" ref="B82:AC82" si="81">B71/B45-B71/B44</f>
        <v>6.1224324961737259E-3</v>
      </c>
      <c r="C82" s="66">
        <f t="shared" si="81"/>
        <v>6.1156524134140817E-3</v>
      </c>
      <c r="D82" s="66">
        <f t="shared" si="81"/>
        <v>6.1060256678323772E-3</v>
      </c>
      <c r="E82" s="66">
        <f t="shared" si="81"/>
        <v>6.0924191880238256E-3</v>
      </c>
      <c r="F82" s="66">
        <f t="shared" si="81"/>
        <v>6.0733159358538468E-3</v>
      </c>
      <c r="G82" s="66">
        <f t="shared" si="81"/>
        <v>6.0467554806423029E-3</v>
      </c>
      <c r="H82" s="66">
        <f t="shared" si="81"/>
        <v>6.010342090175879E-3</v>
      </c>
      <c r="I82" s="66">
        <f t="shared" si="81"/>
        <v>5.9614063952901832E-3</v>
      </c>
      <c r="J82" s="66">
        <f t="shared" si="81"/>
        <v>5.9129022251284066E-3</v>
      </c>
      <c r="K82" s="66">
        <f t="shared" si="81"/>
        <v>5.8478090654410612E-3</v>
      </c>
      <c r="L82" s="66">
        <f t="shared" si="81"/>
        <v>5.7666067388697072E-3</v>
      </c>
      <c r="M82" s="66">
        <f t="shared" si="81"/>
        <v>5.6727629725938505E-3</v>
      </c>
      <c r="N82" s="66">
        <f t="shared" si="81"/>
        <v>5.5728311990297531E-3</v>
      </c>
      <c r="O82" s="66">
        <f t="shared" si="81"/>
        <v>5.4512709281523321E-3</v>
      </c>
      <c r="P82" s="66">
        <f t="shared" si="81"/>
        <v>5.3398556621249808E-3</v>
      </c>
      <c r="Q82" s="66">
        <f t="shared" si="81"/>
        <v>5.2439020949353286E-3</v>
      </c>
      <c r="R82" s="66">
        <f t="shared" si="81"/>
        <v>5.1653803886913454E-3</v>
      </c>
      <c r="S82" s="66">
        <f t="shared" si="81"/>
        <v>5.103466112100977E-3</v>
      </c>
      <c r="T82" s="66">
        <f t="shared" si="81"/>
        <v>5.0557195446379044E-3</v>
      </c>
      <c r="U82" s="66">
        <f t="shared" si="81"/>
        <v>5.0191773317160918E-3</v>
      </c>
      <c r="V82" s="66">
        <f t="shared" si="81"/>
        <v>4.9910433148881578E-3</v>
      </c>
      <c r="W82" s="66">
        <f t="shared" si="81"/>
        <v>4.9689950716565352E-3</v>
      </c>
      <c r="X82" s="66">
        <f t="shared" si="81"/>
        <v>4.9512438388753729E-3</v>
      </c>
      <c r="Y82" s="66">
        <f t="shared" si="81"/>
        <v>4.9364758177806098E-3</v>
      </c>
      <c r="Z82" s="66">
        <f t="shared" si="81"/>
        <v>4.9237553205192467E-3</v>
      </c>
      <c r="AA82" s="66">
        <f t="shared" si="81"/>
        <v>4.9124293071561628E-3</v>
      </c>
      <c r="AB82" s="66">
        <f t="shared" si="81"/>
        <v>4.9020480788313139E-3</v>
      </c>
      <c r="AC82" s="66">
        <f t="shared" si="81"/>
        <v>4.8923047150582002E-3</v>
      </c>
    </row>
    <row r="83" spans="1:29" x14ac:dyDescent="0.25">
      <c r="A83" s="59" t="str">
        <f>A46</f>
        <v>Payload loss (fuel)</v>
      </c>
      <c r="B83" s="66">
        <f>B71/(B44-B46)-B71/B44</f>
        <v>4.0036420099615229E-4</v>
      </c>
      <c r="C83" s="66">
        <f t="shared" ref="C83:AC83" si="82">C71/(C44-C46)-C71/C44</f>
        <v>3.9874126072898981E-4</v>
      </c>
      <c r="D83" s="66">
        <f t="shared" si="82"/>
        <v>3.9644183471800737E-4</v>
      </c>
      <c r="E83" s="66">
        <f t="shared" si="82"/>
        <v>3.9320165276380409E-4</v>
      </c>
      <c r="F83" s="66">
        <f t="shared" si="82"/>
        <v>3.8867192486630175E-4</v>
      </c>
      <c r="G83" s="66">
        <f t="shared" si="82"/>
        <v>3.8241163591169573E-4</v>
      </c>
      <c r="H83" s="66">
        <f t="shared" si="82"/>
        <v>3.7390015876824154E-4</v>
      </c>
      <c r="I83" s="66">
        <f t="shared" si="82"/>
        <v>3.6259100481412024E-4</v>
      </c>
      <c r="J83" s="66">
        <f t="shared" si="82"/>
        <v>3.4894353810930277E-4</v>
      </c>
      <c r="K83" s="66">
        <f t="shared" si="82"/>
        <v>3.3180858628528882E-4</v>
      </c>
      <c r="L83" s="66">
        <f t="shared" si="82"/>
        <v>3.1151350742250096E-4</v>
      </c>
      <c r="M83" s="66">
        <f t="shared" si="82"/>
        <v>2.8904864119112458E-4</v>
      </c>
      <c r="N83" s="66">
        <f t="shared" si="82"/>
        <v>2.6597796519591335E-4</v>
      </c>
      <c r="O83" s="66">
        <f t="shared" si="82"/>
        <v>2.4299577711931093E-4</v>
      </c>
      <c r="P83" s="66">
        <f t="shared" si="82"/>
        <v>2.2275975188669299E-4</v>
      </c>
      <c r="Q83" s="66">
        <f t="shared" si="82"/>
        <v>2.0605007195978291E-4</v>
      </c>
      <c r="R83" s="66">
        <f t="shared" si="82"/>
        <v>1.9296518162455374E-4</v>
      </c>
      <c r="S83" s="66">
        <f t="shared" si="82"/>
        <v>1.8312775648397957E-4</v>
      </c>
      <c r="T83" s="66">
        <f t="shared" si="82"/>
        <v>1.7594284266629276E-4</v>
      </c>
      <c r="U83" s="66">
        <f t="shared" si="82"/>
        <v>1.707912643513082E-4</v>
      </c>
      <c r="V83" s="66">
        <f t="shared" si="82"/>
        <v>1.671319060104412E-4</v>
      </c>
      <c r="W83" s="66">
        <f t="shared" si="82"/>
        <v>1.6453551555465663E-4</v>
      </c>
      <c r="X83" s="66">
        <f t="shared" si="82"/>
        <v>1.62681138897839E-4</v>
      </c>
      <c r="Y83" s="66">
        <f t="shared" si="82"/>
        <v>1.6133767803556444E-4</v>
      </c>
      <c r="Z83" s="66">
        <f t="shared" si="82"/>
        <v>1.6034276965655458E-4</v>
      </c>
      <c r="AA83" s="66">
        <f t="shared" si="82"/>
        <v>1.595841707120009E-4</v>
      </c>
      <c r="AB83" s="66">
        <f t="shared" si="82"/>
        <v>1.5898511357887238E-4</v>
      </c>
      <c r="AC83" s="66">
        <f t="shared" si="82"/>
        <v>1.58493466725005E-4</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505</v>
      </c>
      <c r="B85" s="77">
        <f>B74+B75+B76+B77+B78+B79+B80+B81+B82+B83+B84</f>
        <v>1.733080925299478E-2</v>
      </c>
      <c r="C85" s="77">
        <f t="shared" ref="C85:AC85" si="84">C74+C75+C76+C77+C78+C79+C80+C81+C82+C83+C84</f>
        <v>1.7310352749506382E-2</v>
      </c>
      <c r="D85" s="77">
        <f t="shared" si="84"/>
        <v>1.7281312363546224E-2</v>
      </c>
      <c r="E85" s="77">
        <f t="shared" si="84"/>
        <v>1.7240276404346045E-2</v>
      </c>
      <c r="F85" s="77">
        <f t="shared" si="84"/>
        <v>1.7182682087087495E-2</v>
      </c>
      <c r="G85" s="77">
        <f t="shared" si="84"/>
        <v>1.7102642755878597E-2</v>
      </c>
      <c r="H85" s="77">
        <f t="shared" si="84"/>
        <v>1.6992982971883966E-2</v>
      </c>
      <c r="I85" s="77">
        <f t="shared" si="84"/>
        <v>1.6845741332136243E-2</v>
      </c>
      <c r="J85" s="77">
        <f t="shared" si="84"/>
        <v>1.6697360059426493E-2</v>
      </c>
      <c r="K85" s="77">
        <f t="shared" si="84"/>
        <v>1.6499410775137627E-2</v>
      </c>
      <c r="L85" s="77">
        <f t="shared" si="84"/>
        <v>1.6253553678021081E-2</v>
      </c>
      <c r="M85" s="77">
        <f t="shared" si="84"/>
        <v>1.5970411683245658E-2</v>
      </c>
      <c r="N85" s="77">
        <f t="shared" si="84"/>
        <v>1.5669752747350177E-2</v>
      </c>
      <c r="O85" s="77">
        <f t="shared" si="84"/>
        <v>1.5309103140169622E-2</v>
      </c>
      <c r="P85" s="77">
        <f t="shared" si="84"/>
        <v>1.4979380264861031E-2</v>
      </c>
      <c r="Q85" s="77">
        <f t="shared" si="84"/>
        <v>1.46961328982962E-2</v>
      </c>
      <c r="R85" s="77">
        <f t="shared" si="84"/>
        <v>1.4464932157283242E-2</v>
      </c>
      <c r="S85" s="77">
        <f t="shared" si="84"/>
        <v>1.4283110630502752E-2</v>
      </c>
      <c r="T85" s="77">
        <f t="shared" si="84"/>
        <v>1.4143296362620975E-2</v>
      </c>
      <c r="U85" s="77">
        <f t="shared" si="84"/>
        <v>1.4036638637300956E-2</v>
      </c>
      <c r="V85" s="77">
        <f t="shared" si="84"/>
        <v>1.3954829232215828E-2</v>
      </c>
      <c r="W85" s="77">
        <f t="shared" si="84"/>
        <v>1.3890987721672203E-2</v>
      </c>
      <c r="X85" s="77">
        <f t="shared" si="84"/>
        <v>1.3839824365067713E-2</v>
      </c>
      <c r="Y85" s="77">
        <f t="shared" si="84"/>
        <v>1.3797458623386652E-2</v>
      </c>
      <c r="Z85" s="77">
        <f t="shared" si="84"/>
        <v>1.3761129000392745E-2</v>
      </c>
      <c r="AA85" s="77">
        <f t="shared" si="84"/>
        <v>1.3728909253217401E-2</v>
      </c>
      <c r="AB85" s="77">
        <f t="shared" si="84"/>
        <v>1.3699473450737468E-2</v>
      </c>
      <c r="AC85" s="77">
        <f t="shared" si="84"/>
        <v>1.3671916904513842E-2</v>
      </c>
    </row>
    <row r="87" spans="1:29" x14ac:dyDescent="0.25">
      <c r="B87" s="40"/>
    </row>
    <row r="107" spans="1:2" s="3" customFormat="1" ht="21" x14ac:dyDescent="0.35">
      <c r="A107" s="2" t="str">
        <f>'Parameter Input'!A158</f>
        <v>Railway long-haul: Liquid bulk</v>
      </c>
    </row>
    <row r="108" spans="1:2" s="3" customFormat="1" ht="21" x14ac:dyDescent="0.35">
      <c r="A108" s="2" t="s">
        <v>299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Input'!$L$171</f>
        <v>10000000</v>
      </c>
      <c r="C117" s="42">
        <f>'Parameter Input'!$M$171</f>
        <v>6250000</v>
      </c>
      <c r="D117" s="1" t="s">
        <v>138</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151</v>
      </c>
      <c r="B118" s="60">
        <f>'Parameter Input'!$L$172</f>
        <v>-500000</v>
      </c>
      <c r="C118" s="61">
        <f>'Parameter Input'!$M$172</f>
        <v>-937500</v>
      </c>
      <c r="D118" s="1" t="s">
        <v>138</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203</v>
      </c>
      <c r="B121" s="45">
        <f>'Parameter Input'!$L$178</f>
        <v>0.06</v>
      </c>
      <c r="C121" s="46">
        <f>'Parameter Input'!$M$178</f>
        <v>0.06</v>
      </c>
      <c r="D121" s="1" t="s">
        <v>180</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175</v>
      </c>
      <c r="B123" s="43">
        <f>'Parameter Input'!$L$174</f>
        <v>1300000</v>
      </c>
      <c r="C123" s="44">
        <f>'Parameter Input'!$M$174</f>
        <v>812500</v>
      </c>
      <c r="D123" s="1" t="s">
        <v>161</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183</v>
      </c>
      <c r="B125" s="47">
        <f>'Parameter Input'!$L$175</f>
        <v>33.590199999999996</v>
      </c>
      <c r="C125" s="48">
        <f>'Parameter Input'!$M$175</f>
        <v>33.590199999999996</v>
      </c>
      <c r="D125" s="1" t="s">
        <v>184</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191</v>
      </c>
      <c r="B126" s="45">
        <f>'Parameter Input'!$L$176</f>
        <v>0.13371034051801745</v>
      </c>
      <c r="C126" s="46">
        <f>'Parameter Input'!$M$176</f>
        <v>8.7585019329602734E-2</v>
      </c>
      <c r="D126" s="1" t="s">
        <v>94</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458</v>
      </c>
      <c r="B127" s="115">
        <f>'Parameter Input'!$L$179</f>
        <v>0</v>
      </c>
      <c r="C127" s="116">
        <f>'Parameter Input'!$M$179</f>
        <v>0</v>
      </c>
      <c r="D127" s="1" t="s">
        <v>200</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164</v>
      </c>
      <c r="B128" s="43">
        <f>'Parameter Input'!$L$173</f>
        <v>20</v>
      </c>
      <c r="C128" s="44">
        <f>'Parameter Input'!$M$173</f>
        <v>20</v>
      </c>
      <c r="D128" s="1" t="s">
        <v>165</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197</v>
      </c>
      <c r="B132" s="72">
        <f>'Parameter Input'!$L$177</f>
        <v>3.5714285714285712E-2</v>
      </c>
      <c r="C132" s="73">
        <f>'Parameter Input'!$M$177</f>
        <v>1.7857142857142856E-2</v>
      </c>
      <c r="D132" s="1" t="s">
        <v>180</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25">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25">
      <c r="A146" s="30" t="str">
        <f t="shared" si="90"/>
        <v>Fuel Cost</v>
      </c>
      <c r="B146" s="62">
        <f>'Parameter Input'!J4</f>
        <v>9.4166661249999992E-2</v>
      </c>
      <c r="C146" s="62">
        <f>'Parameter Input'!K4</f>
        <v>9.4166661249999992E-2</v>
      </c>
      <c r="D146" s="62">
        <f>'Parameter Input'!L4</f>
        <v>9.4166661249999992E-2</v>
      </c>
      <c r="E146" s="62">
        <f>'Parameter Input'!M4</f>
        <v>9.4166661249999992E-2</v>
      </c>
      <c r="F146" s="62">
        <f>'Parameter Input'!N4</f>
        <v>9.4166661249999992E-2</v>
      </c>
      <c r="G146" s="62">
        <f>'Parameter Input'!O4</f>
        <v>9.4166661249999992E-2</v>
      </c>
      <c r="H146" s="62">
        <f>'Parameter Input'!P4</f>
        <v>9.4166661249999992E-2</v>
      </c>
      <c r="I146" s="62">
        <f>'Parameter Input'!Q4</f>
        <v>9.4166661249999992E-2</v>
      </c>
      <c r="J146" s="62">
        <f>'Parameter Input'!R4</f>
        <v>9.5999994399999997E-2</v>
      </c>
      <c r="K146" s="62">
        <f>'Parameter Input'!S4</f>
        <v>9.7833327550000002E-2</v>
      </c>
      <c r="L146" s="62">
        <f>'Parameter Input'!T4</f>
        <v>9.9666660700000007E-2</v>
      </c>
      <c r="M146" s="62">
        <f>'Parameter Input'!U4</f>
        <v>0.10149999385000001</v>
      </c>
      <c r="N146" s="62">
        <f>'Parameter Input'!V4</f>
        <v>0.103333327</v>
      </c>
      <c r="O146" s="62">
        <f>'Parameter Input'!W4</f>
        <v>0.1023333271</v>
      </c>
      <c r="P146" s="62">
        <f>'Parameter Input'!X4</f>
        <v>0.10133332719999999</v>
      </c>
      <c r="Q146" s="62">
        <f>'Parameter Input'!Y4</f>
        <v>0.10033332729999998</v>
      </c>
      <c r="R146" s="62">
        <f>'Parameter Input'!Z4</f>
        <v>9.9333327399999977E-2</v>
      </c>
      <c r="S146" s="62">
        <f>'Parameter Input'!AA4</f>
        <v>9.8333327499999998E-2</v>
      </c>
      <c r="T146" s="62">
        <f>'Parameter Input'!AB4</f>
        <v>9.7333327599999991E-2</v>
      </c>
      <c r="U146" s="62">
        <f>'Parameter Input'!AC4</f>
        <v>9.6333327699999985E-2</v>
      </c>
      <c r="V146" s="62">
        <f>'Parameter Input'!AD4</f>
        <v>9.5333327799999978E-2</v>
      </c>
      <c r="W146" s="62">
        <f>'Parameter Input'!AE4</f>
        <v>9.4333327899999986E-2</v>
      </c>
      <c r="X146" s="62">
        <f>'Parameter Input'!AF4</f>
        <v>9.3333328000000007E-2</v>
      </c>
      <c r="Y146" s="62">
        <f>'Parameter Input'!AG4</f>
        <v>9.2333328100000001E-2</v>
      </c>
      <c r="Z146" s="62">
        <f>'Parameter Input'!AH4</f>
        <v>9.1333328199999994E-2</v>
      </c>
      <c r="AA146" s="62">
        <f>'Parameter Input'!AI4</f>
        <v>9.0333328299999988E-2</v>
      </c>
      <c r="AB146" s="62">
        <f>'Parameter Input'!AJ4</f>
        <v>8.9333328399999981E-2</v>
      </c>
      <c r="AC146" s="62">
        <f>'Parameter Input'!AK4</f>
        <v>8.8333328500000016E-2</v>
      </c>
    </row>
    <row r="147" spans="1:29" x14ac:dyDescent="0.25">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25">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25">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25">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25">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25">
      <c r="A152" s="30" t="s">
        <v>197</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25">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25">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25">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25">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25">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25">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25">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25">
      <c r="A163" s="30" t="str">
        <f>A146</f>
        <v>Fuel Cost</v>
      </c>
      <c r="B163" s="62">
        <f>B145*B146*B153</f>
        <v>564609.2417724753</v>
      </c>
      <c r="C163" s="62">
        <f t="shared" ref="C163:AC163" si="135">C145*C146*C153</f>
        <v>564609.2417724753</v>
      </c>
      <c r="D163" s="62">
        <f t="shared" si="135"/>
        <v>564609.2417724753</v>
      </c>
      <c r="E163" s="62">
        <f t="shared" si="135"/>
        <v>564609.2417724753</v>
      </c>
      <c r="F163" s="62">
        <f t="shared" si="135"/>
        <v>564609.2417724753</v>
      </c>
      <c r="G163" s="62">
        <f t="shared" si="135"/>
        <v>564609.2417724753</v>
      </c>
      <c r="H163" s="62">
        <f t="shared" si="135"/>
        <v>564609.2417724753</v>
      </c>
      <c r="I163" s="62">
        <f t="shared" si="135"/>
        <v>564609.2417724753</v>
      </c>
      <c r="J163" s="62">
        <f t="shared" si="135"/>
        <v>575601.63362323598</v>
      </c>
      <c r="K163" s="62">
        <f t="shared" si="135"/>
        <v>586594.02547399676</v>
      </c>
      <c r="L163" s="62">
        <f t="shared" si="135"/>
        <v>597586.41732475744</v>
      </c>
      <c r="M163" s="62">
        <f t="shared" si="135"/>
        <v>608578.80917551811</v>
      </c>
      <c r="N163" s="62">
        <f t="shared" si="135"/>
        <v>619571.20102627878</v>
      </c>
      <c r="O163" s="62">
        <f t="shared" si="135"/>
        <v>613575.35092586384</v>
      </c>
      <c r="P163" s="62">
        <f t="shared" si="135"/>
        <v>607579.50082544889</v>
      </c>
      <c r="Q163" s="62">
        <f t="shared" si="135"/>
        <v>601583.65072503395</v>
      </c>
      <c r="R163" s="62">
        <f t="shared" si="135"/>
        <v>595587.80062461901</v>
      </c>
      <c r="S163" s="62">
        <f t="shared" si="135"/>
        <v>589591.95052420418</v>
      </c>
      <c r="T163" s="62">
        <f t="shared" si="135"/>
        <v>583596.10042378923</v>
      </c>
      <c r="U163" s="62">
        <f t="shared" si="135"/>
        <v>577600.25032337429</v>
      </c>
      <c r="V163" s="62">
        <f t="shared" si="135"/>
        <v>571604.40022295923</v>
      </c>
      <c r="W163" s="62">
        <f t="shared" si="135"/>
        <v>565608.5501225444</v>
      </c>
      <c r="X163" s="62">
        <f t="shared" si="135"/>
        <v>559612.70002212957</v>
      </c>
      <c r="Y163" s="62">
        <f t="shared" si="135"/>
        <v>553616.84992171463</v>
      </c>
      <c r="Z163" s="62">
        <f t="shared" si="135"/>
        <v>547620.99982129969</v>
      </c>
      <c r="AA163" s="62">
        <f t="shared" si="135"/>
        <v>541625.14972088463</v>
      </c>
      <c r="AB163" s="62">
        <f t="shared" si="135"/>
        <v>535629.29962046968</v>
      </c>
      <c r="AC163" s="62">
        <f t="shared" si="135"/>
        <v>529633.44952005497</v>
      </c>
    </row>
    <row r="164" spans="1:29" ht="15.75" thickBot="1" x14ac:dyDescent="0.3">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75" thickBot="1" x14ac:dyDescent="0.3">
      <c r="A165" s="31" t="s">
        <v>504</v>
      </c>
      <c r="B165" s="64">
        <f>B156+B157+B158+B159+B160+B161+B162+B163+B164</f>
        <v>4338098.7926027915</v>
      </c>
      <c r="C165" s="64">
        <f t="shared" ref="C165:AC165" si="137">C156+C157+C158+C159+C160+C161+C162+C163+C164</f>
        <v>4333279.3289750312</v>
      </c>
      <c r="D165" s="64">
        <f t="shared" si="137"/>
        <v>4326436.3815023405</v>
      </c>
      <c r="E165" s="64">
        <f t="shared" si="137"/>
        <v>4316764.53281496</v>
      </c>
      <c r="F165" s="64">
        <f t="shared" si="137"/>
        <v>4303185.4317524824</v>
      </c>
      <c r="G165" s="64">
        <f t="shared" si="137"/>
        <v>4284305.5519093107</v>
      </c>
      <c r="H165" s="64">
        <f t="shared" si="137"/>
        <v>4258421.9429420317</v>
      </c>
      <c r="I165" s="64">
        <f t="shared" si="137"/>
        <v>4223637.146065414</v>
      </c>
      <c r="J165" s="64">
        <f t="shared" si="137"/>
        <v>4189159.0884698858</v>
      </c>
      <c r="K165" s="64">
        <f t="shared" si="137"/>
        <v>4142889.1347465292</v>
      </c>
      <c r="L165" s="64">
        <f t="shared" si="137"/>
        <v>4085168.3556242352</v>
      </c>
      <c r="M165" s="64">
        <f t="shared" si="137"/>
        <v>4018461.7040549228</v>
      </c>
      <c r="N165" s="64">
        <f t="shared" si="137"/>
        <v>3947427.5345582664</v>
      </c>
      <c r="O165" s="64">
        <f t="shared" si="137"/>
        <v>3861019.2524113716</v>
      </c>
      <c r="P165" s="64">
        <f t="shared" si="137"/>
        <v>3781822.31024537</v>
      </c>
      <c r="Q165" s="64">
        <f t="shared" si="137"/>
        <v>3713615.9559251741</v>
      </c>
      <c r="R165" s="64">
        <f t="shared" si="137"/>
        <v>3657800.6332147848</v>
      </c>
      <c r="S165" s="64">
        <f t="shared" si="137"/>
        <v>3613790.3143669749</v>
      </c>
      <c r="T165" s="64">
        <f t="shared" si="137"/>
        <v>3579850.780972423</v>
      </c>
      <c r="U165" s="64">
        <f t="shared" si="137"/>
        <v>3553875.6015685876</v>
      </c>
      <c r="V165" s="64">
        <f t="shared" si="137"/>
        <v>3533877.1921668435</v>
      </c>
      <c r="W165" s="64">
        <f t="shared" si="137"/>
        <v>3518204.7129246537</v>
      </c>
      <c r="X165" s="64">
        <f t="shared" si="137"/>
        <v>3505586.6632975964</v>
      </c>
      <c r="Y165" s="64">
        <f t="shared" si="137"/>
        <v>3495089.1600895426</v>
      </c>
      <c r="Z165" s="64">
        <f t="shared" si="137"/>
        <v>3486047.0914229052</v>
      </c>
      <c r="AA165" s="64">
        <f t="shared" si="137"/>
        <v>3477996.259097402</v>
      </c>
      <c r="AB165" s="64">
        <f t="shared" si="137"/>
        <v>3470617.0051713432</v>
      </c>
      <c r="AC165" s="64">
        <f t="shared" si="137"/>
        <v>3463691.162378381</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25">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25">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25">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25">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25">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25">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25">
      <c r="A175" s="30" t="str">
        <f t="shared" si="138"/>
        <v>Fuel Cost</v>
      </c>
      <c r="B175" s="66">
        <f>B145*B146*B153/B153</f>
        <v>3.1630769847197495</v>
      </c>
      <c r="C175" s="66">
        <f t="shared" ref="C175:AC175" si="146">C145*C146*C153/C153</f>
        <v>3.1630769847197495</v>
      </c>
      <c r="D175" s="66">
        <f t="shared" si="146"/>
        <v>3.1630769847197495</v>
      </c>
      <c r="E175" s="66">
        <f t="shared" si="146"/>
        <v>3.1630769847197495</v>
      </c>
      <c r="F175" s="66">
        <f t="shared" si="146"/>
        <v>3.1630769847197495</v>
      </c>
      <c r="G175" s="66">
        <f t="shared" si="146"/>
        <v>3.1630769847197495</v>
      </c>
      <c r="H175" s="66">
        <f t="shared" si="146"/>
        <v>3.1630769847197495</v>
      </c>
      <c r="I175" s="66">
        <f t="shared" si="146"/>
        <v>3.1630769847197495</v>
      </c>
      <c r="J175" s="66">
        <f t="shared" si="146"/>
        <v>3.2246590118948792</v>
      </c>
      <c r="K175" s="66">
        <f t="shared" si="146"/>
        <v>3.2862410390700099</v>
      </c>
      <c r="L175" s="66">
        <f t="shared" si="146"/>
        <v>3.3478230662451396</v>
      </c>
      <c r="M175" s="66">
        <f t="shared" si="146"/>
        <v>3.4094050934202693</v>
      </c>
      <c r="N175" s="66">
        <f t="shared" si="146"/>
        <v>3.4709871205953995</v>
      </c>
      <c r="O175" s="66">
        <f t="shared" si="146"/>
        <v>3.4373969239544193</v>
      </c>
      <c r="P175" s="66">
        <f t="shared" si="146"/>
        <v>3.4038067273134391</v>
      </c>
      <c r="Q175" s="66">
        <f t="shared" si="146"/>
        <v>3.370216530672459</v>
      </c>
      <c r="R175" s="66">
        <f t="shared" si="146"/>
        <v>3.3366263340314792</v>
      </c>
      <c r="S175" s="66">
        <f t="shared" si="146"/>
        <v>3.3030361373904995</v>
      </c>
      <c r="T175" s="66">
        <f t="shared" si="146"/>
        <v>3.2694459407495193</v>
      </c>
      <c r="U175" s="66">
        <f t="shared" si="146"/>
        <v>3.2358557441085396</v>
      </c>
      <c r="V175" s="66">
        <f t="shared" si="146"/>
        <v>3.2022655474675585</v>
      </c>
      <c r="W175" s="66">
        <f t="shared" si="146"/>
        <v>3.1686753508265793</v>
      </c>
      <c r="X175" s="66">
        <f t="shared" si="146"/>
        <v>3.1350851541856</v>
      </c>
      <c r="Y175" s="66">
        <f t="shared" si="146"/>
        <v>3.1014949575446198</v>
      </c>
      <c r="Z175" s="66">
        <f t="shared" si="146"/>
        <v>3.0679047609036396</v>
      </c>
      <c r="AA175" s="66">
        <f t="shared" si="146"/>
        <v>3.034314564262659</v>
      </c>
      <c r="AB175" s="66">
        <f t="shared" si="146"/>
        <v>3.0007243676216788</v>
      </c>
      <c r="AC175" s="66">
        <f t="shared" si="146"/>
        <v>2.9671341709807</v>
      </c>
    </row>
    <row r="176" spans="1:29" ht="15.75" thickBot="1" x14ac:dyDescent="0.3">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75" thickBot="1" x14ac:dyDescent="0.3">
      <c r="A177" s="31" t="s">
        <v>187</v>
      </c>
      <c r="B177" s="76">
        <f>B168+B169+B170-B171+B172+B173+B174+B175+B176</f>
        <v>24.530992622057241</v>
      </c>
      <c r="C177" s="76">
        <f t="shared" ref="C177:AC177" si="149">C168+C169+C170-C171+C172+C173+C174+C175+C176</f>
        <v>24.503992825823289</v>
      </c>
      <c r="D177" s="76">
        <f t="shared" si="149"/>
        <v>24.465656985640152</v>
      </c>
      <c r="E177" s="76">
        <f t="shared" si="149"/>
        <v>24.411472959380319</v>
      </c>
      <c r="F177" s="76">
        <f t="shared" si="149"/>
        <v>24.335399564072318</v>
      </c>
      <c r="G177" s="76">
        <f t="shared" si="149"/>
        <v>24.229629929096568</v>
      </c>
      <c r="H177" s="76">
        <f t="shared" si="149"/>
        <v>24.084623716394724</v>
      </c>
      <c r="I177" s="76">
        <f t="shared" si="149"/>
        <v>23.889750904761009</v>
      </c>
      <c r="J177" s="76">
        <f t="shared" si="149"/>
        <v>23.696596520472337</v>
      </c>
      <c r="K177" s="76">
        <f t="shared" si="149"/>
        <v>23.437381093450728</v>
      </c>
      <c r="L177" s="76">
        <f t="shared" si="149"/>
        <v>23.114015384082137</v>
      </c>
      <c r="M177" s="76">
        <f t="shared" si="149"/>
        <v>22.740308652601396</v>
      </c>
      <c r="N177" s="76">
        <f t="shared" si="149"/>
        <v>22.342358123208363</v>
      </c>
      <c r="O177" s="76">
        <f t="shared" si="149"/>
        <v>21.858278111180944</v>
      </c>
      <c r="P177" s="76">
        <f t="shared" si="149"/>
        <v>21.414597762912024</v>
      </c>
      <c r="Q177" s="76">
        <f t="shared" si="149"/>
        <v>21.032489335347901</v>
      </c>
      <c r="R177" s="76">
        <f t="shared" si="149"/>
        <v>20.71979845181631</v>
      </c>
      <c r="S177" s="76">
        <f t="shared" si="149"/>
        <v>20.473242043705326</v>
      </c>
      <c r="T177" s="76">
        <f t="shared" si="149"/>
        <v>20.283104601719046</v>
      </c>
      <c r="U177" s="76">
        <f t="shared" si="149"/>
        <v>20.137585389372628</v>
      </c>
      <c r="V177" s="76">
        <f t="shared" si="149"/>
        <v>20.025549482360056</v>
      </c>
      <c r="W177" s="76">
        <f t="shared" si="149"/>
        <v>19.937748478202131</v>
      </c>
      <c r="X177" s="76">
        <f t="shared" si="149"/>
        <v>19.867059124549147</v>
      </c>
      <c r="Y177" s="76">
        <f t="shared" si="149"/>
        <v>19.808249582767335</v>
      </c>
      <c r="Z177" s="76">
        <f t="shared" si="149"/>
        <v>19.757593735895419</v>
      </c>
      <c r="AA177" s="76">
        <f t="shared" si="149"/>
        <v>19.712491033791757</v>
      </c>
      <c r="AB177" s="76">
        <f t="shared" si="149"/>
        <v>19.671150675662577</v>
      </c>
      <c r="AC177" s="76">
        <f t="shared" si="149"/>
        <v>19.632350435926092</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25">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25">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25">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25">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25">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25">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25">
      <c r="A187" s="30" t="str">
        <f t="shared" si="150"/>
        <v>Fuel Cost</v>
      </c>
      <c r="B187" s="66">
        <f>B145*B146*B153/B153/(B150)</f>
        <v>1.4120879396070311E-3</v>
      </c>
      <c r="C187" s="66">
        <f t="shared" ref="C187:AC187" si="158">C145*C146*C153/C153/(C150)</f>
        <v>1.4120879396070311E-3</v>
      </c>
      <c r="D187" s="66">
        <f t="shared" si="158"/>
        <v>1.4120879396070311E-3</v>
      </c>
      <c r="E187" s="66">
        <f t="shared" si="158"/>
        <v>1.4120879396070311E-3</v>
      </c>
      <c r="F187" s="66">
        <f t="shared" si="158"/>
        <v>1.4120879396070311E-3</v>
      </c>
      <c r="G187" s="66">
        <f t="shared" si="158"/>
        <v>1.4120879396070311E-3</v>
      </c>
      <c r="H187" s="66">
        <f t="shared" si="158"/>
        <v>1.4120879396070311E-3</v>
      </c>
      <c r="I187" s="66">
        <f t="shared" si="158"/>
        <v>1.4120879396070311E-3</v>
      </c>
      <c r="J187" s="66">
        <f t="shared" si="158"/>
        <v>1.4395799160244996E-3</v>
      </c>
      <c r="K187" s="66">
        <f t="shared" si="158"/>
        <v>1.4670718924419688E-3</v>
      </c>
      <c r="L187" s="66">
        <f t="shared" si="158"/>
        <v>1.4945638688594373E-3</v>
      </c>
      <c r="M187" s="66">
        <f t="shared" si="158"/>
        <v>1.522055845276906E-3</v>
      </c>
      <c r="N187" s="66">
        <f t="shared" si="158"/>
        <v>1.5495478216943747E-3</v>
      </c>
      <c r="O187" s="66">
        <f t="shared" si="158"/>
        <v>1.5345521981939372E-3</v>
      </c>
      <c r="P187" s="66">
        <f t="shared" si="158"/>
        <v>1.5195565746934996E-3</v>
      </c>
      <c r="Q187" s="66">
        <f t="shared" si="158"/>
        <v>1.5045609511930621E-3</v>
      </c>
      <c r="R187" s="66">
        <f t="shared" si="158"/>
        <v>1.4895653276926248E-3</v>
      </c>
      <c r="S187" s="66">
        <f t="shared" si="158"/>
        <v>1.4745697041921872E-3</v>
      </c>
      <c r="T187" s="66">
        <f t="shared" si="158"/>
        <v>1.4595740806917497E-3</v>
      </c>
      <c r="U187" s="66">
        <f t="shared" si="158"/>
        <v>1.4445784571913123E-3</v>
      </c>
      <c r="V187" s="66">
        <f t="shared" si="158"/>
        <v>1.4295828336908744E-3</v>
      </c>
      <c r="W187" s="66">
        <f t="shared" si="158"/>
        <v>1.4145872101904372E-3</v>
      </c>
      <c r="X187" s="66">
        <f t="shared" si="158"/>
        <v>1.3995915866899999E-3</v>
      </c>
      <c r="Y187" s="66">
        <f t="shared" si="158"/>
        <v>1.3845959631895624E-3</v>
      </c>
      <c r="Z187" s="66">
        <f t="shared" si="158"/>
        <v>1.3696003396891248E-3</v>
      </c>
      <c r="AA187" s="66">
        <f t="shared" si="158"/>
        <v>1.3546047161886871E-3</v>
      </c>
      <c r="AB187" s="66">
        <f t="shared" si="158"/>
        <v>1.3396090926882495E-3</v>
      </c>
      <c r="AC187" s="66">
        <f t="shared" si="158"/>
        <v>1.3246134691878124E-3</v>
      </c>
    </row>
    <row r="188" spans="1:29" x14ac:dyDescent="0.25">
      <c r="A188" s="59" t="str">
        <f>A151</f>
        <v>Market failure (av. utilization)</v>
      </c>
      <c r="B188" s="66">
        <f t="shared" ref="B188:AC188" si="159">B177/B151-B177/B150</f>
        <v>1.4715857739236346E-2</v>
      </c>
      <c r="C188" s="66">
        <f t="shared" si="159"/>
        <v>1.4699660874866091E-2</v>
      </c>
      <c r="D188" s="66">
        <f t="shared" si="159"/>
        <v>1.46766636493098E-2</v>
      </c>
      <c r="E188" s="66">
        <f t="shared" si="159"/>
        <v>1.464415928087826E-2</v>
      </c>
      <c r="F188" s="66">
        <f t="shared" si="159"/>
        <v>1.4598523734027759E-2</v>
      </c>
      <c r="G188" s="66">
        <f t="shared" si="159"/>
        <v>1.4535073757689069E-2</v>
      </c>
      <c r="H188" s="66">
        <f t="shared" si="159"/>
        <v>1.4448086213797059E-2</v>
      </c>
      <c r="I188" s="66">
        <f t="shared" si="159"/>
        <v>1.4331184276014555E-2</v>
      </c>
      <c r="J188" s="66">
        <f t="shared" si="159"/>
        <v>1.4215313202850315E-2</v>
      </c>
      <c r="K188" s="66">
        <f t="shared" si="159"/>
        <v>1.4059812876930542E-2</v>
      </c>
      <c r="L188" s="66">
        <f t="shared" si="159"/>
        <v>1.3865829541232309E-2</v>
      </c>
      <c r="M188" s="66">
        <f t="shared" si="159"/>
        <v>1.364164721068443E-2</v>
      </c>
      <c r="N188" s="66">
        <f t="shared" si="159"/>
        <v>1.3402921307170195E-2</v>
      </c>
      <c r="O188" s="66">
        <f t="shared" si="159"/>
        <v>1.31125273267408E-2</v>
      </c>
      <c r="P188" s="66">
        <f t="shared" si="159"/>
        <v>1.2846368635675461E-2</v>
      </c>
      <c r="Q188" s="66">
        <f t="shared" si="159"/>
        <v>1.261714622516685E-2</v>
      </c>
      <c r="R188" s="66">
        <f t="shared" si="159"/>
        <v>1.2429566593584001E-2</v>
      </c>
      <c r="S188" s="66">
        <f t="shared" si="159"/>
        <v>1.2281660266173675E-2</v>
      </c>
      <c r="T188" s="66">
        <f t="shared" si="159"/>
        <v>1.2167599021678558E-2</v>
      </c>
      <c r="U188" s="66">
        <f t="shared" si="159"/>
        <v>1.2080303735254226E-2</v>
      </c>
      <c r="V188" s="66">
        <f t="shared" si="159"/>
        <v>1.2013094695054162E-2</v>
      </c>
      <c r="W188" s="66">
        <f t="shared" si="159"/>
        <v>1.1960423891778623E-2</v>
      </c>
      <c r="X188" s="66">
        <f t="shared" si="159"/>
        <v>1.1918018169023622E-2</v>
      </c>
      <c r="Y188" s="66">
        <f t="shared" si="159"/>
        <v>1.1882739007519466E-2</v>
      </c>
      <c r="Z188" s="66">
        <f t="shared" si="159"/>
        <v>1.1852351152950656E-2</v>
      </c>
      <c r="AA188" s="66">
        <f t="shared" si="159"/>
        <v>1.1825294565472174E-2</v>
      </c>
      <c r="AB188" s="66">
        <f t="shared" si="159"/>
        <v>1.1800494964473923E-2</v>
      </c>
      <c r="AC188" s="66">
        <f t="shared" si="159"/>
        <v>1.1777219151015933E-2</v>
      </c>
    </row>
    <row r="189" spans="1:29" x14ac:dyDescent="0.25">
      <c r="A189" s="59" t="str">
        <f>A152</f>
        <v>Payload loss (fuel)</v>
      </c>
      <c r="B189" s="66">
        <f>B177/(B150-B152)-B177/B150</f>
        <v>4.0282912452609815E-4</v>
      </c>
      <c r="C189" s="66">
        <f t="shared" ref="C189:AC189" si="160">C177/(C150-C152)-C177/C150</f>
        <v>4.011989139432303E-4</v>
      </c>
      <c r="D189" s="66">
        <f t="shared" si="160"/>
        <v>3.988891677397504E-4</v>
      </c>
      <c r="E189" s="66">
        <f t="shared" si="160"/>
        <v>3.956344044137982E-4</v>
      </c>
      <c r="F189" s="66">
        <f t="shared" si="160"/>
        <v>3.9108421486184521E-4</v>
      </c>
      <c r="G189" s="66">
        <f t="shared" si="160"/>
        <v>3.8479549680873158E-4</v>
      </c>
      <c r="H189" s="66">
        <f t="shared" si="160"/>
        <v>3.7624508225497788E-4</v>
      </c>
      <c r="I189" s="66">
        <f t="shared" si="160"/>
        <v>3.6488366936050787E-4</v>
      </c>
      <c r="J189" s="66">
        <f t="shared" si="160"/>
        <v>3.5116800876476388E-4</v>
      </c>
      <c r="K189" s="66">
        <f t="shared" si="160"/>
        <v>3.3394736894491912E-4</v>
      </c>
      <c r="L189" s="66">
        <f t="shared" si="160"/>
        <v>3.1354974649148125E-4</v>
      </c>
      <c r="M189" s="66">
        <f t="shared" si="160"/>
        <v>2.9096929243943234E-4</v>
      </c>
      <c r="N189" s="66">
        <f t="shared" si="160"/>
        <v>2.6777701004067865E-4</v>
      </c>
      <c r="O189" s="66">
        <f t="shared" si="160"/>
        <v>2.4467602430906787E-4</v>
      </c>
      <c r="P189" s="66">
        <f t="shared" si="160"/>
        <v>2.2433221123158154E-4</v>
      </c>
      <c r="Q189" s="66">
        <f t="shared" si="160"/>
        <v>2.0753119253218329E-4</v>
      </c>
      <c r="R189" s="66">
        <f t="shared" si="160"/>
        <v>1.9437333143690338E-4</v>
      </c>
      <c r="S189" s="66">
        <f t="shared" si="160"/>
        <v>1.8448033086712438E-4</v>
      </c>
      <c r="T189" s="66">
        <f t="shared" si="160"/>
        <v>1.7725462219309734E-4</v>
      </c>
      <c r="U189" s="66">
        <f t="shared" si="160"/>
        <v>1.720739059829831E-4</v>
      </c>
      <c r="V189" s="66">
        <f t="shared" si="160"/>
        <v>1.6839414108918774E-4</v>
      </c>
      <c r="W189" s="66">
        <f t="shared" si="160"/>
        <v>1.6578365557534322E-4</v>
      </c>
      <c r="X189" s="66">
        <f t="shared" si="160"/>
        <v>1.639196363216449E-4</v>
      </c>
      <c r="Y189" s="66">
        <f t="shared" si="160"/>
        <v>1.6256962214928825E-4</v>
      </c>
      <c r="Z189" s="66">
        <f t="shared" si="160"/>
        <v>1.6157027993215708E-4</v>
      </c>
      <c r="AA189" s="66">
        <f t="shared" si="160"/>
        <v>1.6080869024119419E-4</v>
      </c>
      <c r="AB189" s="66">
        <f t="shared" si="160"/>
        <v>1.602076199000782E-4</v>
      </c>
      <c r="AC189" s="66">
        <f t="shared" si="160"/>
        <v>1.5971461973468201E-4</v>
      </c>
    </row>
    <row r="190" spans="1:29" ht="15.75" thickBot="1" x14ac:dyDescent="0.3">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75" thickBot="1" x14ac:dyDescent="0.3">
      <c r="A191" s="31" t="s">
        <v>505</v>
      </c>
      <c r="B191" s="67">
        <f>B180+B181+B182+B183+B184+B185+B186+B187+B188+B189+B190</f>
        <v>2.5968273679995914E-2</v>
      </c>
      <c r="C191" s="67">
        <f t="shared" ref="C191:AC191" si="162">C180+C181+C182+C183+C184+C185+C186+C187+C188+C189+C190</f>
        <v>2.593839312458121E-2</v>
      </c>
      <c r="D191" s="67">
        <f t="shared" si="162"/>
        <v>2.5895971938453964E-2</v>
      </c>
      <c r="E191" s="67">
        <f t="shared" si="162"/>
        <v>2.5836023509259044E-2</v>
      </c>
      <c r="F191" s="67">
        <f t="shared" si="162"/>
        <v>2.5751876435665517E-2</v>
      </c>
      <c r="G191" s="67">
        <f t="shared" si="162"/>
        <v>2.5634919154230967E-2</v>
      </c>
      <c r="H191" s="67">
        <f t="shared" si="162"/>
        <v>2.5474646279400454E-2</v>
      </c>
      <c r="I191" s="67">
        <f t="shared" si="162"/>
        <v>2.5259386137815573E-2</v>
      </c>
      <c r="J191" s="67">
        <f t="shared" si="162"/>
        <v>2.5043569768212433E-2</v>
      </c>
      <c r="K191" s="67">
        <f t="shared" si="162"/>
        <v>2.4755127629695312E-2</v>
      </c>
      <c r="L191" s="67">
        <f t="shared" si="162"/>
        <v>2.4396386979861233E-2</v>
      </c>
      <c r="M191" s="67">
        <f t="shared" si="162"/>
        <v>2.3982790832993116E-2</v>
      </c>
      <c r="N191" s="67">
        <f t="shared" si="162"/>
        <v>2.3543216160743952E-2</v>
      </c>
      <c r="O191" s="67">
        <f t="shared" si="162"/>
        <v>2.301361404635642E-2</v>
      </c>
      <c r="P191" s="67">
        <f t="shared" si="162"/>
        <v>2.2529039958164972E-2</v>
      </c>
      <c r="Q191" s="67">
        <f t="shared" si="162"/>
        <v>2.2112432409508692E-2</v>
      </c>
      <c r="R191" s="67">
        <f t="shared" si="162"/>
        <v>2.1772100772396816E-2</v>
      </c>
      <c r="S191" s="67">
        <f t="shared" si="162"/>
        <v>2.1504231619367167E-2</v>
      </c>
      <c r="T191" s="67">
        <f t="shared" si="162"/>
        <v>2.1298061879597003E-2</v>
      </c>
      <c r="U191" s="67">
        <f t="shared" si="162"/>
        <v>2.1140621942879335E-2</v>
      </c>
      <c r="V191" s="67">
        <f t="shared" si="162"/>
        <v>2.1019717107869148E-2</v>
      </c>
      <c r="W191" s="67">
        <f t="shared" si="162"/>
        <v>2.0925238942223551E-2</v>
      </c>
      <c r="X191" s="67">
        <f t="shared" si="162"/>
        <v>2.084941145304834E-2</v>
      </c>
      <c r="Y191" s="67">
        <f t="shared" si="162"/>
        <v>2.0786528017647802E-2</v>
      </c>
      <c r="Z191" s="67">
        <f t="shared" si="162"/>
        <v>2.0732526603508328E-2</v>
      </c>
      <c r="AA191" s="67">
        <f t="shared" si="162"/>
        <v>2.0684573291471178E-2</v>
      </c>
      <c r="AB191" s="67">
        <f t="shared" si="162"/>
        <v>2.0640717103109853E-2</v>
      </c>
      <c r="AC191" s="67">
        <f t="shared" si="162"/>
        <v>2.0599626753889825E-2</v>
      </c>
    </row>
    <row r="193" spans="2:2" x14ac:dyDescent="0.25">
      <c r="B193" s="40"/>
    </row>
    <row r="215" spans="1:44" s="3" customFormat="1" ht="21" x14ac:dyDescent="0.35">
      <c r="A215" s="2" t="str">
        <f>'Parameter Input'!A170</f>
        <v>Railway long-haul: Container</v>
      </c>
    </row>
    <row r="216" spans="1:44" s="3" customFormat="1" ht="21" x14ac:dyDescent="0.35">
      <c r="A216" s="2" t="s">
        <v>299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Input'!$L$171</f>
        <v>10000000</v>
      </c>
      <c r="C225" s="42">
        <f>'Parameter Input'!$M$171</f>
        <v>6250000</v>
      </c>
      <c r="D225" s="1" t="s">
        <v>138</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25">
      <c r="A226" s="24" t="s">
        <v>151</v>
      </c>
      <c r="B226" s="60">
        <f>'Parameter Input'!$L$172</f>
        <v>-500000</v>
      </c>
      <c r="C226" s="61">
        <f>'Parameter Input'!$M$172</f>
        <v>-937500</v>
      </c>
      <c r="D226" s="1" t="s">
        <v>138</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25">
      <c r="A229" s="24" t="s">
        <v>203</v>
      </c>
      <c r="B229" s="45">
        <f>'Parameter Input'!$L$178</f>
        <v>0.06</v>
      </c>
      <c r="C229" s="46">
        <f>'Parameter Input'!$M$178</f>
        <v>0.06</v>
      </c>
      <c r="D229" s="1" t="s">
        <v>180</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25">
      <c r="A231" s="24" t="s">
        <v>175</v>
      </c>
      <c r="B231" s="43">
        <f>'Parameter Input'!$L$174</f>
        <v>1300000</v>
      </c>
      <c r="C231" s="44">
        <f>'Parameter Input'!$M$174</f>
        <v>812500</v>
      </c>
      <c r="D231" s="1" t="s">
        <v>161</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25">
      <c r="A233" s="24" t="s">
        <v>183</v>
      </c>
      <c r="B233" s="47">
        <f>'Parameter Input'!$L$175</f>
        <v>33.590199999999996</v>
      </c>
      <c r="C233" s="48">
        <f>'Parameter Input'!$M$175</f>
        <v>33.590199999999996</v>
      </c>
      <c r="D233" s="1" t="s">
        <v>184</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25">
      <c r="A234" s="24" t="s">
        <v>191</v>
      </c>
      <c r="B234" s="45">
        <f>'Parameter Input'!$L$176</f>
        <v>0.13371034051801745</v>
      </c>
      <c r="C234" s="46">
        <f>'Parameter Input'!$M$176</f>
        <v>8.7585019329602734E-2</v>
      </c>
      <c r="D234" s="1" t="s">
        <v>94</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25">
      <c r="A235" s="24" t="s">
        <v>458</v>
      </c>
      <c r="B235" s="115">
        <f>'Parameter Input'!$L$179</f>
        <v>0</v>
      </c>
      <c r="C235" s="116">
        <f>'Parameter Input'!$M$179</f>
        <v>0</v>
      </c>
      <c r="D235" s="1" t="s">
        <v>200</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25">
      <c r="A236" s="24" t="s">
        <v>164</v>
      </c>
      <c r="B236" s="43">
        <f>'Parameter Input'!$L$173</f>
        <v>20</v>
      </c>
      <c r="C236" s="44">
        <f>'Parameter Input'!$M$173</f>
        <v>20</v>
      </c>
      <c r="D236" s="1" t="s">
        <v>165</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25">
      <c r="A240" s="24" t="s">
        <v>197</v>
      </c>
      <c r="B240" s="72">
        <f>'Parameter Input'!$L$177</f>
        <v>3.5714285714285712E-2</v>
      </c>
      <c r="C240" s="73">
        <f>'Parameter Input'!$M$177</f>
        <v>1.7857142857142856E-2</v>
      </c>
      <c r="D240" s="1" t="s">
        <v>180</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25">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25">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25">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25">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25">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25">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25">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25">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25">
      <c r="A254" s="30" t="str">
        <f t="shared" si="168"/>
        <v>Fuel Cost</v>
      </c>
      <c r="B254" s="62">
        <f>'Parameter Input'!J4</f>
        <v>9.4166661249999992E-2</v>
      </c>
      <c r="C254" s="62">
        <f>'Parameter Input'!K4</f>
        <v>9.4166661249999992E-2</v>
      </c>
      <c r="D254" s="62">
        <f>'Parameter Input'!L4</f>
        <v>9.4166661249999992E-2</v>
      </c>
      <c r="E254" s="62">
        <f>'Parameter Input'!M4</f>
        <v>9.4166661249999992E-2</v>
      </c>
      <c r="F254" s="62">
        <f>'Parameter Input'!N4</f>
        <v>9.4166661249999992E-2</v>
      </c>
      <c r="G254" s="62">
        <f>'Parameter Input'!O4</f>
        <v>9.4166661249999992E-2</v>
      </c>
      <c r="H254" s="62">
        <f>'Parameter Input'!P4</f>
        <v>9.4166661249999992E-2</v>
      </c>
      <c r="I254" s="62">
        <f>'Parameter Input'!Q4</f>
        <v>9.4166661249999992E-2</v>
      </c>
      <c r="J254" s="62">
        <f>'Parameter Input'!R4</f>
        <v>9.5999994399999997E-2</v>
      </c>
      <c r="K254" s="62">
        <f>'Parameter Input'!S4</f>
        <v>9.7833327550000002E-2</v>
      </c>
      <c r="L254" s="62">
        <f>'Parameter Input'!T4</f>
        <v>9.9666660700000007E-2</v>
      </c>
      <c r="M254" s="62">
        <f>'Parameter Input'!U4</f>
        <v>0.10149999385000001</v>
      </c>
      <c r="N254" s="62">
        <f>'Parameter Input'!V4</f>
        <v>0.103333327</v>
      </c>
      <c r="O254" s="62">
        <f>'Parameter Input'!W4</f>
        <v>0.1023333271</v>
      </c>
      <c r="P254" s="62">
        <f>'Parameter Input'!X4</f>
        <v>0.10133332719999999</v>
      </c>
      <c r="Q254" s="62">
        <f>'Parameter Input'!Y4</f>
        <v>0.10033332729999998</v>
      </c>
      <c r="R254" s="62">
        <f>'Parameter Input'!Z4</f>
        <v>9.9333327399999977E-2</v>
      </c>
      <c r="S254" s="62">
        <f>'Parameter Input'!AA4</f>
        <v>9.8333327499999998E-2</v>
      </c>
      <c r="T254" s="62">
        <f>'Parameter Input'!AB4</f>
        <v>9.7333327599999991E-2</v>
      </c>
      <c r="U254" s="62">
        <f>'Parameter Input'!AC4</f>
        <v>9.6333327699999985E-2</v>
      </c>
      <c r="V254" s="62">
        <f>'Parameter Input'!AD4</f>
        <v>9.5333327799999978E-2</v>
      </c>
      <c r="W254" s="62">
        <f>'Parameter Input'!AE4</f>
        <v>9.4333327899999986E-2</v>
      </c>
      <c r="X254" s="62">
        <f>'Parameter Input'!AF4</f>
        <v>9.3333328000000007E-2</v>
      </c>
      <c r="Y254" s="62">
        <f>'Parameter Input'!AG4</f>
        <v>9.2333328100000001E-2</v>
      </c>
      <c r="Z254" s="62">
        <f>'Parameter Input'!AH4</f>
        <v>9.1333328199999994E-2</v>
      </c>
      <c r="AA254" s="62">
        <f>'Parameter Input'!AI4</f>
        <v>9.0333328299999988E-2</v>
      </c>
      <c r="AB254" s="62">
        <f>'Parameter Input'!AJ4</f>
        <v>8.9333328399999981E-2</v>
      </c>
      <c r="AC254" s="62">
        <f>'Parameter Input'!AK4</f>
        <v>8.8333328500000016E-2</v>
      </c>
    </row>
    <row r="255" spans="1:44" x14ac:dyDescent="0.25">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25">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25">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25">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25">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25">
      <c r="A260" s="30" t="s">
        <v>197</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25">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25">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25">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25">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25">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25">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25">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25">
      <c r="A271" s="30" t="str">
        <f>A254</f>
        <v>Fuel Cost</v>
      </c>
      <c r="B271" s="62">
        <f>B253*B254*B261</f>
        <v>564609.2417724753</v>
      </c>
      <c r="C271" s="62">
        <f t="shared" ref="C271:AC271" si="213">C253*C254*C261</f>
        <v>564609.2417724753</v>
      </c>
      <c r="D271" s="62">
        <f t="shared" si="213"/>
        <v>564609.2417724753</v>
      </c>
      <c r="E271" s="62">
        <f t="shared" si="213"/>
        <v>564609.2417724753</v>
      </c>
      <c r="F271" s="62">
        <f t="shared" si="213"/>
        <v>564609.2417724753</v>
      </c>
      <c r="G271" s="62">
        <f t="shared" si="213"/>
        <v>564609.2417724753</v>
      </c>
      <c r="H271" s="62">
        <f t="shared" si="213"/>
        <v>564609.2417724753</v>
      </c>
      <c r="I271" s="62">
        <f t="shared" si="213"/>
        <v>564609.2417724753</v>
      </c>
      <c r="J271" s="62">
        <f t="shared" si="213"/>
        <v>575601.63362323598</v>
      </c>
      <c r="K271" s="62">
        <f t="shared" si="213"/>
        <v>586594.02547399676</v>
      </c>
      <c r="L271" s="62">
        <f t="shared" si="213"/>
        <v>597586.41732475744</v>
      </c>
      <c r="M271" s="62">
        <f t="shared" si="213"/>
        <v>608578.80917551811</v>
      </c>
      <c r="N271" s="62">
        <f t="shared" si="213"/>
        <v>619571.20102627878</v>
      </c>
      <c r="O271" s="62">
        <f t="shared" si="213"/>
        <v>613575.35092586384</v>
      </c>
      <c r="P271" s="62">
        <f t="shared" si="213"/>
        <v>607579.50082544889</v>
      </c>
      <c r="Q271" s="62">
        <f t="shared" si="213"/>
        <v>601583.65072503395</v>
      </c>
      <c r="R271" s="62">
        <f t="shared" si="213"/>
        <v>595587.80062461901</v>
      </c>
      <c r="S271" s="62">
        <f t="shared" si="213"/>
        <v>589591.95052420418</v>
      </c>
      <c r="T271" s="62">
        <f t="shared" si="213"/>
        <v>583596.10042378923</v>
      </c>
      <c r="U271" s="62">
        <f t="shared" si="213"/>
        <v>577600.25032337429</v>
      </c>
      <c r="V271" s="62">
        <f t="shared" si="213"/>
        <v>571604.40022295923</v>
      </c>
      <c r="W271" s="62">
        <f t="shared" si="213"/>
        <v>565608.5501225444</v>
      </c>
      <c r="X271" s="62">
        <f t="shared" si="213"/>
        <v>559612.70002212957</v>
      </c>
      <c r="Y271" s="62">
        <f t="shared" si="213"/>
        <v>553616.84992171463</v>
      </c>
      <c r="Z271" s="62">
        <f t="shared" si="213"/>
        <v>547620.99982129969</v>
      </c>
      <c r="AA271" s="62">
        <f t="shared" si="213"/>
        <v>541625.14972088463</v>
      </c>
      <c r="AB271" s="62">
        <f t="shared" si="213"/>
        <v>535629.29962046968</v>
      </c>
      <c r="AC271" s="62">
        <f t="shared" si="213"/>
        <v>529633.44952005497</v>
      </c>
    </row>
    <row r="272" spans="1:29" ht="15.75" thickBot="1" x14ac:dyDescent="0.3">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75" thickBot="1" x14ac:dyDescent="0.3">
      <c r="A273" s="31" t="s">
        <v>504</v>
      </c>
      <c r="B273" s="64">
        <f>B264+B265+B266+B267+B268+B269+B270+B271+B272</f>
        <v>4134852.688039266</v>
      </c>
      <c r="C273" s="64">
        <f t="shared" ref="C273:AC273" si="215">C264+C265+C266+C267+C268+C269+C270+C271+C272</f>
        <v>4130033.2244115053</v>
      </c>
      <c r="D273" s="64">
        <f t="shared" si="215"/>
        <v>4123190.2769388142</v>
      </c>
      <c r="E273" s="64">
        <f t="shared" si="215"/>
        <v>4113518.4282514341</v>
      </c>
      <c r="F273" s="64">
        <f t="shared" si="215"/>
        <v>4099939.327188957</v>
      </c>
      <c r="G273" s="64">
        <f t="shared" si="215"/>
        <v>4081059.4473457849</v>
      </c>
      <c r="H273" s="64">
        <f t="shared" si="215"/>
        <v>4055175.8383785058</v>
      </c>
      <c r="I273" s="64">
        <f t="shared" si="215"/>
        <v>4020391.0415018876</v>
      </c>
      <c r="J273" s="64">
        <f t="shared" si="215"/>
        <v>3985912.9839063603</v>
      </c>
      <c r="K273" s="64">
        <f t="shared" si="215"/>
        <v>3939643.0301830033</v>
      </c>
      <c r="L273" s="64">
        <f t="shared" si="215"/>
        <v>3881922.2510607094</v>
      </c>
      <c r="M273" s="64">
        <f t="shared" si="215"/>
        <v>3815215.5994913979</v>
      </c>
      <c r="N273" s="64">
        <f t="shared" si="215"/>
        <v>3744181.4299947405</v>
      </c>
      <c r="O273" s="64">
        <f t="shared" si="215"/>
        <v>3657773.1478478457</v>
      </c>
      <c r="P273" s="64">
        <f t="shared" si="215"/>
        <v>3578576.2056818446</v>
      </c>
      <c r="Q273" s="64">
        <f t="shared" si="215"/>
        <v>3510369.8513616486</v>
      </c>
      <c r="R273" s="64">
        <f t="shared" si="215"/>
        <v>3454554.5286512589</v>
      </c>
      <c r="S273" s="64">
        <f t="shared" si="215"/>
        <v>3410544.209803449</v>
      </c>
      <c r="T273" s="64">
        <f t="shared" si="215"/>
        <v>3376604.6764088976</v>
      </c>
      <c r="U273" s="64">
        <f t="shared" si="215"/>
        <v>3350629.4970050622</v>
      </c>
      <c r="V273" s="64">
        <f t="shared" si="215"/>
        <v>3330631.0876033185</v>
      </c>
      <c r="W273" s="64">
        <f t="shared" si="215"/>
        <v>3314958.6083611278</v>
      </c>
      <c r="X273" s="64">
        <f t="shared" si="215"/>
        <v>3302340.5587340705</v>
      </c>
      <c r="Y273" s="64">
        <f t="shared" si="215"/>
        <v>3291843.0555260172</v>
      </c>
      <c r="Z273" s="64">
        <f t="shared" si="215"/>
        <v>3282800.9868593798</v>
      </c>
      <c r="AA273" s="64">
        <f t="shared" si="215"/>
        <v>3274750.154533877</v>
      </c>
      <c r="AB273" s="64">
        <f t="shared" si="215"/>
        <v>3267370.9006078178</v>
      </c>
      <c r="AC273" s="64">
        <f t="shared" si="215"/>
        <v>3260445.0578148561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25">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25">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25">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25">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25">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25">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25">
      <c r="A283" s="30" t="str">
        <f t="shared" si="216"/>
        <v>Fuel Cost</v>
      </c>
      <c r="B283" s="66">
        <f>B253*B254*B261/B261</f>
        <v>3.1630769847197495</v>
      </c>
      <c r="C283" s="66">
        <f t="shared" ref="C283:AC283" si="224">C253*C254*C261/C261</f>
        <v>3.1630769847197495</v>
      </c>
      <c r="D283" s="66">
        <f t="shared" si="224"/>
        <v>3.1630769847197495</v>
      </c>
      <c r="E283" s="66">
        <f t="shared" si="224"/>
        <v>3.1630769847197495</v>
      </c>
      <c r="F283" s="66">
        <f t="shared" si="224"/>
        <v>3.1630769847197495</v>
      </c>
      <c r="G283" s="66">
        <f t="shared" si="224"/>
        <v>3.1630769847197495</v>
      </c>
      <c r="H283" s="66">
        <f t="shared" si="224"/>
        <v>3.1630769847197495</v>
      </c>
      <c r="I283" s="66">
        <f t="shared" si="224"/>
        <v>3.1630769847197495</v>
      </c>
      <c r="J283" s="66">
        <f t="shared" si="224"/>
        <v>3.2246590118948792</v>
      </c>
      <c r="K283" s="66">
        <f t="shared" si="224"/>
        <v>3.2862410390700099</v>
      </c>
      <c r="L283" s="66">
        <f t="shared" si="224"/>
        <v>3.3478230662451396</v>
      </c>
      <c r="M283" s="66">
        <f t="shared" si="224"/>
        <v>3.4094050934202693</v>
      </c>
      <c r="N283" s="66">
        <f t="shared" si="224"/>
        <v>3.4709871205953995</v>
      </c>
      <c r="O283" s="66">
        <f t="shared" si="224"/>
        <v>3.4373969239544193</v>
      </c>
      <c r="P283" s="66">
        <f t="shared" si="224"/>
        <v>3.4038067273134391</v>
      </c>
      <c r="Q283" s="66">
        <f t="shared" si="224"/>
        <v>3.370216530672459</v>
      </c>
      <c r="R283" s="66">
        <f t="shared" si="224"/>
        <v>3.3366263340314792</v>
      </c>
      <c r="S283" s="66">
        <f t="shared" si="224"/>
        <v>3.3030361373904995</v>
      </c>
      <c r="T283" s="66">
        <f t="shared" si="224"/>
        <v>3.2694459407495193</v>
      </c>
      <c r="U283" s="66">
        <f t="shared" si="224"/>
        <v>3.2358557441085396</v>
      </c>
      <c r="V283" s="66">
        <f t="shared" si="224"/>
        <v>3.2022655474675585</v>
      </c>
      <c r="W283" s="66">
        <f t="shared" si="224"/>
        <v>3.1686753508265793</v>
      </c>
      <c r="X283" s="66">
        <f t="shared" si="224"/>
        <v>3.1350851541856</v>
      </c>
      <c r="Y283" s="66">
        <f t="shared" si="224"/>
        <v>3.1014949575446198</v>
      </c>
      <c r="Z283" s="66">
        <f t="shared" si="224"/>
        <v>3.0679047609036396</v>
      </c>
      <c r="AA283" s="66">
        <f t="shared" si="224"/>
        <v>3.034314564262659</v>
      </c>
      <c r="AB283" s="66">
        <f t="shared" si="224"/>
        <v>3.0007243676216788</v>
      </c>
      <c r="AC283" s="66">
        <f t="shared" si="224"/>
        <v>2.9671341709807</v>
      </c>
    </row>
    <row r="284" spans="1:29" ht="15.75" thickBot="1" x14ac:dyDescent="0.3">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75" thickBot="1" x14ac:dyDescent="0.3">
      <c r="A285" s="31" t="s">
        <v>187</v>
      </c>
      <c r="B285" s="76">
        <f>B276+B277+B278-B279+B280+B281+B282+B283+B284</f>
        <v>23.278399906198764</v>
      </c>
      <c r="C285" s="76">
        <f t="shared" ref="C285:AC285" si="227">C276+C277+C278-C279+C280+C281+C282+C283+C284</f>
        <v>23.251400109964813</v>
      </c>
      <c r="D285" s="76">
        <f t="shared" si="227"/>
        <v>23.213064269781668</v>
      </c>
      <c r="E285" s="76">
        <f t="shared" si="227"/>
        <v>23.158880243521835</v>
      </c>
      <c r="F285" s="76">
        <f t="shared" si="227"/>
        <v>23.082806848213842</v>
      </c>
      <c r="G285" s="76">
        <f t="shared" si="227"/>
        <v>22.977037213238084</v>
      </c>
      <c r="H285" s="76">
        <f t="shared" si="227"/>
        <v>22.83203100053624</v>
      </c>
      <c r="I285" s="76">
        <f t="shared" si="227"/>
        <v>22.637158188902525</v>
      </c>
      <c r="J285" s="76">
        <f t="shared" si="227"/>
        <v>22.444003804613857</v>
      </c>
      <c r="K285" s="76">
        <f t="shared" si="227"/>
        <v>22.184788377592248</v>
      </c>
      <c r="L285" s="76">
        <f t="shared" si="227"/>
        <v>21.861422668223657</v>
      </c>
      <c r="M285" s="76">
        <f t="shared" si="227"/>
        <v>21.487715936742916</v>
      </c>
      <c r="N285" s="76">
        <f t="shared" si="227"/>
        <v>21.089765407349883</v>
      </c>
      <c r="O285" s="76">
        <f t="shared" si="227"/>
        <v>20.605685395322464</v>
      </c>
      <c r="P285" s="76">
        <f t="shared" si="227"/>
        <v>20.162005047053547</v>
      </c>
      <c r="Q285" s="76">
        <f t="shared" si="227"/>
        <v>19.779896619489421</v>
      </c>
      <c r="R285" s="76">
        <f t="shared" si="227"/>
        <v>19.46720573595783</v>
      </c>
      <c r="S285" s="76">
        <f t="shared" si="227"/>
        <v>19.220649327846843</v>
      </c>
      <c r="T285" s="76">
        <f t="shared" si="227"/>
        <v>19.030511885860562</v>
      </c>
      <c r="U285" s="76">
        <f t="shared" si="227"/>
        <v>18.884992673514148</v>
      </c>
      <c r="V285" s="76">
        <f t="shared" si="227"/>
        <v>18.772956766501576</v>
      </c>
      <c r="W285" s="76">
        <f t="shared" si="227"/>
        <v>18.685155762343651</v>
      </c>
      <c r="X285" s="76">
        <f t="shared" si="227"/>
        <v>18.614466408690667</v>
      </c>
      <c r="Y285" s="76">
        <f t="shared" si="227"/>
        <v>18.555656866908851</v>
      </c>
      <c r="Z285" s="76">
        <f t="shared" si="227"/>
        <v>18.505001020036936</v>
      </c>
      <c r="AA285" s="76">
        <f t="shared" si="227"/>
        <v>18.459898317933277</v>
      </c>
      <c r="AB285" s="76">
        <f t="shared" si="227"/>
        <v>18.418557959804097</v>
      </c>
      <c r="AC285" s="76">
        <f t="shared" si="227"/>
        <v>18.379757720067609</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25">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25">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25">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25">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25">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25">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25">
      <c r="A295" s="30" t="str">
        <f t="shared" si="228"/>
        <v>Fuel Cost</v>
      </c>
      <c r="B295" s="66">
        <f>B253*B254*B261/B261/(B258)</f>
        <v>1.4120879396070311E-3</v>
      </c>
      <c r="C295" s="66">
        <f t="shared" ref="C295:AC295" si="236">C253*C254*C261/C261/(C258)</f>
        <v>1.4120879396070311E-3</v>
      </c>
      <c r="D295" s="66">
        <f t="shared" si="236"/>
        <v>1.4120879396070311E-3</v>
      </c>
      <c r="E295" s="66">
        <f t="shared" si="236"/>
        <v>1.4120879396070311E-3</v>
      </c>
      <c r="F295" s="66">
        <f t="shared" si="236"/>
        <v>1.4120879396070311E-3</v>
      </c>
      <c r="G295" s="66">
        <f t="shared" si="236"/>
        <v>1.4120879396070311E-3</v>
      </c>
      <c r="H295" s="66">
        <f t="shared" si="236"/>
        <v>1.4120879396070311E-3</v>
      </c>
      <c r="I295" s="66">
        <f t="shared" si="236"/>
        <v>1.4120879396070311E-3</v>
      </c>
      <c r="J295" s="66">
        <f t="shared" si="236"/>
        <v>1.4395799160244996E-3</v>
      </c>
      <c r="K295" s="66">
        <f t="shared" si="236"/>
        <v>1.4670718924419688E-3</v>
      </c>
      <c r="L295" s="66">
        <f t="shared" si="236"/>
        <v>1.4945638688594373E-3</v>
      </c>
      <c r="M295" s="66">
        <f t="shared" si="236"/>
        <v>1.522055845276906E-3</v>
      </c>
      <c r="N295" s="66">
        <f t="shared" si="236"/>
        <v>1.5495478216943747E-3</v>
      </c>
      <c r="O295" s="66">
        <f t="shared" si="236"/>
        <v>1.5345521981939372E-3</v>
      </c>
      <c r="P295" s="66">
        <f t="shared" si="236"/>
        <v>1.5195565746934996E-3</v>
      </c>
      <c r="Q295" s="66">
        <f t="shared" si="236"/>
        <v>1.5045609511930621E-3</v>
      </c>
      <c r="R295" s="66">
        <f t="shared" si="236"/>
        <v>1.4895653276926248E-3</v>
      </c>
      <c r="S295" s="66">
        <f t="shared" si="236"/>
        <v>1.4745697041921872E-3</v>
      </c>
      <c r="T295" s="66">
        <f t="shared" si="236"/>
        <v>1.4595740806917497E-3</v>
      </c>
      <c r="U295" s="66">
        <f t="shared" si="236"/>
        <v>1.4445784571913123E-3</v>
      </c>
      <c r="V295" s="66">
        <f t="shared" si="236"/>
        <v>1.4295828336908744E-3</v>
      </c>
      <c r="W295" s="66">
        <f t="shared" si="236"/>
        <v>1.4145872101904372E-3</v>
      </c>
      <c r="X295" s="66">
        <f t="shared" si="236"/>
        <v>1.3995915866899999E-3</v>
      </c>
      <c r="Y295" s="66">
        <f t="shared" si="236"/>
        <v>1.3845959631895624E-3</v>
      </c>
      <c r="Z295" s="66">
        <f t="shared" si="236"/>
        <v>1.3696003396891248E-3</v>
      </c>
      <c r="AA295" s="66">
        <f t="shared" si="236"/>
        <v>1.3546047161886871E-3</v>
      </c>
      <c r="AB295" s="66">
        <f t="shared" si="236"/>
        <v>1.3396090926882495E-3</v>
      </c>
      <c r="AC295" s="66">
        <f t="shared" si="236"/>
        <v>1.3246134691878124E-3</v>
      </c>
    </row>
    <row r="296" spans="1:29" x14ac:dyDescent="0.25">
      <c r="A296" s="59" t="str">
        <f>A259</f>
        <v>Market failure (av. utilization)</v>
      </c>
      <c r="B296" s="66">
        <f t="shared" ref="B296:AC296" si="237">B285/B259-B285/B258</f>
        <v>1.3964441908015442E-2</v>
      </c>
      <c r="C296" s="66">
        <f t="shared" si="237"/>
        <v>1.3948245043645186E-2</v>
      </c>
      <c r="D296" s="66">
        <f t="shared" si="237"/>
        <v>1.3925247818088892E-2</v>
      </c>
      <c r="E296" s="66">
        <f t="shared" si="237"/>
        <v>1.3892743449657349E-2</v>
      </c>
      <c r="F296" s="66">
        <f t="shared" si="237"/>
        <v>1.3847107902806851E-2</v>
      </c>
      <c r="G296" s="66">
        <f t="shared" si="237"/>
        <v>1.378365792646816E-2</v>
      </c>
      <c r="H296" s="66">
        <f t="shared" si="237"/>
        <v>1.3696670382576147E-2</v>
      </c>
      <c r="I296" s="66">
        <f t="shared" si="237"/>
        <v>1.3579768444793644E-2</v>
      </c>
      <c r="J296" s="66">
        <f t="shared" si="237"/>
        <v>1.3463897371629405E-2</v>
      </c>
      <c r="K296" s="66">
        <f t="shared" si="237"/>
        <v>1.3308397045709635E-2</v>
      </c>
      <c r="L296" s="66">
        <f t="shared" si="237"/>
        <v>1.3114413710011402E-2</v>
      </c>
      <c r="M296" s="66">
        <f t="shared" si="237"/>
        <v>1.2890231379463523E-2</v>
      </c>
      <c r="N296" s="66">
        <f t="shared" si="237"/>
        <v>1.2651505475949287E-2</v>
      </c>
      <c r="O296" s="66">
        <f t="shared" si="237"/>
        <v>1.2361111495519895E-2</v>
      </c>
      <c r="P296" s="66">
        <f t="shared" si="237"/>
        <v>1.2094952804454556E-2</v>
      </c>
      <c r="Q296" s="66">
        <f t="shared" si="237"/>
        <v>1.186573039394594E-2</v>
      </c>
      <c r="R296" s="66">
        <f t="shared" si="237"/>
        <v>1.1678150762363095E-2</v>
      </c>
      <c r="S296" s="66">
        <f t="shared" si="237"/>
        <v>1.1530244434952765E-2</v>
      </c>
      <c r="T296" s="66">
        <f t="shared" si="237"/>
        <v>1.1416183190457646E-2</v>
      </c>
      <c r="U296" s="66">
        <f t="shared" si="237"/>
        <v>1.132888790403332E-2</v>
      </c>
      <c r="V296" s="66">
        <f t="shared" si="237"/>
        <v>1.1261678863833256E-2</v>
      </c>
      <c r="W296" s="66">
        <f t="shared" si="237"/>
        <v>1.1209008060557713E-2</v>
      </c>
      <c r="X296" s="66">
        <f t="shared" si="237"/>
        <v>1.1166602337802716E-2</v>
      </c>
      <c r="Y296" s="66">
        <f t="shared" si="237"/>
        <v>1.1131323176298558E-2</v>
      </c>
      <c r="Z296" s="66">
        <f t="shared" si="237"/>
        <v>1.1100935321729745E-2</v>
      </c>
      <c r="AA296" s="66">
        <f t="shared" si="237"/>
        <v>1.1073878734251268E-2</v>
      </c>
      <c r="AB296" s="66">
        <f t="shared" si="237"/>
        <v>1.1049079133253016E-2</v>
      </c>
      <c r="AC296" s="66">
        <f t="shared" si="237"/>
        <v>1.1025803319795021E-2</v>
      </c>
    </row>
    <row r="297" spans="1:29" x14ac:dyDescent="0.25">
      <c r="A297" s="59" t="str">
        <f>A260</f>
        <v>Payload loss (fuel)</v>
      </c>
      <c r="B297" s="66">
        <f>B285/(B258-B260)-B285/B258</f>
        <v>3.8226000875932198E-4</v>
      </c>
      <c r="C297" s="66">
        <f t="shared" ref="C297:AC297" si="238">C285/(C258-C260)-C285/C258</f>
        <v>3.8069046698163862E-4</v>
      </c>
      <c r="D297" s="66">
        <f t="shared" si="238"/>
        <v>3.7846683997479723E-4</v>
      </c>
      <c r="E297" s="66">
        <f t="shared" si="238"/>
        <v>3.7533375422622688E-4</v>
      </c>
      <c r="F297" s="66">
        <f t="shared" si="238"/>
        <v>3.7095431160985917E-4</v>
      </c>
      <c r="G297" s="66">
        <f t="shared" si="238"/>
        <v>3.6490282664380404E-4</v>
      </c>
      <c r="H297" s="66">
        <f t="shared" si="238"/>
        <v>3.566773341780443E-4</v>
      </c>
      <c r="I297" s="66">
        <f t="shared" si="238"/>
        <v>3.4575200791293718E-4</v>
      </c>
      <c r="J297" s="66">
        <f t="shared" si="238"/>
        <v>3.326054067707921E-4</v>
      </c>
      <c r="K297" s="66">
        <f t="shared" si="238"/>
        <v>3.1609980994706625E-4</v>
      </c>
      <c r="L297" s="66">
        <f t="shared" si="238"/>
        <v>2.9655788583948101E-4</v>
      </c>
      <c r="M297" s="66">
        <f t="shared" si="238"/>
        <v>2.7494198068144481E-4</v>
      </c>
      <c r="N297" s="66">
        <f t="shared" si="238"/>
        <v>2.5276447061213687E-4</v>
      </c>
      <c r="O297" s="66">
        <f t="shared" si="238"/>
        <v>2.3065481896819735E-4</v>
      </c>
      <c r="P297" s="66">
        <f t="shared" si="238"/>
        <v>2.1121046611023361E-4</v>
      </c>
      <c r="Q297" s="66">
        <f t="shared" si="238"/>
        <v>1.9517164459972002E-4</v>
      </c>
      <c r="R297" s="66">
        <f t="shared" si="238"/>
        <v>1.8262270463031451E-4</v>
      </c>
      <c r="S297" s="66">
        <f t="shared" si="238"/>
        <v>1.7319346588648421E-4</v>
      </c>
      <c r="T297" s="66">
        <f t="shared" si="238"/>
        <v>1.6630817918197698E-4</v>
      </c>
      <c r="U297" s="66">
        <f t="shared" si="238"/>
        <v>1.6137061077375024E-4</v>
      </c>
      <c r="V297" s="66">
        <f t="shared" si="238"/>
        <v>1.5786113300831836E-4</v>
      </c>
      <c r="W297" s="66">
        <f t="shared" si="238"/>
        <v>1.5536826691653349E-4</v>
      </c>
      <c r="X297" s="66">
        <f t="shared" si="238"/>
        <v>1.5358471250854003E-4</v>
      </c>
      <c r="Y297" s="66">
        <f t="shared" si="238"/>
        <v>1.5228938392464371E-4</v>
      </c>
      <c r="Z297" s="66">
        <f t="shared" si="238"/>
        <v>1.5132704087949221E-4</v>
      </c>
      <c r="AA297" s="66">
        <f t="shared" si="238"/>
        <v>1.5059040815307116E-4</v>
      </c>
      <c r="AB297" s="66">
        <f t="shared" si="238"/>
        <v>1.5000613748450409E-4</v>
      </c>
      <c r="AC297" s="66">
        <f t="shared" si="238"/>
        <v>1.4952443033536787E-4</v>
      </c>
    </row>
    <row r="298" spans="1:29" ht="15.75" thickBot="1" x14ac:dyDescent="0.3">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75" thickBot="1" x14ac:dyDescent="0.3">
      <c r="A299" s="31" t="s">
        <v>505</v>
      </c>
      <c r="B299" s="67">
        <f>B288+B289+B290+B291+B292+B293+B294+B295+B296+B297+B298</f>
        <v>2.4687970144163886E-2</v>
      </c>
      <c r="C299" s="67">
        <f t="shared" ref="C299:AC299" si="240">C288+C289+C290+C291+C292+C293+C294+C295+C296+C297+C298</f>
        <v>2.4658150257554357E-2</v>
      </c>
      <c r="D299" s="67">
        <f t="shared" si="240"/>
        <v>2.4615815190623752E-2</v>
      </c>
      <c r="E299" s="67">
        <f t="shared" si="240"/>
        <v>2.4555988439006207E-2</v>
      </c>
      <c r="F299" s="67">
        <f t="shared" si="240"/>
        <v>2.4472012112348274E-2</v>
      </c>
      <c r="G299" s="67">
        <f t="shared" si="240"/>
        <v>2.4355292064000778E-2</v>
      </c>
      <c r="H299" s="67">
        <f t="shared" si="240"/>
        <v>2.419534411125826E-2</v>
      </c>
      <c r="I299" s="67">
        <f t="shared" si="240"/>
        <v>2.3980520056302738E-2</v>
      </c>
      <c r="J299" s="67">
        <f t="shared" si="240"/>
        <v>2.3765272746153199E-2</v>
      </c>
      <c r="K299" s="67">
        <f t="shared" si="240"/>
        <v>2.3477545650632203E-2</v>
      </c>
      <c r="L299" s="67">
        <f t="shared" si="240"/>
        <v>2.3119660699143972E-2</v>
      </c>
      <c r="M299" s="67">
        <f t="shared" si="240"/>
        <v>2.2707029101169868E-2</v>
      </c>
      <c r="N299" s="67">
        <f t="shared" si="240"/>
        <v>2.2268469201250148E-2</v>
      </c>
      <c r="O299" s="67">
        <f t="shared" si="240"/>
        <v>2.1739858420950289E-2</v>
      </c>
      <c r="P299" s="67">
        <f t="shared" si="240"/>
        <v>2.1256183792978365E-2</v>
      </c>
      <c r="Q299" s="67">
        <f t="shared" si="240"/>
        <v>2.0840338441510967E-2</v>
      </c>
      <c r="R299" s="67">
        <f t="shared" si="240"/>
        <v>2.0500615725524966E-2</v>
      </c>
      <c r="S299" s="67">
        <f t="shared" si="240"/>
        <v>2.0233210334321263E-2</v>
      </c>
      <c r="T299" s="67">
        <f t="shared" si="240"/>
        <v>2.0027381016520622E-2</v>
      </c>
      <c r="U299" s="67">
        <f t="shared" si="240"/>
        <v>1.9870184227604844E-2</v>
      </c>
      <c r="V299" s="67">
        <f t="shared" si="240"/>
        <v>1.974944967972302E-2</v>
      </c>
      <c r="W299" s="67">
        <f t="shared" si="240"/>
        <v>1.9655089133499476E-2</v>
      </c>
      <c r="X299" s="67">
        <f t="shared" si="240"/>
        <v>1.9579342109169975E-2</v>
      </c>
      <c r="Y299" s="67">
        <f t="shared" si="240"/>
        <v>1.9516513359357897E-2</v>
      </c>
      <c r="Z299" s="67">
        <f t="shared" si="240"/>
        <v>1.9462548944390402E-2</v>
      </c>
      <c r="AA299" s="67">
        <f t="shared" si="240"/>
        <v>1.9414620589317796E-2</v>
      </c>
      <c r="AB299" s="67">
        <f t="shared" si="240"/>
        <v>1.9370781200629024E-2</v>
      </c>
      <c r="AC299" s="67">
        <f t="shared" si="240"/>
        <v>1.9329702144425247E-2</v>
      </c>
    </row>
    <row r="301" spans="1:29" x14ac:dyDescent="0.25">
      <c r="B301" s="40"/>
    </row>
    <row r="324" spans="1:44" s="3" customFormat="1" ht="21" x14ac:dyDescent="0.35">
      <c r="A324" s="2" t="str">
        <f>'Parameter Input'!A182</f>
        <v>Railway long-haul: Break bulk</v>
      </c>
    </row>
    <row r="325" spans="1:44" s="3" customFormat="1" ht="21" x14ac:dyDescent="0.35">
      <c r="A325" s="2" t="s">
        <v>299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Input'!$L$171</f>
        <v>10000000</v>
      </c>
      <c r="C334" s="42">
        <f>'Parameter Input'!$M$171</f>
        <v>6250000</v>
      </c>
      <c r="D334" s="1" t="s">
        <v>138</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25">
      <c r="A335" s="24" t="s">
        <v>151</v>
      </c>
      <c r="B335" s="60">
        <f>'Parameter Input'!$L$172</f>
        <v>-500000</v>
      </c>
      <c r="C335" s="61">
        <f>'Parameter Input'!$M$172</f>
        <v>-937500</v>
      </c>
      <c r="D335" s="1" t="s">
        <v>138</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25">
      <c r="A338" s="24" t="s">
        <v>203</v>
      </c>
      <c r="B338" s="45">
        <f>'Parameter Input'!$L$178</f>
        <v>0.06</v>
      </c>
      <c r="C338" s="46">
        <f>'Parameter Input'!$M$178</f>
        <v>0.06</v>
      </c>
      <c r="D338" s="1" t="s">
        <v>180</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25">
      <c r="A340" s="24" t="s">
        <v>175</v>
      </c>
      <c r="B340" s="43">
        <f>'Parameter Input'!$L$174</f>
        <v>1300000</v>
      </c>
      <c r="C340" s="44">
        <f>'Parameter Input'!$M$174</f>
        <v>812500</v>
      </c>
      <c r="D340" s="1" t="s">
        <v>161</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25">
      <c r="A342" s="24" t="s">
        <v>183</v>
      </c>
      <c r="B342" s="47">
        <f>'Parameter Input'!$L$175</f>
        <v>33.590199999999996</v>
      </c>
      <c r="C342" s="48">
        <f>'Parameter Input'!$M$175</f>
        <v>33.590199999999996</v>
      </c>
      <c r="D342" s="1" t="s">
        <v>184</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25">
      <c r="A343" s="24" t="s">
        <v>191</v>
      </c>
      <c r="B343" s="45">
        <f>'Parameter Input'!$L$176</f>
        <v>0.13371034051801745</v>
      </c>
      <c r="C343" s="46">
        <f>'Parameter Input'!$M$176</f>
        <v>8.7585019329602734E-2</v>
      </c>
      <c r="D343" s="1" t="s">
        <v>94</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25">
      <c r="A344" s="24" t="s">
        <v>458</v>
      </c>
      <c r="B344" s="115">
        <f>'Parameter Input'!$L$179</f>
        <v>0</v>
      </c>
      <c r="C344" s="116">
        <f>'Parameter Input'!$M$179</f>
        <v>0</v>
      </c>
      <c r="D344" s="1" t="s">
        <v>200</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25">
      <c r="A345" s="24" t="s">
        <v>164</v>
      </c>
      <c r="B345" s="43">
        <f>'Parameter Input'!$L$173</f>
        <v>20</v>
      </c>
      <c r="C345" s="44">
        <f>'Parameter Input'!$M$173</f>
        <v>20</v>
      </c>
      <c r="D345" s="1" t="s">
        <v>165</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25">
      <c r="A349" s="24" t="s">
        <v>197</v>
      </c>
      <c r="B349" s="72">
        <f>'Parameter Input'!$L$177</f>
        <v>3.5714285714285712E-2</v>
      </c>
      <c r="C349" s="73">
        <f>'Parameter Input'!$M$177</f>
        <v>1.7857142857142856E-2</v>
      </c>
      <c r="D349" s="1" t="s">
        <v>180</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25">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25">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25">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25">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25">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25">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25">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25">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25">
      <c r="A363" s="30" t="str">
        <f t="shared" si="246"/>
        <v>Fuel Cost</v>
      </c>
      <c r="B363" s="62">
        <f>'Parameter Input'!J4</f>
        <v>9.4166661249999992E-2</v>
      </c>
      <c r="C363" s="62">
        <f>'Parameter Input'!K4</f>
        <v>9.4166661249999992E-2</v>
      </c>
      <c r="D363" s="62">
        <f>'Parameter Input'!L4</f>
        <v>9.4166661249999992E-2</v>
      </c>
      <c r="E363" s="62">
        <f>'Parameter Input'!M4</f>
        <v>9.4166661249999992E-2</v>
      </c>
      <c r="F363" s="62">
        <f>'Parameter Input'!N4</f>
        <v>9.4166661249999992E-2</v>
      </c>
      <c r="G363" s="62">
        <f>'Parameter Input'!O4</f>
        <v>9.4166661249999992E-2</v>
      </c>
      <c r="H363" s="62">
        <f>'Parameter Input'!P4</f>
        <v>9.4166661249999992E-2</v>
      </c>
      <c r="I363" s="62">
        <f>'Parameter Input'!Q4</f>
        <v>9.4166661249999992E-2</v>
      </c>
      <c r="J363" s="62">
        <f>'Parameter Input'!R4</f>
        <v>9.5999994399999997E-2</v>
      </c>
      <c r="K363" s="62">
        <f>'Parameter Input'!S4</f>
        <v>9.7833327550000002E-2</v>
      </c>
      <c r="L363" s="62">
        <f>'Parameter Input'!T4</f>
        <v>9.9666660700000007E-2</v>
      </c>
      <c r="M363" s="62">
        <f>'Parameter Input'!U4</f>
        <v>0.10149999385000001</v>
      </c>
      <c r="N363" s="62">
        <f>'Parameter Input'!V4</f>
        <v>0.103333327</v>
      </c>
      <c r="O363" s="62">
        <f>'Parameter Input'!W4</f>
        <v>0.1023333271</v>
      </c>
      <c r="P363" s="62">
        <f>'Parameter Input'!X4</f>
        <v>0.10133332719999999</v>
      </c>
      <c r="Q363" s="62">
        <f>'Parameter Input'!Y4</f>
        <v>0.10033332729999998</v>
      </c>
      <c r="R363" s="62">
        <f>'Parameter Input'!Z4</f>
        <v>9.9333327399999977E-2</v>
      </c>
      <c r="S363" s="62">
        <f>'Parameter Input'!AA4</f>
        <v>9.8333327499999998E-2</v>
      </c>
      <c r="T363" s="62">
        <f>'Parameter Input'!AB4</f>
        <v>9.7333327599999991E-2</v>
      </c>
      <c r="U363" s="62">
        <f>'Parameter Input'!AC4</f>
        <v>9.6333327699999985E-2</v>
      </c>
      <c r="V363" s="62">
        <f>'Parameter Input'!AD4</f>
        <v>9.5333327799999978E-2</v>
      </c>
      <c r="W363" s="62">
        <f>'Parameter Input'!AE4</f>
        <v>9.4333327899999986E-2</v>
      </c>
      <c r="X363" s="62">
        <f>'Parameter Input'!AF4</f>
        <v>9.3333328000000007E-2</v>
      </c>
      <c r="Y363" s="62">
        <f>'Parameter Input'!AG4</f>
        <v>9.2333328100000001E-2</v>
      </c>
      <c r="Z363" s="62">
        <f>'Parameter Input'!AH4</f>
        <v>9.1333328199999994E-2</v>
      </c>
      <c r="AA363" s="62">
        <f>'Parameter Input'!AI4</f>
        <v>9.0333328299999988E-2</v>
      </c>
      <c r="AB363" s="62">
        <f>'Parameter Input'!AJ4</f>
        <v>8.9333328399999981E-2</v>
      </c>
      <c r="AC363" s="62">
        <f>'Parameter Input'!AK4</f>
        <v>8.8333328500000016E-2</v>
      </c>
    </row>
    <row r="364" spans="1:29" x14ac:dyDescent="0.25">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25">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25">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25">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25">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25">
      <c r="A369" s="30" t="s">
        <v>197</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25">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25">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25">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25">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25">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25">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25">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25">
      <c r="A380" s="30" t="str">
        <f>A363</f>
        <v>Fuel Cost</v>
      </c>
      <c r="B380" s="62">
        <f>B362*B363*B370</f>
        <v>564609.2417724753</v>
      </c>
      <c r="C380" s="62">
        <f t="shared" ref="C380:AC380" si="291">C362*C363*C370</f>
        <v>564609.2417724753</v>
      </c>
      <c r="D380" s="62">
        <f t="shared" si="291"/>
        <v>564609.2417724753</v>
      </c>
      <c r="E380" s="62">
        <f t="shared" si="291"/>
        <v>564609.2417724753</v>
      </c>
      <c r="F380" s="62">
        <f t="shared" si="291"/>
        <v>564609.2417724753</v>
      </c>
      <c r="G380" s="62">
        <f t="shared" si="291"/>
        <v>564609.2417724753</v>
      </c>
      <c r="H380" s="62">
        <f t="shared" si="291"/>
        <v>564609.2417724753</v>
      </c>
      <c r="I380" s="62">
        <f t="shared" si="291"/>
        <v>564609.2417724753</v>
      </c>
      <c r="J380" s="62">
        <f t="shared" si="291"/>
        <v>575601.63362323598</v>
      </c>
      <c r="K380" s="62">
        <f t="shared" si="291"/>
        <v>586594.02547399676</v>
      </c>
      <c r="L380" s="62">
        <f t="shared" si="291"/>
        <v>597586.41732475744</v>
      </c>
      <c r="M380" s="62">
        <f t="shared" si="291"/>
        <v>608578.80917551811</v>
      </c>
      <c r="N380" s="62">
        <f t="shared" si="291"/>
        <v>619571.20102627878</v>
      </c>
      <c r="O380" s="62">
        <f t="shared" si="291"/>
        <v>613575.35092586384</v>
      </c>
      <c r="P380" s="62">
        <f t="shared" si="291"/>
        <v>607579.50082544889</v>
      </c>
      <c r="Q380" s="62">
        <f t="shared" si="291"/>
        <v>601583.65072503395</v>
      </c>
      <c r="R380" s="62">
        <f t="shared" si="291"/>
        <v>595587.80062461901</v>
      </c>
      <c r="S380" s="62">
        <f t="shared" si="291"/>
        <v>589591.95052420418</v>
      </c>
      <c r="T380" s="62">
        <f t="shared" si="291"/>
        <v>583596.10042378923</v>
      </c>
      <c r="U380" s="62">
        <f t="shared" si="291"/>
        <v>577600.25032337429</v>
      </c>
      <c r="V380" s="62">
        <f t="shared" si="291"/>
        <v>571604.40022295923</v>
      </c>
      <c r="W380" s="62">
        <f t="shared" si="291"/>
        <v>565608.5501225444</v>
      </c>
      <c r="X380" s="62">
        <f t="shared" si="291"/>
        <v>559612.70002212957</v>
      </c>
      <c r="Y380" s="62">
        <f t="shared" si="291"/>
        <v>553616.84992171463</v>
      </c>
      <c r="Z380" s="62">
        <f t="shared" si="291"/>
        <v>547620.99982129969</v>
      </c>
      <c r="AA380" s="62">
        <f t="shared" si="291"/>
        <v>541625.14972088463</v>
      </c>
      <c r="AB380" s="62">
        <f t="shared" si="291"/>
        <v>535629.29962046968</v>
      </c>
      <c r="AC380" s="62">
        <f t="shared" si="291"/>
        <v>529633.44952005497</v>
      </c>
    </row>
    <row r="381" spans="1:29" ht="15.75" thickBot="1" x14ac:dyDescent="0.3">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75" thickBot="1" x14ac:dyDescent="0.3">
      <c r="A382" s="31" t="s">
        <v>504</v>
      </c>
      <c r="B382" s="64">
        <f>B373+B374+B375+B376+B377+B378+B379+B380+B381</f>
        <v>6021475.740321029</v>
      </c>
      <c r="C382" s="64">
        <f t="shared" ref="C382:AC382" si="293">C373+C374+C375+C376+C377+C378+C379+C380+C381</f>
        <v>6016656.2766932687</v>
      </c>
      <c r="D382" s="64">
        <f t="shared" si="293"/>
        <v>6009813.3292205771</v>
      </c>
      <c r="E382" s="64">
        <f t="shared" si="293"/>
        <v>6000141.4805331975</v>
      </c>
      <c r="F382" s="64">
        <f t="shared" si="293"/>
        <v>5986562.37947072</v>
      </c>
      <c r="G382" s="64">
        <f t="shared" si="293"/>
        <v>5967682.4996275483</v>
      </c>
      <c r="H382" s="64">
        <f t="shared" si="293"/>
        <v>5941798.8906602692</v>
      </c>
      <c r="I382" s="64">
        <f t="shared" si="293"/>
        <v>5907014.0937836505</v>
      </c>
      <c r="J382" s="64">
        <f t="shared" si="293"/>
        <v>5872536.0361881228</v>
      </c>
      <c r="K382" s="64">
        <f t="shared" si="293"/>
        <v>5826266.0824647658</v>
      </c>
      <c r="L382" s="64">
        <f t="shared" si="293"/>
        <v>5768545.3033424718</v>
      </c>
      <c r="M382" s="64">
        <f t="shared" si="293"/>
        <v>5701838.6517731603</v>
      </c>
      <c r="N382" s="64">
        <f t="shared" si="293"/>
        <v>5630804.482276503</v>
      </c>
      <c r="O382" s="64">
        <f t="shared" si="293"/>
        <v>5544396.2001296086</v>
      </c>
      <c r="P382" s="64">
        <f t="shared" si="293"/>
        <v>5465199.257963608</v>
      </c>
      <c r="Q382" s="64">
        <f t="shared" si="293"/>
        <v>5396992.9036434116</v>
      </c>
      <c r="R382" s="64">
        <f t="shared" si="293"/>
        <v>5341177.5809330223</v>
      </c>
      <c r="S382" s="64">
        <f t="shared" si="293"/>
        <v>5297167.2620852115</v>
      </c>
      <c r="T382" s="64">
        <f t="shared" si="293"/>
        <v>5263227.7286906606</v>
      </c>
      <c r="U382" s="64">
        <f t="shared" si="293"/>
        <v>5237252.5492868237</v>
      </c>
      <c r="V382" s="64">
        <f t="shared" si="293"/>
        <v>5217254.139885081</v>
      </c>
      <c r="W382" s="64">
        <f t="shared" si="293"/>
        <v>5201581.6606428903</v>
      </c>
      <c r="X382" s="64">
        <f t="shared" si="293"/>
        <v>5188963.611015833</v>
      </c>
      <c r="Y382" s="64">
        <f t="shared" si="293"/>
        <v>5178466.1078077797</v>
      </c>
      <c r="Z382" s="64">
        <f t="shared" si="293"/>
        <v>5169424.0391411427</v>
      </c>
      <c r="AA382" s="64">
        <f t="shared" si="293"/>
        <v>5161373.2068156395</v>
      </c>
      <c r="AB382" s="64">
        <f t="shared" si="293"/>
        <v>5153993.9528895812</v>
      </c>
      <c r="AC382" s="64">
        <f t="shared" si="293"/>
        <v>5147068.1100966185</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25">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25">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25">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25">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25">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25">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25">
      <c r="A392" s="30" t="str">
        <f t="shared" si="294"/>
        <v>Fuel Cost</v>
      </c>
      <c r="B392" s="66">
        <f>B362*B363*B370/B370</f>
        <v>3.1630769847197495</v>
      </c>
      <c r="C392" s="66">
        <f t="shared" ref="C392:AC392" si="302">C362*C363*C370/C370</f>
        <v>3.1630769847197495</v>
      </c>
      <c r="D392" s="66">
        <f t="shared" si="302"/>
        <v>3.1630769847197495</v>
      </c>
      <c r="E392" s="66">
        <f t="shared" si="302"/>
        <v>3.1630769847197495</v>
      </c>
      <c r="F392" s="66">
        <f t="shared" si="302"/>
        <v>3.1630769847197495</v>
      </c>
      <c r="G392" s="66">
        <f t="shared" si="302"/>
        <v>3.1630769847197495</v>
      </c>
      <c r="H392" s="66">
        <f t="shared" si="302"/>
        <v>3.1630769847197495</v>
      </c>
      <c r="I392" s="66">
        <f t="shared" si="302"/>
        <v>3.1630769847197495</v>
      </c>
      <c r="J392" s="66">
        <f t="shared" si="302"/>
        <v>3.2246590118948792</v>
      </c>
      <c r="K392" s="66">
        <f t="shared" si="302"/>
        <v>3.2862410390700099</v>
      </c>
      <c r="L392" s="66">
        <f t="shared" si="302"/>
        <v>3.3478230662451396</v>
      </c>
      <c r="M392" s="66">
        <f t="shared" si="302"/>
        <v>3.4094050934202693</v>
      </c>
      <c r="N392" s="66">
        <f t="shared" si="302"/>
        <v>3.4709871205953995</v>
      </c>
      <c r="O392" s="66">
        <f t="shared" si="302"/>
        <v>3.4373969239544193</v>
      </c>
      <c r="P392" s="66">
        <f t="shared" si="302"/>
        <v>3.4038067273134391</v>
      </c>
      <c r="Q392" s="66">
        <f t="shared" si="302"/>
        <v>3.370216530672459</v>
      </c>
      <c r="R392" s="66">
        <f t="shared" si="302"/>
        <v>3.3366263340314792</v>
      </c>
      <c r="S392" s="66">
        <f t="shared" si="302"/>
        <v>3.3030361373904995</v>
      </c>
      <c r="T392" s="66">
        <f t="shared" si="302"/>
        <v>3.2694459407495193</v>
      </c>
      <c r="U392" s="66">
        <f t="shared" si="302"/>
        <v>3.2358557441085396</v>
      </c>
      <c r="V392" s="66">
        <f t="shared" si="302"/>
        <v>3.2022655474675585</v>
      </c>
      <c r="W392" s="66">
        <f t="shared" si="302"/>
        <v>3.1686753508265793</v>
      </c>
      <c r="X392" s="66">
        <f t="shared" si="302"/>
        <v>3.1350851541856</v>
      </c>
      <c r="Y392" s="66">
        <f t="shared" si="302"/>
        <v>3.1014949575446198</v>
      </c>
      <c r="Z392" s="66">
        <f t="shared" si="302"/>
        <v>3.0679047609036396</v>
      </c>
      <c r="AA392" s="66">
        <f t="shared" si="302"/>
        <v>3.034314564262659</v>
      </c>
      <c r="AB392" s="66">
        <f t="shared" si="302"/>
        <v>3.0007243676216788</v>
      </c>
      <c r="AC392" s="66">
        <f t="shared" si="302"/>
        <v>2.9671341709807</v>
      </c>
    </row>
    <row r="393" spans="1:29" ht="15.75" thickBot="1" x14ac:dyDescent="0.3">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75" thickBot="1" x14ac:dyDescent="0.3">
      <c r="A394" s="31" t="s">
        <v>187</v>
      </c>
      <c r="B394" s="76">
        <f>B385+B386+B387-B388+B389+B390+B391+B392+B393</f>
        <v>33.904696264127999</v>
      </c>
      <c r="C394" s="76">
        <f t="shared" ref="C394:AC394" si="305">C385+C386+C387-C388+C389+C390+C391+C392+C393</f>
        <v>33.877696467894047</v>
      </c>
      <c r="D394" s="76">
        <f t="shared" si="305"/>
        <v>33.83936062771091</v>
      </c>
      <c r="E394" s="76">
        <f t="shared" si="305"/>
        <v>33.785176601451077</v>
      </c>
      <c r="F394" s="76">
        <f t="shared" si="305"/>
        <v>33.709103206143077</v>
      </c>
      <c r="G394" s="76">
        <f t="shared" si="305"/>
        <v>33.603333571167326</v>
      </c>
      <c r="H394" s="76">
        <f t="shared" si="305"/>
        <v>33.458327358465482</v>
      </c>
      <c r="I394" s="76">
        <f t="shared" si="305"/>
        <v>33.263454546831767</v>
      </c>
      <c r="J394" s="76">
        <f t="shared" si="305"/>
        <v>33.070300162543099</v>
      </c>
      <c r="K394" s="76">
        <f t="shared" si="305"/>
        <v>32.81108473552149</v>
      </c>
      <c r="L394" s="76">
        <f t="shared" si="305"/>
        <v>32.487719026152895</v>
      </c>
      <c r="M394" s="76">
        <f t="shared" si="305"/>
        <v>32.114012294672158</v>
      </c>
      <c r="N394" s="76">
        <f t="shared" si="305"/>
        <v>31.716061765279122</v>
      </c>
      <c r="O394" s="76">
        <f t="shared" si="305"/>
        <v>31.231981753251702</v>
      </c>
      <c r="P394" s="76">
        <f t="shared" si="305"/>
        <v>30.788301404982782</v>
      </c>
      <c r="Q394" s="76">
        <f t="shared" si="305"/>
        <v>30.406192977418659</v>
      </c>
      <c r="R394" s="76">
        <f t="shared" si="305"/>
        <v>30.093502093887068</v>
      </c>
      <c r="S394" s="76">
        <f t="shared" si="305"/>
        <v>29.846945685776085</v>
      </c>
      <c r="T394" s="76">
        <f t="shared" si="305"/>
        <v>29.656808243789804</v>
      </c>
      <c r="U394" s="76">
        <f t="shared" si="305"/>
        <v>29.511289031443386</v>
      </c>
      <c r="V394" s="76">
        <f t="shared" si="305"/>
        <v>29.399253124430814</v>
      </c>
      <c r="W394" s="76">
        <f t="shared" si="305"/>
        <v>29.311452120272889</v>
      </c>
      <c r="X394" s="76">
        <f t="shared" si="305"/>
        <v>29.240762766619905</v>
      </c>
      <c r="Y394" s="76">
        <f t="shared" si="305"/>
        <v>29.181953224838097</v>
      </c>
      <c r="Z394" s="76">
        <f t="shared" si="305"/>
        <v>29.131297377966177</v>
      </c>
      <c r="AA394" s="76">
        <f t="shared" si="305"/>
        <v>29.086194675862515</v>
      </c>
      <c r="AB394" s="76">
        <f t="shared" si="305"/>
        <v>29.044854317733336</v>
      </c>
      <c r="AC394" s="76">
        <f t="shared" si="305"/>
        <v>29.006054077996851</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25">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25">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25">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25">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25">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25">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25">
      <c r="A404" s="30" t="str">
        <f t="shared" si="306"/>
        <v>Fuel Cost</v>
      </c>
      <c r="B404" s="66">
        <f>B362*B363*B370/B370/(B367)</f>
        <v>1.4120879396070311E-3</v>
      </c>
      <c r="C404" s="66">
        <f t="shared" ref="C404:AC404" si="314">C362*C363*C370/C370/(C367)</f>
        <v>1.4120879396070311E-3</v>
      </c>
      <c r="D404" s="66">
        <f t="shared" si="314"/>
        <v>1.4120879396070311E-3</v>
      </c>
      <c r="E404" s="66">
        <f t="shared" si="314"/>
        <v>1.4120879396070311E-3</v>
      </c>
      <c r="F404" s="66">
        <f t="shared" si="314"/>
        <v>1.4120879396070311E-3</v>
      </c>
      <c r="G404" s="66">
        <f t="shared" si="314"/>
        <v>1.4120879396070311E-3</v>
      </c>
      <c r="H404" s="66">
        <f t="shared" si="314"/>
        <v>1.4120879396070311E-3</v>
      </c>
      <c r="I404" s="66">
        <f t="shared" si="314"/>
        <v>1.4120879396070311E-3</v>
      </c>
      <c r="J404" s="66">
        <f t="shared" si="314"/>
        <v>1.4395799160244996E-3</v>
      </c>
      <c r="K404" s="66">
        <f t="shared" si="314"/>
        <v>1.4670718924419688E-3</v>
      </c>
      <c r="L404" s="66">
        <f t="shared" si="314"/>
        <v>1.4945638688594373E-3</v>
      </c>
      <c r="M404" s="66">
        <f t="shared" si="314"/>
        <v>1.522055845276906E-3</v>
      </c>
      <c r="N404" s="66">
        <f t="shared" si="314"/>
        <v>1.5495478216943747E-3</v>
      </c>
      <c r="O404" s="66">
        <f t="shared" si="314"/>
        <v>1.5345521981939372E-3</v>
      </c>
      <c r="P404" s="66">
        <f t="shared" si="314"/>
        <v>1.5195565746934996E-3</v>
      </c>
      <c r="Q404" s="66">
        <f t="shared" si="314"/>
        <v>1.5045609511930621E-3</v>
      </c>
      <c r="R404" s="66">
        <f t="shared" si="314"/>
        <v>1.4895653276926248E-3</v>
      </c>
      <c r="S404" s="66">
        <f t="shared" si="314"/>
        <v>1.4745697041921872E-3</v>
      </c>
      <c r="T404" s="66">
        <f t="shared" si="314"/>
        <v>1.4595740806917497E-3</v>
      </c>
      <c r="U404" s="66">
        <f t="shared" si="314"/>
        <v>1.4445784571913123E-3</v>
      </c>
      <c r="V404" s="66">
        <f t="shared" si="314"/>
        <v>1.4295828336908744E-3</v>
      </c>
      <c r="W404" s="66">
        <f t="shared" si="314"/>
        <v>1.4145872101904372E-3</v>
      </c>
      <c r="X404" s="66">
        <f t="shared" si="314"/>
        <v>1.3995915866899999E-3</v>
      </c>
      <c r="Y404" s="66">
        <f t="shared" si="314"/>
        <v>1.3845959631895624E-3</v>
      </c>
      <c r="Z404" s="66">
        <f t="shared" si="314"/>
        <v>1.3696003396891248E-3</v>
      </c>
      <c r="AA404" s="66">
        <f t="shared" si="314"/>
        <v>1.3546047161886871E-3</v>
      </c>
      <c r="AB404" s="66">
        <f t="shared" si="314"/>
        <v>1.3396090926882495E-3</v>
      </c>
      <c r="AC404" s="66">
        <f t="shared" si="314"/>
        <v>1.3246134691878124E-3</v>
      </c>
    </row>
    <row r="405" spans="1:29" x14ac:dyDescent="0.25">
      <c r="A405" s="59" t="str">
        <f>A368</f>
        <v>Market failure (av. utilization)</v>
      </c>
      <c r="B405" s="66">
        <f t="shared" ref="B405:AC405" si="315">B394/B368-B394/B367</f>
        <v>5.8862319902999987E-3</v>
      </c>
      <c r="C405" s="66">
        <f t="shared" si="315"/>
        <v>5.8815445256760485E-3</v>
      </c>
      <c r="D405" s="66">
        <f t="shared" si="315"/>
        <v>5.8748889978664752E-3</v>
      </c>
      <c r="E405" s="66">
        <f t="shared" si="315"/>
        <v>5.8654820488630334E-3</v>
      </c>
      <c r="F405" s="66">
        <f t="shared" si="315"/>
        <v>5.8522748621776133E-3</v>
      </c>
      <c r="G405" s="66">
        <f t="shared" si="315"/>
        <v>5.8339120783276587E-3</v>
      </c>
      <c r="H405" s="66">
        <f t="shared" si="315"/>
        <v>5.8087373886224758E-3</v>
      </c>
      <c r="I405" s="66">
        <f t="shared" si="315"/>
        <v>5.7749053032694012E-3</v>
      </c>
      <c r="J405" s="66">
        <f t="shared" si="315"/>
        <v>5.7413715559970629E-3</v>
      </c>
      <c r="K405" s="66">
        <f t="shared" si="315"/>
        <v>5.6963688776947002E-3</v>
      </c>
      <c r="L405" s="66">
        <f t="shared" si="315"/>
        <v>5.6402289975959856E-3</v>
      </c>
      <c r="M405" s="66">
        <f t="shared" si="315"/>
        <v>5.5753493567139139E-3</v>
      </c>
      <c r="N405" s="66">
        <f t="shared" si="315"/>
        <v>5.5062607231387353E-3</v>
      </c>
      <c r="O405" s="66">
        <f t="shared" si="315"/>
        <v>5.4222190543839737E-3</v>
      </c>
      <c r="P405" s="66">
        <f t="shared" si="315"/>
        <v>5.3451912161428423E-3</v>
      </c>
      <c r="Q405" s="66">
        <f t="shared" si="315"/>
        <v>5.2788529474685139E-3</v>
      </c>
      <c r="R405" s="66">
        <f t="shared" si="315"/>
        <v>5.2245663357442795E-3</v>
      </c>
      <c r="S405" s="66">
        <f t="shared" si="315"/>
        <v>5.181761403780568E-3</v>
      </c>
      <c r="T405" s="66">
        <f t="shared" si="315"/>
        <v>5.1487514312135059E-3</v>
      </c>
      <c r="U405" s="66">
        <f t="shared" si="315"/>
        <v>5.1234876790700289E-3</v>
      </c>
      <c r="V405" s="66">
        <f t="shared" si="315"/>
        <v>5.1040370007692376E-3</v>
      </c>
      <c r="W405" s="66">
        <f t="shared" si="315"/>
        <v>5.0887937708807059E-3</v>
      </c>
      <c r="X405" s="66">
        <f t="shared" si="315"/>
        <v>5.0765213136492859E-3</v>
      </c>
      <c r="Y405" s="66">
        <f t="shared" si="315"/>
        <v>5.066311323756614E-3</v>
      </c>
      <c r="Z405" s="66">
        <f t="shared" si="315"/>
        <v>5.0575169058969058E-3</v>
      </c>
      <c r="AA405" s="66">
        <f t="shared" si="315"/>
        <v>5.0496865756705749E-3</v>
      </c>
      <c r="AB405" s="66">
        <f t="shared" si="315"/>
        <v>5.042509430162035E-3</v>
      </c>
      <c r="AC405" s="66">
        <f t="shared" si="315"/>
        <v>5.0357732774300081E-3</v>
      </c>
    </row>
    <row r="406" spans="1:29" x14ac:dyDescent="0.25">
      <c r="A406" s="59" t="str">
        <f>A369</f>
        <v>Payload loss (fuel)</v>
      </c>
      <c r="B406" s="66">
        <f>B394/(B367-B369)-B394/B367</f>
        <v>5.5675688806499334E-4</v>
      </c>
      <c r="C406" s="66">
        <f t="shared" ref="C406:AC406" si="316">C394/(C367-C369)-C394/C367</f>
        <v>5.546726660601211E-4</v>
      </c>
      <c r="D406" s="66">
        <f t="shared" si="316"/>
        <v>5.5171845193266109E-4</v>
      </c>
      <c r="E406" s="66">
        <f t="shared" si="316"/>
        <v>5.4755312163963163E-4</v>
      </c>
      <c r="F406" s="66">
        <f t="shared" si="316"/>
        <v>5.4172515747529654E-4</v>
      </c>
      <c r="G406" s="66">
        <f t="shared" si="316"/>
        <v>5.3366111962028367E-4</v>
      </c>
      <c r="H406" s="66">
        <f t="shared" si="316"/>
        <v>5.22679169802873E-4</v>
      </c>
      <c r="I406" s="66">
        <f t="shared" si="316"/>
        <v>5.0805432836202764E-4</v>
      </c>
      <c r="J406" s="66">
        <f t="shared" si="316"/>
        <v>4.9008014493981053E-4</v>
      </c>
      <c r="K406" s="66">
        <f t="shared" si="316"/>
        <v>4.6750852307120977E-4</v>
      </c>
      <c r="L406" s="66">
        <f t="shared" si="316"/>
        <v>4.4070733256290108E-4</v>
      </c>
      <c r="M406" s="66">
        <f t="shared" si="316"/>
        <v>4.1090873380485518E-4</v>
      </c>
      <c r="N406" s="66">
        <f t="shared" si="316"/>
        <v>3.8012246258598698E-4</v>
      </c>
      <c r="O406" s="66">
        <f t="shared" si="316"/>
        <v>3.4960288673288077E-4</v>
      </c>
      <c r="P406" s="66">
        <f t="shared" si="316"/>
        <v>3.2252801620239087E-4</v>
      </c>
      <c r="Q406" s="66">
        <f t="shared" si="316"/>
        <v>3.0002313983643232E-4</v>
      </c>
      <c r="R406" s="66">
        <f t="shared" si="316"/>
        <v>2.8230845344344793E-4</v>
      </c>
      <c r="S406" s="66">
        <f t="shared" si="316"/>
        <v>2.6894491862748324E-4</v>
      </c>
      <c r="T406" s="66">
        <f t="shared" si="316"/>
        <v>2.5917168224141515E-4</v>
      </c>
      <c r="U406" s="66">
        <f t="shared" si="316"/>
        <v>2.5217138381015275E-4</v>
      </c>
      <c r="V406" s="66">
        <f t="shared" si="316"/>
        <v>2.4721728524418514E-4</v>
      </c>
      <c r="W406" s="66">
        <f t="shared" si="316"/>
        <v>2.4372660172903605E-4</v>
      </c>
      <c r="X406" s="66">
        <f t="shared" si="316"/>
        <v>2.4126042855276281E-4</v>
      </c>
      <c r="Y406" s="66">
        <f t="shared" si="316"/>
        <v>2.395011780075406E-4</v>
      </c>
      <c r="Z406" s="66">
        <f t="shared" si="316"/>
        <v>2.3822495467116372E-4</v>
      </c>
      <c r="AA406" s="66">
        <f t="shared" si="316"/>
        <v>2.3727660100937402E-4</v>
      </c>
      <c r="AB406" s="66">
        <f t="shared" si="316"/>
        <v>2.3654981131050745E-4</v>
      </c>
      <c r="AC406" s="66">
        <f t="shared" si="316"/>
        <v>2.359723005246131E-4</v>
      </c>
    </row>
    <row r="407" spans="1:29" ht="15.75" thickBot="1" x14ac:dyDescent="0.3">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75" thickBot="1" x14ac:dyDescent="0.3">
      <c r="A408" s="31" t="s">
        <v>505</v>
      </c>
      <c r="B408" s="67">
        <f>B397+B398+B399+B400+B401+B402+B403+B404+B405+B406+B407</f>
        <v>2.1502702114462001E-2</v>
      </c>
      <c r="C408" s="67">
        <f t="shared" ref="C408:AC408" si="318">C397+C398+C399+C400+C401+C402+C403+C404+C405+C406+C407</f>
        <v>2.1483876947371597E-2</v>
      </c>
      <c r="D408" s="67">
        <f t="shared" si="318"/>
        <v>2.1457152991067086E-2</v>
      </c>
      <c r="E408" s="67">
        <f t="shared" si="318"/>
        <v>2.1419391414333189E-2</v>
      </c>
      <c r="F408" s="67">
        <f t="shared" si="318"/>
        <v>2.1366394926292366E-2</v>
      </c>
      <c r="G408" s="67">
        <f t="shared" si="318"/>
        <v>2.1292749517544649E-2</v>
      </c>
      <c r="H408" s="67">
        <f t="shared" si="318"/>
        <v>2.1191857961637306E-2</v>
      </c>
      <c r="I408" s="67">
        <f t="shared" si="318"/>
        <v>2.1056404243935477E-2</v>
      </c>
      <c r="J408" s="67">
        <f t="shared" si="318"/>
        <v>2.0918666677397765E-2</v>
      </c>
      <c r="K408" s="67">
        <f t="shared" si="318"/>
        <v>2.07353712044493E-2</v>
      </c>
      <c r="L408" s="67">
        <f t="shared" si="318"/>
        <v>2.0508070442159868E-2</v>
      </c>
      <c r="M408" s="67">
        <f t="shared" si="318"/>
        <v>2.0246558840251564E-2</v>
      </c>
      <c r="N408" s="67">
        <f t="shared" si="318"/>
        <v>1.9969027449121338E-2</v>
      </c>
      <c r="O408" s="67">
        <f t="shared" si="318"/>
        <v>1.9638359056286941E-2</v>
      </c>
      <c r="P408" s="67">
        <f t="shared" si="318"/>
        <v>1.9336184763466699E-2</v>
      </c>
      <c r="Q408" s="67">
        <f t="shared" si="318"/>
        <v>1.9076757498978143E-2</v>
      </c>
      <c r="R408" s="67">
        <f t="shared" si="318"/>
        <v>1.8865162056427177E-2</v>
      </c>
      <c r="S408" s="67">
        <f t="shared" si="318"/>
        <v>1.8698923764597957E-2</v>
      </c>
      <c r="T408" s="67">
        <f t="shared" si="318"/>
        <v>1.8571257769043809E-2</v>
      </c>
      <c r="U408" s="67">
        <f t="shared" si="318"/>
        <v>1.8474029784385844E-2</v>
      </c>
      <c r="V408" s="67">
        <f t="shared" si="318"/>
        <v>1.839960897760276E-2</v>
      </c>
      <c r="W408" s="67">
        <f t="shared" si="318"/>
        <v>1.8341678187342864E-2</v>
      </c>
      <c r="X408" s="67">
        <f t="shared" si="318"/>
        <v>1.8295381809768661E-2</v>
      </c>
      <c r="Y408" s="67">
        <f t="shared" si="318"/>
        <v>1.8257158309606739E-2</v>
      </c>
      <c r="Z408" s="67">
        <f t="shared" si="318"/>
        <v>1.822447345105712E-2</v>
      </c>
      <c r="AA408" s="67">
        <f t="shared" si="318"/>
        <v>1.8195559632301295E-2</v>
      </c>
      <c r="AB408" s="67">
        <f t="shared" si="318"/>
        <v>1.8169200180071933E-2</v>
      </c>
      <c r="AC408" s="67">
        <f t="shared" si="318"/>
        <v>1.8144564980957366E-2</v>
      </c>
    </row>
    <row r="410" spans="1:29" x14ac:dyDescent="0.25">
      <c r="B410" s="40"/>
    </row>
    <row r="429" spans="1:1" s="3" customFormat="1" ht="21" x14ac:dyDescent="0.35">
      <c r="A429" s="2" t="str">
        <f>'Parameter Input'!A193</f>
        <v>Railway long-haul:  Neo bulk</v>
      </c>
    </row>
    <row r="430" spans="1:1" s="3" customFormat="1" ht="21" x14ac:dyDescent="0.35">
      <c r="A430" s="2" t="s">
        <v>299</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Input'!$L$171</f>
        <v>10000000</v>
      </c>
      <c r="C439" s="42">
        <f>'Parameter Input'!$M$171</f>
        <v>6250000</v>
      </c>
      <c r="D439" s="1" t="s">
        <v>138</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25">
      <c r="A440" s="24" t="s">
        <v>151</v>
      </c>
      <c r="B440" s="60">
        <f>'Parameter Input'!$L$172</f>
        <v>-500000</v>
      </c>
      <c r="C440" s="61">
        <f>'Parameter Input'!$M$172</f>
        <v>-937500</v>
      </c>
      <c r="D440" s="1" t="s">
        <v>138</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25">
      <c r="A443" s="24" t="s">
        <v>203</v>
      </c>
      <c r="B443" s="45">
        <f>'Parameter Input'!$L$178</f>
        <v>0.06</v>
      </c>
      <c r="C443" s="46">
        <f>'Parameter Input'!$M$178</f>
        <v>0.06</v>
      </c>
      <c r="D443" s="1" t="s">
        <v>180</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25">
      <c r="A445" s="24" t="s">
        <v>175</v>
      </c>
      <c r="B445" s="43">
        <f>'Parameter Input'!$L$174</f>
        <v>1300000</v>
      </c>
      <c r="C445" s="44">
        <f>'Parameter Input'!$M$174</f>
        <v>812500</v>
      </c>
      <c r="D445" s="1" t="s">
        <v>161</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25">
      <c r="A447" s="24" t="s">
        <v>183</v>
      </c>
      <c r="B447" s="47">
        <f>'Parameter Input'!$L$175</f>
        <v>33.590199999999996</v>
      </c>
      <c r="C447" s="48">
        <f>'Parameter Input'!$M$175</f>
        <v>33.590199999999996</v>
      </c>
      <c r="D447" s="1" t="s">
        <v>184</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25">
      <c r="A448" s="24" t="s">
        <v>191</v>
      </c>
      <c r="B448" s="45">
        <f>'Parameter Input'!$L$176</f>
        <v>0.13371034051801745</v>
      </c>
      <c r="C448" s="46">
        <f>'Parameter Input'!$M$176</f>
        <v>8.7585019329602734E-2</v>
      </c>
      <c r="D448" s="1" t="s">
        <v>94</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25">
      <c r="A449" s="24" t="s">
        <v>458</v>
      </c>
      <c r="B449" s="115">
        <f>'Parameter Input'!$L$179</f>
        <v>0</v>
      </c>
      <c r="C449" s="116">
        <f>'Parameter Input'!$M$179</f>
        <v>0</v>
      </c>
      <c r="D449" s="1" t="s">
        <v>200</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25">
      <c r="A450" s="24" t="s">
        <v>164</v>
      </c>
      <c r="B450" s="43">
        <f>'Parameter Input'!$L$173</f>
        <v>20</v>
      </c>
      <c r="C450" s="44">
        <f>'Parameter Input'!$M$173</f>
        <v>20</v>
      </c>
      <c r="D450" s="1" t="s">
        <v>165</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25">
      <c r="A454" s="24" t="s">
        <v>197</v>
      </c>
      <c r="B454" s="72">
        <f>'Parameter Input'!$L$177</f>
        <v>3.5714285714285712E-2</v>
      </c>
      <c r="C454" s="73">
        <f>'Parameter Input'!$M$177</f>
        <v>1.7857142857142856E-2</v>
      </c>
      <c r="D454" s="1" t="s">
        <v>180</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25">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25">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25">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25">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25">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25">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25">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25">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25">
      <c r="A468" s="30" t="str">
        <f t="shared" si="324"/>
        <v>Fuel Cost</v>
      </c>
      <c r="B468" s="62">
        <f>'Parameter Input'!J4</f>
        <v>9.4166661249999992E-2</v>
      </c>
      <c r="C468" s="62">
        <f>'Parameter Input'!K4</f>
        <v>9.4166661249999992E-2</v>
      </c>
      <c r="D468" s="62">
        <f>'Parameter Input'!L4</f>
        <v>9.4166661249999992E-2</v>
      </c>
      <c r="E468" s="62">
        <f>'Parameter Input'!M4</f>
        <v>9.4166661249999992E-2</v>
      </c>
      <c r="F468" s="62">
        <f>'Parameter Input'!N4</f>
        <v>9.4166661249999992E-2</v>
      </c>
      <c r="G468" s="62">
        <f>'Parameter Input'!O4</f>
        <v>9.4166661249999992E-2</v>
      </c>
      <c r="H468" s="62">
        <f>'Parameter Input'!P4</f>
        <v>9.4166661249999992E-2</v>
      </c>
      <c r="I468" s="62">
        <f>'Parameter Input'!Q4</f>
        <v>9.4166661249999992E-2</v>
      </c>
      <c r="J468" s="62">
        <f>'Parameter Input'!R4</f>
        <v>9.5999994399999997E-2</v>
      </c>
      <c r="K468" s="62">
        <f>'Parameter Input'!S4</f>
        <v>9.7833327550000002E-2</v>
      </c>
      <c r="L468" s="62">
        <f>'Parameter Input'!T4</f>
        <v>9.9666660700000007E-2</v>
      </c>
      <c r="M468" s="62">
        <f>'Parameter Input'!U4</f>
        <v>0.10149999385000001</v>
      </c>
      <c r="N468" s="62">
        <f>'Parameter Input'!V4</f>
        <v>0.103333327</v>
      </c>
      <c r="O468" s="62">
        <f>'Parameter Input'!W4</f>
        <v>0.1023333271</v>
      </c>
      <c r="P468" s="62">
        <f>'Parameter Input'!X4</f>
        <v>0.10133332719999999</v>
      </c>
      <c r="Q468" s="62">
        <f>'Parameter Input'!Y4</f>
        <v>0.10033332729999998</v>
      </c>
      <c r="R468" s="62">
        <f>'Parameter Input'!Z4</f>
        <v>9.9333327399999977E-2</v>
      </c>
      <c r="S468" s="62">
        <f>'Parameter Input'!AA4</f>
        <v>9.8333327499999998E-2</v>
      </c>
      <c r="T468" s="62">
        <f>'Parameter Input'!AB4</f>
        <v>9.7333327599999991E-2</v>
      </c>
      <c r="U468" s="62">
        <f>'Parameter Input'!AC4</f>
        <v>9.6333327699999985E-2</v>
      </c>
      <c r="V468" s="62">
        <f>'Parameter Input'!AD4</f>
        <v>9.5333327799999978E-2</v>
      </c>
      <c r="W468" s="62">
        <f>'Parameter Input'!AE4</f>
        <v>9.4333327899999986E-2</v>
      </c>
      <c r="X468" s="62">
        <f>'Parameter Input'!AF4</f>
        <v>9.3333328000000007E-2</v>
      </c>
      <c r="Y468" s="62">
        <f>'Parameter Input'!AG4</f>
        <v>9.2333328100000001E-2</v>
      </c>
      <c r="Z468" s="62">
        <f>'Parameter Input'!AH4</f>
        <v>9.1333328199999994E-2</v>
      </c>
      <c r="AA468" s="62">
        <f>'Parameter Input'!AI4</f>
        <v>9.0333328299999988E-2</v>
      </c>
      <c r="AB468" s="62">
        <f>'Parameter Input'!AJ4</f>
        <v>8.9333328399999981E-2</v>
      </c>
      <c r="AC468" s="62">
        <f>'Parameter Input'!AK4</f>
        <v>8.8333328500000016E-2</v>
      </c>
    </row>
    <row r="469" spans="1:29" x14ac:dyDescent="0.25">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25">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25">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25">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25">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25">
      <c r="A474" s="30" t="s">
        <v>197</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25">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25">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25">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25">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25">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25">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25">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25">
      <c r="A485" s="30" t="str">
        <f>A468</f>
        <v>Fuel Cost</v>
      </c>
      <c r="B485" s="62">
        <f>B467*B468*B475</f>
        <v>564609.2417724753</v>
      </c>
      <c r="C485" s="62">
        <f t="shared" ref="C485:AC485" si="369">C467*C468*C475</f>
        <v>564609.2417724753</v>
      </c>
      <c r="D485" s="62">
        <f t="shared" si="369"/>
        <v>564609.2417724753</v>
      </c>
      <c r="E485" s="62">
        <f t="shared" si="369"/>
        <v>564609.2417724753</v>
      </c>
      <c r="F485" s="62">
        <f t="shared" si="369"/>
        <v>564609.2417724753</v>
      </c>
      <c r="G485" s="62">
        <f t="shared" si="369"/>
        <v>564609.2417724753</v>
      </c>
      <c r="H485" s="62">
        <f t="shared" si="369"/>
        <v>564609.2417724753</v>
      </c>
      <c r="I485" s="62">
        <f t="shared" si="369"/>
        <v>564609.2417724753</v>
      </c>
      <c r="J485" s="62">
        <f t="shared" si="369"/>
        <v>575601.63362323598</v>
      </c>
      <c r="K485" s="62">
        <f t="shared" si="369"/>
        <v>586594.02547399676</v>
      </c>
      <c r="L485" s="62">
        <f t="shared" si="369"/>
        <v>597586.41732475744</v>
      </c>
      <c r="M485" s="62">
        <f t="shared" si="369"/>
        <v>608578.80917551811</v>
      </c>
      <c r="N485" s="62">
        <f t="shared" si="369"/>
        <v>619571.20102627878</v>
      </c>
      <c r="O485" s="62">
        <f t="shared" si="369"/>
        <v>613575.35092586384</v>
      </c>
      <c r="P485" s="62">
        <f t="shared" si="369"/>
        <v>607579.50082544889</v>
      </c>
      <c r="Q485" s="62">
        <f t="shared" si="369"/>
        <v>601583.65072503395</v>
      </c>
      <c r="R485" s="62">
        <f t="shared" si="369"/>
        <v>595587.80062461901</v>
      </c>
      <c r="S485" s="62">
        <f t="shared" si="369"/>
        <v>589591.95052420418</v>
      </c>
      <c r="T485" s="62">
        <f t="shared" si="369"/>
        <v>583596.10042378923</v>
      </c>
      <c r="U485" s="62">
        <f t="shared" si="369"/>
        <v>577600.25032337429</v>
      </c>
      <c r="V485" s="62">
        <f t="shared" si="369"/>
        <v>571604.40022295923</v>
      </c>
      <c r="W485" s="62">
        <f t="shared" si="369"/>
        <v>565608.5501225444</v>
      </c>
      <c r="X485" s="62">
        <f t="shared" si="369"/>
        <v>559612.70002212957</v>
      </c>
      <c r="Y485" s="62">
        <f t="shared" si="369"/>
        <v>553616.84992171463</v>
      </c>
      <c r="Z485" s="62">
        <f t="shared" si="369"/>
        <v>547620.99982129969</v>
      </c>
      <c r="AA485" s="62">
        <f t="shared" si="369"/>
        <v>541625.14972088463</v>
      </c>
      <c r="AB485" s="62">
        <f t="shared" si="369"/>
        <v>535629.29962046968</v>
      </c>
      <c r="AC485" s="62">
        <f t="shared" si="369"/>
        <v>529633.44952005497</v>
      </c>
    </row>
    <row r="486" spans="1:29" ht="15.75" thickBot="1" x14ac:dyDescent="0.3">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75" thickBot="1" x14ac:dyDescent="0.3">
      <c r="A487" s="31" t="s">
        <v>504</v>
      </c>
      <c r="B487" s="64">
        <f>B478+B479+B480+B481+B482+B483+B484+B485+B486</f>
        <v>4273164.2141801473</v>
      </c>
      <c r="C487" s="64">
        <f t="shared" ref="C487:AC487" si="371">C478+C479+C480+C481+C482+C483+C484+C485+C486</f>
        <v>4268344.750552387</v>
      </c>
      <c r="D487" s="64">
        <f t="shared" si="371"/>
        <v>4261501.8030796964</v>
      </c>
      <c r="E487" s="64">
        <f t="shared" si="371"/>
        <v>4251829.9543923158</v>
      </c>
      <c r="F487" s="64">
        <f t="shared" si="371"/>
        <v>4238250.8533298383</v>
      </c>
      <c r="G487" s="64">
        <f t="shared" si="371"/>
        <v>4219370.9734866666</v>
      </c>
      <c r="H487" s="64">
        <f t="shared" si="371"/>
        <v>4193487.364519387</v>
      </c>
      <c r="I487" s="64">
        <f t="shared" si="371"/>
        <v>4158702.5676427688</v>
      </c>
      <c r="J487" s="64">
        <f t="shared" si="371"/>
        <v>4124224.5100472411</v>
      </c>
      <c r="K487" s="64">
        <f t="shared" si="371"/>
        <v>4077954.5563238841</v>
      </c>
      <c r="L487" s="64">
        <f t="shared" si="371"/>
        <v>4020233.7772015911</v>
      </c>
      <c r="M487" s="64">
        <f t="shared" si="371"/>
        <v>3953527.1256322786</v>
      </c>
      <c r="N487" s="64">
        <f t="shared" si="371"/>
        <v>3882492.9561356222</v>
      </c>
      <c r="O487" s="64">
        <f t="shared" si="371"/>
        <v>3796084.6739887274</v>
      </c>
      <c r="P487" s="64">
        <f t="shared" si="371"/>
        <v>3716887.7318227259</v>
      </c>
      <c r="Q487" s="64">
        <f t="shared" si="371"/>
        <v>3648681.3775025299</v>
      </c>
      <c r="R487" s="64">
        <f t="shared" si="371"/>
        <v>3592866.0547921406</v>
      </c>
      <c r="S487" s="64">
        <f t="shared" si="371"/>
        <v>3548855.7359443307</v>
      </c>
      <c r="T487" s="64">
        <f t="shared" si="371"/>
        <v>3514916.2025497789</v>
      </c>
      <c r="U487" s="64">
        <f t="shared" si="371"/>
        <v>3488941.0231459434</v>
      </c>
      <c r="V487" s="64">
        <f t="shared" si="371"/>
        <v>3468942.6137441993</v>
      </c>
      <c r="W487" s="64">
        <f t="shared" si="371"/>
        <v>3453270.1345020095</v>
      </c>
      <c r="X487" s="64">
        <f t="shared" si="371"/>
        <v>3440652.0848749522</v>
      </c>
      <c r="Y487" s="64">
        <f t="shared" si="371"/>
        <v>3430154.5816668984</v>
      </c>
      <c r="Z487" s="64">
        <f t="shared" si="371"/>
        <v>3421112.513000261</v>
      </c>
      <c r="AA487" s="64">
        <f t="shared" si="371"/>
        <v>3413061.6806747578</v>
      </c>
      <c r="AB487" s="64">
        <f t="shared" si="371"/>
        <v>3405682.426748699</v>
      </c>
      <c r="AC487" s="64">
        <f t="shared" si="371"/>
        <v>3398756.5839557368</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25">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25">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25">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25">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25">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25">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25">
      <c r="A497" s="30" t="str">
        <f t="shared" si="372"/>
        <v>Fuel Cost</v>
      </c>
      <c r="B497" s="66">
        <f>B467*B468*B475/B475</f>
        <v>3.1630769847197495</v>
      </c>
      <c r="C497" s="66">
        <f t="shared" ref="C497:AC497" si="380">C467*C468*C475/C475</f>
        <v>3.1630769847197495</v>
      </c>
      <c r="D497" s="66">
        <f t="shared" si="380"/>
        <v>3.1630769847197495</v>
      </c>
      <c r="E497" s="66">
        <f t="shared" si="380"/>
        <v>3.1630769847197495</v>
      </c>
      <c r="F497" s="66">
        <f t="shared" si="380"/>
        <v>3.1630769847197495</v>
      </c>
      <c r="G497" s="66">
        <f t="shared" si="380"/>
        <v>3.1630769847197495</v>
      </c>
      <c r="H497" s="66">
        <f t="shared" si="380"/>
        <v>3.1630769847197495</v>
      </c>
      <c r="I497" s="66">
        <f t="shared" si="380"/>
        <v>3.1630769847197495</v>
      </c>
      <c r="J497" s="66">
        <f t="shared" si="380"/>
        <v>3.2246590118948792</v>
      </c>
      <c r="K497" s="66">
        <f t="shared" si="380"/>
        <v>3.2862410390700099</v>
      </c>
      <c r="L497" s="66">
        <f t="shared" si="380"/>
        <v>3.3478230662451396</v>
      </c>
      <c r="M497" s="66">
        <f t="shared" si="380"/>
        <v>3.4094050934202693</v>
      </c>
      <c r="N497" s="66">
        <f t="shared" si="380"/>
        <v>3.4709871205953995</v>
      </c>
      <c r="O497" s="66">
        <f t="shared" si="380"/>
        <v>3.4373969239544193</v>
      </c>
      <c r="P497" s="66">
        <f t="shared" si="380"/>
        <v>3.4038067273134391</v>
      </c>
      <c r="Q497" s="66">
        <f t="shared" si="380"/>
        <v>3.370216530672459</v>
      </c>
      <c r="R497" s="66">
        <f t="shared" si="380"/>
        <v>3.3366263340314792</v>
      </c>
      <c r="S497" s="66">
        <f t="shared" si="380"/>
        <v>3.3030361373904995</v>
      </c>
      <c r="T497" s="66">
        <f t="shared" si="380"/>
        <v>3.2694459407495193</v>
      </c>
      <c r="U497" s="66">
        <f t="shared" si="380"/>
        <v>3.2358557441085396</v>
      </c>
      <c r="V497" s="66">
        <f t="shared" si="380"/>
        <v>3.2022655474675585</v>
      </c>
      <c r="W497" s="66">
        <f t="shared" si="380"/>
        <v>3.1686753508265793</v>
      </c>
      <c r="X497" s="66">
        <f t="shared" si="380"/>
        <v>3.1350851541856</v>
      </c>
      <c r="Y497" s="66">
        <f t="shared" si="380"/>
        <v>3.1014949575446198</v>
      </c>
      <c r="Z497" s="66">
        <f t="shared" si="380"/>
        <v>3.0679047609036396</v>
      </c>
      <c r="AA497" s="66">
        <f t="shared" si="380"/>
        <v>3.034314564262659</v>
      </c>
      <c r="AB497" s="66">
        <f t="shared" si="380"/>
        <v>3.0007243676216788</v>
      </c>
      <c r="AC497" s="66">
        <f t="shared" si="380"/>
        <v>2.9671341709807</v>
      </c>
    </row>
    <row r="498" spans="1:29" ht="15.75" thickBot="1" x14ac:dyDescent="0.3">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75" thickBot="1" x14ac:dyDescent="0.3">
      <c r="A499" s="31" t="s">
        <v>187</v>
      </c>
      <c r="B499" s="76">
        <f>B490+B491+B492-B493+B494+B495+B496+B497+B498</f>
        <v>24.081744163594756</v>
      </c>
      <c r="C499" s="76">
        <f t="shared" ref="C499:AC499" si="383">C490+C491+C492-C493+C494+C495+C496+C497+C498</f>
        <v>24.054744367360804</v>
      </c>
      <c r="D499" s="76">
        <f t="shared" si="383"/>
        <v>24.01640852717766</v>
      </c>
      <c r="E499" s="76">
        <f t="shared" si="383"/>
        <v>23.962224500917827</v>
      </c>
      <c r="F499" s="76">
        <f t="shared" si="383"/>
        <v>23.886151105609834</v>
      </c>
      <c r="G499" s="76">
        <f t="shared" si="383"/>
        <v>23.780381470634076</v>
      </c>
      <c r="H499" s="76">
        <f t="shared" si="383"/>
        <v>23.635375257932232</v>
      </c>
      <c r="I499" s="76">
        <f t="shared" si="383"/>
        <v>23.440502446298517</v>
      </c>
      <c r="J499" s="76">
        <f t="shared" si="383"/>
        <v>23.247348062009848</v>
      </c>
      <c r="K499" s="76">
        <f t="shared" si="383"/>
        <v>22.98813263498824</v>
      </c>
      <c r="L499" s="76">
        <f t="shared" si="383"/>
        <v>22.664766925619649</v>
      </c>
      <c r="M499" s="76">
        <f t="shared" si="383"/>
        <v>22.291060194138907</v>
      </c>
      <c r="N499" s="76">
        <f t="shared" si="383"/>
        <v>21.893109664745875</v>
      </c>
      <c r="O499" s="76">
        <f t="shared" si="383"/>
        <v>21.409029652718456</v>
      </c>
      <c r="P499" s="76">
        <f t="shared" si="383"/>
        <v>20.965349304449539</v>
      </c>
      <c r="Q499" s="76">
        <f t="shared" si="383"/>
        <v>20.583240876885412</v>
      </c>
      <c r="R499" s="76">
        <f t="shared" si="383"/>
        <v>20.270549993353821</v>
      </c>
      <c r="S499" s="76">
        <f t="shared" si="383"/>
        <v>20.023993585242838</v>
      </c>
      <c r="T499" s="76">
        <f t="shared" si="383"/>
        <v>19.833856143256558</v>
      </c>
      <c r="U499" s="76">
        <f t="shared" si="383"/>
        <v>19.68833693091014</v>
      </c>
      <c r="V499" s="76">
        <f t="shared" si="383"/>
        <v>19.576301023897567</v>
      </c>
      <c r="W499" s="76">
        <f t="shared" si="383"/>
        <v>19.488500019739643</v>
      </c>
      <c r="X499" s="76">
        <f t="shared" si="383"/>
        <v>19.417810666086659</v>
      </c>
      <c r="Y499" s="76">
        <f t="shared" si="383"/>
        <v>19.359001124304847</v>
      </c>
      <c r="Z499" s="76">
        <f t="shared" si="383"/>
        <v>19.308345277432927</v>
      </c>
      <c r="AA499" s="76">
        <f t="shared" si="383"/>
        <v>19.263242575329269</v>
      </c>
      <c r="AB499" s="76">
        <f t="shared" si="383"/>
        <v>19.221902217200089</v>
      </c>
      <c r="AC499" s="76">
        <f t="shared" si="383"/>
        <v>19.1831019774636</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25">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25">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25">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25">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25">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25">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25">
      <c r="A509" s="30" t="str">
        <f t="shared" si="384"/>
        <v>Fuel Cost</v>
      </c>
      <c r="B509" s="66">
        <f>B467*B468*B475/B475/(B472)</f>
        <v>1.1296703516856248E-3</v>
      </c>
      <c r="C509" s="66">
        <f t="shared" ref="C509:AC509" si="392">C467*C468*C475/C475/(C472)</f>
        <v>1.1296703516856248E-3</v>
      </c>
      <c r="D509" s="66">
        <f t="shared" si="392"/>
        <v>1.1296703516856248E-3</v>
      </c>
      <c r="E509" s="66">
        <f t="shared" si="392"/>
        <v>1.1296703516856248E-3</v>
      </c>
      <c r="F509" s="66">
        <f t="shared" si="392"/>
        <v>1.1296703516856248E-3</v>
      </c>
      <c r="G509" s="66">
        <f t="shared" si="392"/>
        <v>1.1296703516856248E-3</v>
      </c>
      <c r="H509" s="66">
        <f t="shared" si="392"/>
        <v>1.1296703516856248E-3</v>
      </c>
      <c r="I509" s="66">
        <f t="shared" si="392"/>
        <v>1.1296703516856248E-3</v>
      </c>
      <c r="J509" s="66">
        <f t="shared" si="392"/>
        <v>1.1516639328195998E-3</v>
      </c>
      <c r="K509" s="66">
        <f t="shared" si="392"/>
        <v>1.1736575139535751E-3</v>
      </c>
      <c r="L509" s="66">
        <f t="shared" si="392"/>
        <v>1.1956510950875499E-3</v>
      </c>
      <c r="M509" s="66">
        <f t="shared" si="392"/>
        <v>1.2176446762215247E-3</v>
      </c>
      <c r="N509" s="66">
        <f t="shared" si="392"/>
        <v>1.2396382573554999E-3</v>
      </c>
      <c r="O509" s="66">
        <f t="shared" si="392"/>
        <v>1.2276417585551497E-3</v>
      </c>
      <c r="P509" s="66">
        <f t="shared" si="392"/>
        <v>1.2156452597547997E-3</v>
      </c>
      <c r="Q509" s="66">
        <f t="shared" si="392"/>
        <v>1.2036487609544497E-3</v>
      </c>
      <c r="R509" s="66">
        <f t="shared" si="392"/>
        <v>1.1916522621540997E-3</v>
      </c>
      <c r="S509" s="66">
        <f t="shared" si="392"/>
        <v>1.1796557633537497E-3</v>
      </c>
      <c r="T509" s="66">
        <f t="shared" si="392"/>
        <v>1.1676592645533997E-3</v>
      </c>
      <c r="U509" s="66">
        <f t="shared" si="392"/>
        <v>1.15566276575305E-3</v>
      </c>
      <c r="V509" s="66">
        <f t="shared" si="392"/>
        <v>1.1436662669526995E-3</v>
      </c>
      <c r="W509" s="66">
        <f t="shared" si="392"/>
        <v>1.1316697681523497E-3</v>
      </c>
      <c r="X509" s="66">
        <f t="shared" si="392"/>
        <v>1.119673269352E-3</v>
      </c>
      <c r="Y509" s="66">
        <f t="shared" si="392"/>
        <v>1.10767677055165E-3</v>
      </c>
      <c r="Z509" s="66">
        <f t="shared" si="392"/>
        <v>1.0956802717512998E-3</v>
      </c>
      <c r="AA509" s="66">
        <f t="shared" si="392"/>
        <v>1.0836837729509496E-3</v>
      </c>
      <c r="AB509" s="66">
        <f t="shared" si="392"/>
        <v>1.0716872741505996E-3</v>
      </c>
      <c r="AC509" s="66">
        <f t="shared" si="392"/>
        <v>1.05969077535025E-3</v>
      </c>
    </row>
    <row r="510" spans="1:29" x14ac:dyDescent="0.25">
      <c r="A510" s="59" t="str">
        <f>A473</f>
        <v>Market failure (av. utilization)</v>
      </c>
      <c r="B510" s="66">
        <f t="shared" ref="B510:AC510" si="393">B499/B473-B499/B472</f>
        <v>1.6596514532388126E-2</v>
      </c>
      <c r="C510" s="66">
        <f t="shared" si="393"/>
        <v>1.6577906971925557E-2</v>
      </c>
      <c r="D510" s="66">
        <f t="shared" si="393"/>
        <v>1.6551486903495765E-2</v>
      </c>
      <c r="E510" s="66">
        <f t="shared" si="393"/>
        <v>1.6514144675576738E-2</v>
      </c>
      <c r="F510" s="66">
        <f t="shared" si="393"/>
        <v>1.6461716861288025E-2</v>
      </c>
      <c r="G510" s="66">
        <f t="shared" si="393"/>
        <v>1.6388823167540784E-2</v>
      </c>
      <c r="H510" s="66">
        <f t="shared" si="393"/>
        <v>1.6288888640371819E-2</v>
      </c>
      <c r="I510" s="66">
        <f t="shared" si="393"/>
        <v>1.6154587344407736E-2</v>
      </c>
      <c r="J510" s="66">
        <f t="shared" si="393"/>
        <v>1.6021470344074869E-2</v>
      </c>
      <c r="K510" s="66">
        <f t="shared" si="393"/>
        <v>1.58428257835996E-2</v>
      </c>
      <c r="L510" s="66">
        <f t="shared" si="393"/>
        <v>1.5619970509564882E-2</v>
      </c>
      <c r="M510" s="66">
        <f t="shared" si="393"/>
        <v>1.5362421506563365E-2</v>
      </c>
      <c r="N510" s="66">
        <f t="shared" si="393"/>
        <v>1.5088164305781894E-2</v>
      </c>
      <c r="O510" s="66">
        <f t="shared" si="393"/>
        <v>1.4754548895707192E-2</v>
      </c>
      <c r="P510" s="66">
        <f t="shared" si="393"/>
        <v>1.4448775887832133E-2</v>
      </c>
      <c r="Q510" s="66">
        <f t="shared" si="393"/>
        <v>1.4185436653433862E-2</v>
      </c>
      <c r="R510" s="66">
        <f t="shared" si="393"/>
        <v>1.3969938192964267E-2</v>
      </c>
      <c r="S510" s="66">
        <f t="shared" si="393"/>
        <v>1.3800017900544029E-2</v>
      </c>
      <c r="T510" s="66">
        <f t="shared" si="393"/>
        <v>1.366898009872871E-2</v>
      </c>
      <c r="U510" s="66">
        <f t="shared" si="393"/>
        <v>1.3568692025487735E-2</v>
      </c>
      <c r="V510" s="66">
        <f t="shared" si="393"/>
        <v>1.3491479779304406E-2</v>
      </c>
      <c r="W510" s="66">
        <f t="shared" si="393"/>
        <v>1.3430969600657622E-2</v>
      </c>
      <c r="X510" s="66">
        <f t="shared" si="393"/>
        <v>1.3382252328469322E-2</v>
      </c>
      <c r="Y510" s="66">
        <f t="shared" si="393"/>
        <v>1.3341722315020361E-2</v>
      </c>
      <c r="Z510" s="66">
        <f t="shared" si="393"/>
        <v>1.330681161698084E-2</v>
      </c>
      <c r="AA510" s="66">
        <f t="shared" si="393"/>
        <v>1.3275728002528821E-2</v>
      </c>
      <c r="AB510" s="66">
        <f t="shared" si="393"/>
        <v>1.3247237298126179E-2</v>
      </c>
      <c r="AC510" s="66">
        <f t="shared" si="393"/>
        <v>1.3220497177548854E-2</v>
      </c>
    </row>
    <row r="511" spans="1:29" x14ac:dyDescent="0.25">
      <c r="A511" s="59" t="str">
        <f>A474</f>
        <v>Payload loss (fuel)</v>
      </c>
      <c r="B511" s="66">
        <f>B499/(B472-B474)-B499/B472</f>
        <v>2.5124091616929127E-4</v>
      </c>
      <c r="C511" s="66">
        <f t="shared" ref="C511:AC511" si="394">C499/(C472-C474)-C499/C472</f>
        <v>2.5022441490938317E-4</v>
      </c>
      <c r="D511" s="66">
        <f t="shared" si="394"/>
        <v>2.487841721219089E-4</v>
      </c>
      <c r="E511" s="66">
        <f t="shared" si="394"/>
        <v>2.4675461617150798E-4</v>
      </c>
      <c r="F511" s="66">
        <f t="shared" si="394"/>
        <v>2.4391718545785368E-4</v>
      </c>
      <c r="G511" s="66">
        <f t="shared" si="394"/>
        <v>2.3999545835387028E-4</v>
      </c>
      <c r="H511" s="66">
        <f t="shared" si="394"/>
        <v>2.3466298514455107E-4</v>
      </c>
      <c r="I511" s="66">
        <f t="shared" si="394"/>
        <v>2.2757686762956385E-4</v>
      </c>
      <c r="J511" s="66">
        <f t="shared" si="394"/>
        <v>2.1903251122942606E-4</v>
      </c>
      <c r="K511" s="66">
        <f t="shared" si="394"/>
        <v>2.0829995704170837E-4</v>
      </c>
      <c r="L511" s="66">
        <f t="shared" si="394"/>
        <v>1.9558292949090061E-4</v>
      </c>
      <c r="M511" s="66">
        <f t="shared" si="394"/>
        <v>1.8150103418036918E-4</v>
      </c>
      <c r="N511" s="66">
        <f t="shared" si="394"/>
        <v>1.6703445389150071E-4</v>
      </c>
      <c r="O511" s="66">
        <f t="shared" si="394"/>
        <v>1.526089375436376E-4</v>
      </c>
      <c r="P511" s="66">
        <f t="shared" si="394"/>
        <v>1.3990407782176872E-4</v>
      </c>
      <c r="Q511" s="66">
        <f t="shared" si="394"/>
        <v>1.2941090361724521E-4</v>
      </c>
      <c r="R511" s="66">
        <f t="shared" si="394"/>
        <v>1.2119236766261216E-4</v>
      </c>
      <c r="S511" s="66">
        <f t="shared" si="394"/>
        <v>1.1501234847747545E-4</v>
      </c>
      <c r="T511" s="66">
        <f t="shared" si="394"/>
        <v>1.1049771355196338E-4</v>
      </c>
      <c r="U511" s="66">
        <f t="shared" si="394"/>
        <v>1.0725987125872246E-4</v>
      </c>
      <c r="V511" s="66">
        <f t="shared" si="394"/>
        <v>1.0495910936706137E-4</v>
      </c>
      <c r="W511" s="66">
        <f t="shared" si="394"/>
        <v>1.0332589622920156E-4</v>
      </c>
      <c r="X511" s="66">
        <f t="shared" si="394"/>
        <v>1.0215868179830681E-4</v>
      </c>
      <c r="Y511" s="66">
        <f t="shared" si="394"/>
        <v>1.0131233516157481E-4</v>
      </c>
      <c r="Z511" s="66">
        <f t="shared" si="394"/>
        <v>1.0068488827187985E-4</v>
      </c>
      <c r="AA511" s="66">
        <f t="shared" si="394"/>
        <v>1.0020584891068472E-4</v>
      </c>
      <c r="AB511" s="66">
        <f t="shared" si="394"/>
        <v>9.9827004433439108E-5</v>
      </c>
      <c r="AC511" s="66">
        <f t="shared" si="394"/>
        <v>9.9515614614340865E-5</v>
      </c>
    </row>
    <row r="512" spans="1:29" ht="15.75" thickBot="1" x14ac:dyDescent="0.3">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75" thickBot="1" x14ac:dyDescent="0.3">
      <c r="A513" s="31" t="s">
        <v>505</v>
      </c>
      <c r="B513" s="67">
        <f>B502+B503+B504+B505+B506+B507+B508+B509+B510+B511+B512</f>
        <v>2.5397503776248789E-2</v>
      </c>
      <c r="C513" s="67">
        <f t="shared" ref="C513:AC513" si="396">C502+C503+C504+C505+C506+C507+C508+C509+C510+C511+C512</f>
        <v>2.5368236930157044E-2</v>
      </c>
      <c r="D513" s="67">
        <f t="shared" si="396"/>
        <v>2.5326685247445795E-2</v>
      </c>
      <c r="E513" s="67">
        <f t="shared" si="396"/>
        <v>2.5267962025626426E-2</v>
      </c>
      <c r="F513" s="67">
        <f t="shared" si="396"/>
        <v>2.5185527710871205E-2</v>
      </c>
      <c r="G513" s="67">
        <f t="shared" si="396"/>
        <v>2.5070937420385783E-2</v>
      </c>
      <c r="H513" s="67">
        <f t="shared" si="396"/>
        <v>2.4913882486899699E-2</v>
      </c>
      <c r="I513" s="67">
        <f t="shared" si="396"/>
        <v>2.4702897640694305E-2</v>
      </c>
      <c r="J513" s="67">
        <f t="shared" si="396"/>
        <v>2.4492252575286769E-2</v>
      </c>
      <c r="K513" s="67">
        <f t="shared" si="396"/>
        <v>2.4210298522401783E-2</v>
      </c>
      <c r="L513" s="67">
        <f t="shared" si="396"/>
        <v>2.3859238467470331E-2</v>
      </c>
      <c r="M513" s="67">
        <f t="shared" si="396"/>
        <v>2.3454140879343735E-2</v>
      </c>
      <c r="N513" s="67">
        <f t="shared" si="396"/>
        <v>2.3023291909204453E-2</v>
      </c>
      <c r="O513" s="67">
        <f t="shared" si="396"/>
        <v>2.2502365264200665E-2</v>
      </c>
      <c r="P513" s="67">
        <f t="shared" si="396"/>
        <v>2.202543012936484E-2</v>
      </c>
      <c r="Q513" s="67">
        <f t="shared" si="396"/>
        <v>2.1615130425203431E-2</v>
      </c>
      <c r="R513" s="67">
        <f t="shared" si="396"/>
        <v>2.1279738113232204E-2</v>
      </c>
      <c r="S513" s="67">
        <f t="shared" si="396"/>
        <v>2.1015581941587189E-2</v>
      </c>
      <c r="T513" s="67">
        <f t="shared" si="396"/>
        <v>2.0812123275565544E-2</v>
      </c>
      <c r="U513" s="67">
        <f t="shared" si="396"/>
        <v>2.0656626212764755E-2</v>
      </c>
      <c r="V513" s="67">
        <f t="shared" si="396"/>
        <v>2.0537100380756703E-2</v>
      </c>
      <c r="W513" s="67">
        <f t="shared" si="396"/>
        <v>2.0443599487487085E-2</v>
      </c>
      <c r="X513" s="67">
        <f t="shared" si="396"/>
        <v>2.0368468803134681E-2</v>
      </c>
      <c r="Y513" s="67">
        <f t="shared" si="396"/>
        <v>2.0306089035269769E-2</v>
      </c>
      <c r="Z513" s="67">
        <f t="shared" si="396"/>
        <v>2.0252459516457724E-2</v>
      </c>
      <c r="AA513" s="67">
        <f t="shared" si="396"/>
        <v>2.0204788754750347E-2</v>
      </c>
      <c r="AB513" s="67">
        <f t="shared" si="396"/>
        <v>2.0161154792252896E-2</v>
      </c>
      <c r="AC513" s="67">
        <f t="shared" si="396"/>
        <v>2.0120246053379153E-2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95</v>
      </c>
    </row>
    <row r="3" spans="1:53" x14ac:dyDescent="0.25">
      <c r="A3" s="33" t="s">
        <v>491</v>
      </c>
    </row>
    <row r="4" spans="1:53" x14ac:dyDescent="0.25">
      <c r="A4" s="33" t="s">
        <v>492</v>
      </c>
    </row>
    <row r="5" spans="1:53" ht="15.75" thickBot="1" x14ac:dyDescent="0.3">
      <c r="A5" s="34" t="s">
        <v>493</v>
      </c>
      <c r="B5" s="34"/>
    </row>
    <row r="6" spans="1:53" ht="15.75" thickBot="1" x14ac:dyDescent="0.3">
      <c r="A6" s="39" t="s">
        <v>494</v>
      </c>
      <c r="B6" s="35"/>
    </row>
    <row r="7" spans="1:53" ht="15.75" thickBot="1" x14ac:dyDescent="0.3">
      <c r="A7" s="38" t="s">
        <v>495</v>
      </c>
      <c r="B7" s="36"/>
    </row>
    <row r="8" spans="1:53" ht="15.75" thickBot="1" x14ac:dyDescent="0.3"/>
    <row r="9" spans="1:53"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130</v>
      </c>
    </row>
    <row r="10" spans="1:53"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141</v>
      </c>
      <c r="B11" s="41">
        <f>'Parameter Input'!$L$183</f>
        <v>10000000</v>
      </c>
      <c r="C11" s="42">
        <f>'Parameter Input'!$M$183</f>
        <v>4000000</v>
      </c>
      <c r="D11" s="1" t="s">
        <v>138</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151</v>
      </c>
      <c r="B12" s="60">
        <f>'Parameter Input'!$L$184</f>
        <v>-500000</v>
      </c>
      <c r="C12" s="61">
        <f>'Parameter Input'!$M$184</f>
        <v>-600000</v>
      </c>
      <c r="D12" s="1" t="s">
        <v>138</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137</v>
      </c>
      <c r="B13" s="43">
        <f>'Parameter Input'!B147</f>
        <v>4200000</v>
      </c>
      <c r="C13" s="44">
        <f>'Parameter Input'!C147</f>
        <v>4200000</v>
      </c>
      <c r="D13" s="1" t="s">
        <v>138</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148</v>
      </c>
      <c r="B14" s="60">
        <f>'Parameter Input'!B148</f>
        <v>-210000</v>
      </c>
      <c r="C14" s="61">
        <f>'Parameter Input'!C148</f>
        <v>-210000</v>
      </c>
      <c r="D14" s="1" t="s">
        <v>138</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203</v>
      </c>
      <c r="B15" s="45">
        <f>'Parameter Input'!$L$190</f>
        <v>0.06</v>
      </c>
      <c r="C15" s="46">
        <f>'Parameter Input'!$M$190</f>
        <v>0.06</v>
      </c>
      <c r="D15" s="1" t="s">
        <v>180</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160</v>
      </c>
      <c r="B16" s="43">
        <f>'Parameter Input'!B149</f>
        <v>650000</v>
      </c>
      <c r="C16" s="44">
        <f>'Parameter Input'!C149</f>
        <v>650000</v>
      </c>
      <c r="D16" s="1" t="s">
        <v>161</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175</v>
      </c>
      <c r="B17" s="43">
        <f>'Parameter Input'!$L$186</f>
        <v>1400000.0000000002</v>
      </c>
      <c r="C17" s="44">
        <f>'Parameter Input'!$M$186</f>
        <v>560000</v>
      </c>
      <c r="D17" s="1" t="s">
        <v>161</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279</v>
      </c>
      <c r="B18" s="45">
        <f>'Parameter Input'!B154</f>
        <v>3.9215686274509802</v>
      </c>
      <c r="C18" s="46">
        <f>'Parameter Input'!C154</f>
        <v>3.9215686274509802</v>
      </c>
      <c r="D18" s="1" t="s">
        <v>200</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183</v>
      </c>
      <c r="B19" s="47">
        <f>'Parameter Input'!$L$187</f>
        <v>48.858472727272719</v>
      </c>
      <c r="C19" s="48">
        <f>'Parameter Input'!$M$187</f>
        <v>41.341784615384611</v>
      </c>
      <c r="D19" s="1" t="s">
        <v>184</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191</v>
      </c>
      <c r="B20" s="45">
        <f>'Parameter Input'!$L$188</f>
        <v>0.2544561408768215</v>
      </c>
      <c r="C20" s="46">
        <f>'Parameter Input'!$M$188</f>
        <v>0.10949010032952979</v>
      </c>
      <c r="D20" s="1" t="s">
        <v>94</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458</v>
      </c>
      <c r="B21" s="115">
        <f>'Parameter Input'!$L$191</f>
        <v>0</v>
      </c>
      <c r="C21" s="116">
        <f>'Parameter Input'!$M$191</f>
        <v>0</v>
      </c>
      <c r="D21" s="1" t="s">
        <v>200</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164</v>
      </c>
      <c r="B22" s="43">
        <f>'Parameter Input'!$L$185</f>
        <v>20</v>
      </c>
      <c r="C22" s="44">
        <f>'Parameter Input'!$M$185</f>
        <v>20</v>
      </c>
      <c r="D22" s="1" t="s">
        <v>165</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194</v>
      </c>
      <c r="B23" s="43">
        <f>'Parameter Input'!B153</f>
        <v>30</v>
      </c>
      <c r="C23" s="44">
        <f>'Parameter Input'!C153</f>
        <v>30</v>
      </c>
      <c r="D23" s="1" t="s">
        <v>165</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171</v>
      </c>
      <c r="B24" s="70">
        <f>'Parameter Input'!B150</f>
        <v>2240</v>
      </c>
      <c r="C24" s="71">
        <f>'Parameter Input'!C150</f>
        <v>2240</v>
      </c>
      <c r="D24" s="1" t="s">
        <v>172</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179</v>
      </c>
      <c r="B25" s="72">
        <f>'Parameter Input'!B151</f>
        <v>0.64</v>
      </c>
      <c r="C25" s="73">
        <f>'Parameter Input'!C151</f>
        <v>0.64</v>
      </c>
      <c r="D25" s="1" t="s">
        <v>180</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197</v>
      </c>
      <c r="B26" s="72">
        <f>'Parameter Input'!$L$189</f>
        <v>1.7857142857142856E-2</v>
      </c>
      <c r="C26" s="73">
        <f>'Parameter Input'!$M$189</f>
        <v>1.7857142857142856E-2</v>
      </c>
      <c r="D26" s="1" t="s">
        <v>180</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188</v>
      </c>
      <c r="B27" s="74">
        <f>'Parameter Input'!B152</f>
        <v>178500</v>
      </c>
      <c r="C27" s="75">
        <f>'Parameter Input'!C152</f>
        <v>178500</v>
      </c>
      <c r="D27" s="1" t="s">
        <v>189</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130</v>
      </c>
    </row>
    <row r="30" spans="1:53"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197</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1714238.8628327197</v>
      </c>
      <c r="C57" s="62">
        <f t="shared" ref="C57:AC57" si="59">C39*C40*C47</f>
        <v>1668268.5377523468</v>
      </c>
      <c r="D57" s="62">
        <f t="shared" si="59"/>
        <v>1621781.1747999815</v>
      </c>
      <c r="E57" s="62">
        <f t="shared" si="59"/>
        <v>1588035.054360566</v>
      </c>
      <c r="F57" s="62">
        <f t="shared" si="59"/>
        <v>1553293.0918412623</v>
      </c>
      <c r="G57" s="62">
        <f t="shared" si="59"/>
        <v>1517234.9894432456</v>
      </c>
      <c r="H57" s="62">
        <f t="shared" si="59"/>
        <v>1479487.7327920089</v>
      </c>
      <c r="I57" s="62">
        <f t="shared" si="59"/>
        <v>1439664.8155083221</v>
      </c>
      <c r="J57" s="62">
        <f t="shared" si="59"/>
        <v>1426344.0331401536</v>
      </c>
      <c r="K57" s="62">
        <f t="shared" si="59"/>
        <v>1409915.1324108206</v>
      </c>
      <c r="L57" s="62">
        <f t="shared" si="59"/>
        <v>1390476.6683986408</v>
      </c>
      <c r="M57" s="62">
        <f t="shared" si="59"/>
        <v>1368689.4853170433</v>
      </c>
      <c r="N57" s="62">
        <f t="shared" si="59"/>
        <v>1345792.675440459</v>
      </c>
      <c r="O57" s="62">
        <f t="shared" si="59"/>
        <v>1295416.1751911161</v>
      </c>
      <c r="P57" s="62">
        <f t="shared" si="59"/>
        <v>1247799.3807539036</v>
      </c>
      <c r="Q57" s="62">
        <f t="shared" si="59"/>
        <v>1203750.8368572691</v>
      </c>
      <c r="R57" s="62">
        <f t="shared" si="59"/>
        <v>1163416.9385204527</v>
      </c>
      <c r="S57" s="62">
        <f t="shared" si="59"/>
        <v>1126443.5101458533</v>
      </c>
      <c r="T57" s="62">
        <f t="shared" si="59"/>
        <v>1094208.2231247381</v>
      </c>
      <c r="U57" s="62">
        <f t="shared" si="59"/>
        <v>1064064.9454190303</v>
      </c>
      <c r="V57" s="62">
        <f t="shared" si="59"/>
        <v>1035448.6476211995</v>
      </c>
      <c r="W57" s="62">
        <f t="shared" si="59"/>
        <v>1007909.2716702226</v>
      </c>
      <c r="X57" s="62">
        <f t="shared" si="59"/>
        <v>981111.53031504876</v>
      </c>
      <c r="Y57" s="62">
        <f t="shared" si="59"/>
        <v>959201.76076796639</v>
      </c>
      <c r="Z57" s="62">
        <f t="shared" si="59"/>
        <v>937622.80507171992</v>
      </c>
      <c r="AA57" s="62">
        <f t="shared" si="59"/>
        <v>916264.55330222752</v>
      </c>
      <c r="AB57" s="62">
        <f t="shared" si="59"/>
        <v>895052.7552801487</v>
      </c>
      <c r="AC57" s="62">
        <f t="shared" si="59"/>
        <v>873937.77500374767</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504</v>
      </c>
      <c r="B59" s="64">
        <f>B50+B51+B52+B53+B54+B55+B56+B57+B58</f>
        <v>5564250.2768835155</v>
      </c>
      <c r="C59" s="64">
        <f t="shared" ref="C59:AC59" si="61">C50+C51+C52+C53+C54+C55+C56+C57+C58</f>
        <v>5510525.3443941604</v>
      </c>
      <c r="D59" s="64">
        <f t="shared" si="61"/>
        <v>5453027.5505578788</v>
      </c>
      <c r="E59" s="64">
        <f t="shared" si="61"/>
        <v>5403719.2440989017</v>
      </c>
      <c r="F59" s="64">
        <f t="shared" si="61"/>
        <v>5347128.2531732265</v>
      </c>
      <c r="G59" s="64">
        <f t="shared" si="61"/>
        <v>5280692.0698474376</v>
      </c>
      <c r="H59" s="64">
        <f t="shared" si="61"/>
        <v>5201297.6006904924</v>
      </c>
      <c r="I59" s="64">
        <f t="shared" si="61"/>
        <v>5105505.292534003</v>
      </c>
      <c r="J59" s="64">
        <f t="shared" si="61"/>
        <v>5019021.7038039556</v>
      </c>
      <c r="K59" s="64">
        <f t="shared" si="61"/>
        <v>4910456.6145811491</v>
      </c>
      <c r="L59" s="64">
        <f t="shared" si="61"/>
        <v>4780457.3691465054</v>
      </c>
      <c r="M59" s="64">
        <f t="shared" si="61"/>
        <v>4633650.967265211</v>
      </c>
      <c r="N59" s="64">
        <f t="shared" si="61"/>
        <v>4478771.8810427357</v>
      </c>
      <c r="O59" s="64">
        <f t="shared" si="61"/>
        <v>4299010.2687800638</v>
      </c>
      <c r="P59" s="64">
        <f t="shared" si="61"/>
        <v>4133611.5436716182</v>
      </c>
      <c r="Q59" s="64">
        <f t="shared" si="61"/>
        <v>3989465.1311739013</v>
      </c>
      <c r="R59" s="64">
        <f t="shared" si="61"/>
        <v>3868970.7666002149</v>
      </c>
      <c r="S59" s="64">
        <f t="shared" si="61"/>
        <v>3770831.3447115035</v>
      </c>
      <c r="T59" s="64">
        <f t="shared" si="61"/>
        <v>3693634.1469377456</v>
      </c>
      <c r="U59" s="64">
        <f t="shared" si="61"/>
        <v>3631343.7534927693</v>
      </c>
      <c r="V59" s="64">
        <f t="shared" si="61"/>
        <v>3580197.0750365285</v>
      </c>
      <c r="W59" s="64">
        <f t="shared" si="61"/>
        <v>3537087.8212251696</v>
      </c>
      <c r="X59" s="64">
        <f t="shared" si="61"/>
        <v>3499634.8365733614</v>
      </c>
      <c r="Y59" s="64">
        <f t="shared" si="61"/>
        <v>3470481.8227075366</v>
      </c>
      <c r="Z59" s="64">
        <f t="shared" si="61"/>
        <v>3444001.4441793086</v>
      </c>
      <c r="AA59" s="64">
        <f t="shared" si="61"/>
        <v>3419336.6874501761</v>
      </c>
      <c r="AB59" s="64">
        <f t="shared" si="61"/>
        <v>3395898.9667145903</v>
      </c>
      <c r="AC59" s="64">
        <f t="shared" si="61"/>
        <v>3373287.610745593</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9.6035790634886258</v>
      </c>
      <c r="C69" s="66">
        <f t="shared" ref="C69:AC69" si="70">C39*C40*C47/C47</f>
        <v>9.346042228304464</v>
      </c>
      <c r="D69" s="66">
        <f t="shared" si="70"/>
        <v>9.0856088224088598</v>
      </c>
      <c r="E69" s="66">
        <f t="shared" si="70"/>
        <v>8.8965549263897259</v>
      </c>
      <c r="F69" s="66">
        <f t="shared" si="70"/>
        <v>8.7019220831443267</v>
      </c>
      <c r="G69" s="66">
        <f t="shared" si="70"/>
        <v>8.4999159072450734</v>
      </c>
      <c r="H69" s="66">
        <f t="shared" si="70"/>
        <v>8.2884466823081731</v>
      </c>
      <c r="I69" s="66">
        <f t="shared" si="70"/>
        <v>8.0653491064891991</v>
      </c>
      <c r="J69" s="66">
        <f t="shared" si="70"/>
        <v>7.9907228747347538</v>
      </c>
      <c r="K69" s="66">
        <f t="shared" si="70"/>
        <v>7.8986842151866696</v>
      </c>
      <c r="L69" s="66">
        <f t="shared" si="70"/>
        <v>7.7897852571352431</v>
      </c>
      <c r="M69" s="66">
        <f t="shared" si="70"/>
        <v>7.6677282090590655</v>
      </c>
      <c r="N69" s="66">
        <f t="shared" si="70"/>
        <v>7.5394547643723193</v>
      </c>
      <c r="O69" s="66">
        <f t="shared" si="70"/>
        <v>7.2572334744600342</v>
      </c>
      <c r="P69" s="66">
        <f t="shared" si="70"/>
        <v>6.9904727213103843</v>
      </c>
      <c r="Q69" s="66">
        <f t="shared" si="70"/>
        <v>6.7437021672676138</v>
      </c>
      <c r="R69" s="66">
        <f t="shared" si="70"/>
        <v>6.5177419524955331</v>
      </c>
      <c r="S69" s="66">
        <f t="shared" si="70"/>
        <v>6.3106078999767687</v>
      </c>
      <c r="T69" s="66">
        <f t="shared" si="70"/>
        <v>6.1300180567212221</v>
      </c>
      <c r="U69" s="66">
        <f t="shared" si="70"/>
        <v>5.9611481536080131</v>
      </c>
      <c r="V69" s="66">
        <f t="shared" si="70"/>
        <v>5.8008327597826304</v>
      </c>
      <c r="W69" s="66">
        <f t="shared" si="70"/>
        <v>5.6465505415698747</v>
      </c>
      <c r="X69" s="66">
        <f t="shared" si="70"/>
        <v>5.496423139019881</v>
      </c>
      <c r="Y69" s="66">
        <f t="shared" si="70"/>
        <v>5.3736793320334248</v>
      </c>
      <c r="Z69" s="66">
        <f t="shared" si="70"/>
        <v>5.2527888239312039</v>
      </c>
      <c r="AA69" s="66">
        <f t="shared" si="70"/>
        <v>5.1331347523934312</v>
      </c>
      <c r="AB69" s="66">
        <f t="shared" si="70"/>
        <v>5.0143011500288441</v>
      </c>
      <c r="AC69" s="66">
        <f t="shared" si="70"/>
        <v>4.8960099439985862</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187</v>
      </c>
      <c r="B71" s="76">
        <f>B62+B63+B64-B65+B66+B67+B68+B69+B70</f>
        <v>31.343209074001884</v>
      </c>
      <c r="C71" s="76">
        <f t="shared" ref="C71:AC71" si="73">C62+C63+C64-C65+C66+C67+C68+C69+C70</f>
        <v>31.042229060055909</v>
      </c>
      <c r="D71" s="76">
        <f t="shared" si="73"/>
        <v>30.720112567975903</v>
      </c>
      <c r="E71" s="76">
        <f t="shared" si="73"/>
        <v>30.443875557001242</v>
      </c>
      <c r="F71" s="76">
        <f t="shared" si="73"/>
        <v>30.126839193271969</v>
      </c>
      <c r="G71" s="76">
        <f t="shared" si="73"/>
        <v>29.754647690046262</v>
      </c>
      <c r="H71" s="76">
        <f t="shared" si="73"/>
        <v>29.309860747990545</v>
      </c>
      <c r="I71" s="76">
        <f t="shared" si="73"/>
        <v>28.773209161679681</v>
      </c>
      <c r="J71" s="76">
        <f t="shared" si="73"/>
        <v>28.288707264032354</v>
      </c>
      <c r="K71" s="76">
        <f t="shared" si="73"/>
        <v>27.680499481271532</v>
      </c>
      <c r="L71" s="76">
        <f t="shared" si="73"/>
        <v>26.952212392001819</v>
      </c>
      <c r="M71" s="76">
        <f t="shared" si="73"/>
        <v>26.129767563535189</v>
      </c>
      <c r="N71" s="76">
        <f t="shared" si="73"/>
        <v>25.262097612708992</v>
      </c>
      <c r="O71" s="76">
        <f t="shared" si="73"/>
        <v>24.255029756895713</v>
      </c>
      <c r="P71" s="76">
        <f t="shared" si="73"/>
        <v>23.328426254887603</v>
      </c>
      <c r="Q71" s="76">
        <f t="shared" si="73"/>
        <v>22.520883327729528</v>
      </c>
      <c r="R71" s="76">
        <f t="shared" si="73"/>
        <v>21.845844870734087</v>
      </c>
      <c r="S71" s="76">
        <f t="shared" si="73"/>
        <v>21.296044187884164</v>
      </c>
      <c r="T71" s="76">
        <f t="shared" si="73"/>
        <v>20.863566889431738</v>
      </c>
      <c r="U71" s="76">
        <f t="shared" si="73"/>
        <v>20.514601099824027</v>
      </c>
      <c r="V71" s="76">
        <f t="shared" si="73"/>
        <v>20.228065086063577</v>
      </c>
      <c r="W71" s="76">
        <f t="shared" si="73"/>
        <v>19.986556661350079</v>
      </c>
      <c r="X71" s="76">
        <f t="shared" si="73"/>
        <v>19.776736019043035</v>
      </c>
      <c r="Y71" s="76">
        <f t="shared" si="73"/>
        <v>19.613413812511798</v>
      </c>
      <c r="Z71" s="76">
        <f t="shared" si="73"/>
        <v>19.465064352969907</v>
      </c>
      <c r="AA71" s="76">
        <f t="shared" si="73"/>
        <v>19.326886444123225</v>
      </c>
      <c r="AB71" s="76">
        <f t="shared" si="73"/>
        <v>19.195582686500895</v>
      </c>
      <c r="AC71" s="76">
        <f t="shared" si="73"/>
        <v>19.068908423369262</v>
      </c>
    </row>
    <row r="72" spans="1:29" ht="15.75" thickBot="1" x14ac:dyDescent="0.3"/>
    <row r="73" spans="1:29" ht="15.75" thickBot="1" x14ac:dyDescent="0.3">
      <c r="A73" s="26" t="s">
        <v>503</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4.2873120819145651E-3</v>
      </c>
      <c r="C81" s="66">
        <f t="shared" ref="C81:AC81" si="82">C39*C40*C47/C47/(C44)</f>
        <v>4.1723402804930646E-3</v>
      </c>
      <c r="D81" s="66">
        <f t="shared" si="82"/>
        <v>4.0560753671468122E-3</v>
      </c>
      <c r="E81" s="66">
        <f t="shared" si="82"/>
        <v>3.9716763064239846E-3</v>
      </c>
      <c r="F81" s="66">
        <f t="shared" si="82"/>
        <v>3.8847866442608603E-3</v>
      </c>
      <c r="G81" s="66">
        <f t="shared" si="82"/>
        <v>3.7946053157344077E-3</v>
      </c>
      <c r="H81" s="66">
        <f t="shared" si="82"/>
        <v>3.7001994117447203E-3</v>
      </c>
      <c r="I81" s="66">
        <f t="shared" si="82"/>
        <v>3.6006022796826781E-3</v>
      </c>
      <c r="J81" s="66">
        <f t="shared" si="82"/>
        <v>3.5672869976494438E-3</v>
      </c>
      <c r="K81" s="66">
        <f t="shared" si="82"/>
        <v>3.5261983103511917E-3</v>
      </c>
      <c r="L81" s="66">
        <f t="shared" si="82"/>
        <v>3.4775827040782335E-3</v>
      </c>
      <c r="M81" s="66">
        <f t="shared" si="82"/>
        <v>3.4230929504727972E-3</v>
      </c>
      <c r="N81" s="66">
        <f t="shared" si="82"/>
        <v>3.365828019809071E-3</v>
      </c>
      <c r="O81" s="66">
        <f t="shared" si="82"/>
        <v>3.2398363725268009E-3</v>
      </c>
      <c r="P81" s="66">
        <f t="shared" si="82"/>
        <v>3.1207467505849928E-3</v>
      </c>
      <c r="Q81" s="66">
        <f t="shared" si="82"/>
        <v>3.0105813246730419E-3</v>
      </c>
      <c r="R81" s="66">
        <f t="shared" si="82"/>
        <v>2.9097062287926486E-3</v>
      </c>
      <c r="S81" s="66">
        <f t="shared" si="82"/>
        <v>2.8172356696324861E-3</v>
      </c>
      <c r="T81" s="66">
        <f t="shared" si="82"/>
        <v>2.7366152038934026E-3</v>
      </c>
      <c r="U81" s="66">
        <f t="shared" si="82"/>
        <v>2.6612268542892917E-3</v>
      </c>
      <c r="V81" s="66">
        <f t="shared" si="82"/>
        <v>2.5896574820458173E-3</v>
      </c>
      <c r="W81" s="66">
        <f t="shared" si="82"/>
        <v>2.5207814917722654E-3</v>
      </c>
      <c r="X81" s="66">
        <f t="shared" si="82"/>
        <v>2.4537603299195896E-3</v>
      </c>
      <c r="Y81" s="66">
        <f t="shared" si="82"/>
        <v>2.3989639875149219E-3</v>
      </c>
      <c r="Z81" s="66">
        <f t="shared" si="82"/>
        <v>2.3449950106835733E-3</v>
      </c>
      <c r="AA81" s="66">
        <f t="shared" si="82"/>
        <v>2.2915780144613534E-3</v>
      </c>
      <c r="AB81" s="66">
        <f t="shared" si="82"/>
        <v>2.2385272991200197E-3</v>
      </c>
      <c r="AC81" s="66">
        <f t="shared" si="82"/>
        <v>2.1857187249993688E-3</v>
      </c>
    </row>
    <row r="82" spans="1:29" x14ac:dyDescent="0.25">
      <c r="A82" s="59" t="str">
        <f>A45</f>
        <v>Market failure (av. utilization)</v>
      </c>
      <c r="B82" s="66">
        <f t="shared" ref="B82:AC82" si="83">B71/B45-B71/B44</f>
        <v>7.8707835286277034E-3</v>
      </c>
      <c r="C82" s="66">
        <f t="shared" si="83"/>
        <v>7.7952026099470731E-3</v>
      </c>
      <c r="D82" s="66">
        <f t="shared" si="83"/>
        <v>7.7143139819135908E-3</v>
      </c>
      <c r="E82" s="66">
        <f t="shared" si="83"/>
        <v>7.6449464289344623E-3</v>
      </c>
      <c r="F82" s="66">
        <f t="shared" si="83"/>
        <v>7.5653335027747667E-3</v>
      </c>
      <c r="G82" s="66">
        <f t="shared" si="83"/>
        <v>7.4718702346656327E-3</v>
      </c>
      <c r="H82" s="66">
        <f t="shared" si="83"/>
        <v>7.3601770851538743E-3</v>
      </c>
      <c r="I82" s="66">
        <f t="shared" si="83"/>
        <v>7.2254152470735793E-3</v>
      </c>
      <c r="J82" s="66">
        <f t="shared" si="83"/>
        <v>7.1037490339366932E-3</v>
      </c>
      <c r="K82" s="66">
        <f t="shared" si="83"/>
        <v>6.951018284917513E-3</v>
      </c>
      <c r="L82" s="66">
        <f t="shared" si="83"/>
        <v>6.7681336921879536E-3</v>
      </c>
      <c r="M82" s="66">
        <f t="shared" si="83"/>
        <v>6.5616045778966701E-3</v>
      </c>
      <c r="N82" s="66">
        <f t="shared" si="83"/>
        <v>6.3437187085485756E-3</v>
      </c>
      <c r="O82" s="66">
        <f t="shared" si="83"/>
        <v>6.0908277849347457E-3</v>
      </c>
      <c r="P82" s="66">
        <f t="shared" si="83"/>
        <v>5.8581427537385128E-3</v>
      </c>
      <c r="Q82" s="66">
        <f t="shared" si="83"/>
        <v>5.6553557463606512E-3</v>
      </c>
      <c r="R82" s="66">
        <f t="shared" si="83"/>
        <v>5.4858427409767516E-3</v>
      </c>
      <c r="S82" s="66">
        <f t="shared" si="83"/>
        <v>5.3477789534307329E-3</v>
      </c>
      <c r="T82" s="66">
        <f t="shared" si="83"/>
        <v>5.239176953261317E-3</v>
      </c>
      <c r="U82" s="66">
        <f t="shared" si="83"/>
        <v>5.151546035112059E-3</v>
      </c>
      <c r="V82" s="66">
        <f t="shared" si="83"/>
        <v>5.0795922370137324E-3</v>
      </c>
      <c r="W82" s="66">
        <f t="shared" si="83"/>
        <v>5.0189455901827763E-3</v>
      </c>
      <c r="X82" s="66">
        <f t="shared" si="83"/>
        <v>4.966256254782012E-3</v>
      </c>
      <c r="Y82" s="66">
        <f t="shared" si="83"/>
        <v>4.9252434239008408E-3</v>
      </c>
      <c r="Z82" s="66">
        <f t="shared" si="83"/>
        <v>4.88799049042213E-3</v>
      </c>
      <c r="AA82" s="66">
        <f t="shared" si="83"/>
        <v>4.8532917967943363E-3</v>
      </c>
      <c r="AB82" s="66">
        <f t="shared" si="83"/>
        <v>4.8203193130164079E-3</v>
      </c>
      <c r="AC82" s="66">
        <f t="shared" si="83"/>
        <v>4.7885093697076827E-3</v>
      </c>
    </row>
    <row r="83" spans="1:29" x14ac:dyDescent="0.25">
      <c r="A83" s="59" t="str">
        <f>A46</f>
        <v>Payload loss (fuel)</v>
      </c>
      <c r="B83" s="66">
        <f>B71/(B44-B46)-B71/B44</f>
        <v>2.5440916456170339E-4</v>
      </c>
      <c r="C83" s="66">
        <f t="shared" ref="C83:AC83" si="84">C71/(C44-C46)-C71/C44</f>
        <v>2.5196614496798657E-4</v>
      </c>
      <c r="D83" s="66">
        <f t="shared" si="84"/>
        <v>2.4935156305175288E-4</v>
      </c>
      <c r="E83" s="66">
        <f t="shared" si="84"/>
        <v>2.4710937952111475E-4</v>
      </c>
      <c r="F83" s="66">
        <f t="shared" si="84"/>
        <v>2.4453603241292136E-4</v>
      </c>
      <c r="G83" s="66">
        <f t="shared" si="84"/>
        <v>2.4151499748414212E-4</v>
      </c>
      <c r="H83" s="66">
        <f t="shared" si="84"/>
        <v>2.3790471386356087E-4</v>
      </c>
      <c r="I83" s="66">
        <f t="shared" si="84"/>
        <v>2.3354877566298358E-4</v>
      </c>
      <c r="J83" s="66">
        <f t="shared" si="84"/>
        <v>2.2961613038987444E-4</v>
      </c>
      <c r="K83" s="66">
        <f t="shared" si="84"/>
        <v>2.2467937890642553E-4</v>
      </c>
      <c r="L83" s="66">
        <f t="shared" si="84"/>
        <v>2.1876795772728802E-4</v>
      </c>
      <c r="M83" s="66">
        <f t="shared" si="84"/>
        <v>2.1209226918453804E-4</v>
      </c>
      <c r="N83" s="66">
        <f t="shared" si="84"/>
        <v>2.0504949360965197E-4</v>
      </c>
      <c r="O83" s="66">
        <f t="shared" si="84"/>
        <v>1.9687524153324393E-4</v>
      </c>
      <c r="P83" s="66">
        <f t="shared" si="84"/>
        <v>1.8935410921174997E-4</v>
      </c>
      <c r="Q83" s="66">
        <f t="shared" si="84"/>
        <v>1.8279937766014359E-4</v>
      </c>
      <c r="R83" s="66">
        <f t="shared" si="84"/>
        <v>1.7732016940530913E-4</v>
      </c>
      <c r="S83" s="66">
        <f t="shared" si="84"/>
        <v>1.7285750152503526E-4</v>
      </c>
      <c r="T83" s="66">
        <f t="shared" si="84"/>
        <v>1.6934713384279126E-4</v>
      </c>
      <c r="U83" s="66">
        <f t="shared" si="84"/>
        <v>1.6651461931675368E-4</v>
      </c>
      <c r="V83" s="66">
        <f t="shared" si="84"/>
        <v>1.6418883998428266E-4</v>
      </c>
      <c r="W83" s="66">
        <f t="shared" si="84"/>
        <v>1.6222854432914116E-4</v>
      </c>
      <c r="X83" s="66">
        <f t="shared" si="84"/>
        <v>1.6052545470002406E-4</v>
      </c>
      <c r="Y83" s="66">
        <f t="shared" si="84"/>
        <v>1.5919978743921849E-4</v>
      </c>
      <c r="Z83" s="66">
        <f t="shared" si="84"/>
        <v>1.5799565221566621E-4</v>
      </c>
      <c r="AA83" s="66">
        <f t="shared" si="84"/>
        <v>1.5687407828022214E-4</v>
      </c>
      <c r="AB83" s="66">
        <f t="shared" si="84"/>
        <v>1.558083010267941E-4</v>
      </c>
      <c r="AC83" s="66">
        <f t="shared" si="84"/>
        <v>1.5478010083903697E-4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505</v>
      </c>
      <c r="B85" s="77">
        <f>B74+B75+B76+B77+B78+B79+B80+B81+B82+B83+B84</f>
        <v>2.2041384862265825E-2</v>
      </c>
      <c r="C85" s="77">
        <f t="shared" ref="C85:AC85" si="86">C74+C75+C76+C77+C78+C79+C80+C81+C82+C83+C84</f>
        <v>2.1828994846337033E-2</v>
      </c>
      <c r="D85" s="77">
        <f t="shared" si="86"/>
        <v>2.1601689630994451E-2</v>
      </c>
      <c r="E85" s="77">
        <f t="shared" si="86"/>
        <v>2.1406759800299571E-2</v>
      </c>
      <c r="F85" s="77">
        <f t="shared" si="86"/>
        <v>2.1183039436081109E-2</v>
      </c>
      <c r="G85" s="77">
        <f t="shared" si="86"/>
        <v>2.0920398211960293E-2</v>
      </c>
      <c r="H85" s="77">
        <f t="shared" si="86"/>
        <v>2.0606529179695937E-2</v>
      </c>
      <c r="I85" s="77">
        <f t="shared" si="86"/>
        <v>2.0227834802383431E-2</v>
      </c>
      <c r="J85" s="77">
        <f t="shared" si="86"/>
        <v>1.9885940453952304E-2</v>
      </c>
      <c r="K85" s="77">
        <f t="shared" si="86"/>
        <v>1.9456751621860023E-2</v>
      </c>
      <c r="L85" s="77">
        <f t="shared" si="86"/>
        <v>1.8942827443098775E-2</v>
      </c>
      <c r="M85" s="77">
        <f t="shared" si="86"/>
        <v>1.8362459770413571E-2</v>
      </c>
      <c r="N85" s="77">
        <f t="shared" si="86"/>
        <v>1.7750178468871752E-2</v>
      </c>
      <c r="O85" s="77">
        <f t="shared" si="86"/>
        <v>1.7039529428979155E-2</v>
      </c>
      <c r="P85" s="77">
        <f t="shared" si="86"/>
        <v>1.638566098777924E-2</v>
      </c>
      <c r="Q85" s="77">
        <f t="shared" si="86"/>
        <v>1.5815809013511345E-2</v>
      </c>
      <c r="R85" s="77">
        <f t="shared" si="86"/>
        <v>1.5339460345856787E-2</v>
      </c>
      <c r="S85" s="77">
        <f t="shared" si="86"/>
        <v>1.495148715701535E-2</v>
      </c>
      <c r="T85" s="77">
        <f t="shared" si="86"/>
        <v>1.4646304566640287E-2</v>
      </c>
      <c r="U85" s="77">
        <f t="shared" si="86"/>
        <v>1.4400052835032979E-2</v>
      </c>
      <c r="V85" s="77">
        <f t="shared" si="86"/>
        <v>1.4197855394316264E-2</v>
      </c>
      <c r="W85" s="77">
        <f t="shared" si="86"/>
        <v>1.4027432190797355E-2</v>
      </c>
      <c r="X85" s="77">
        <f t="shared" si="86"/>
        <v>1.3879369836166113E-2</v>
      </c>
      <c r="Y85" s="77">
        <f t="shared" si="86"/>
        <v>1.3764119638679836E-2</v>
      </c>
      <c r="Z85" s="77">
        <f t="shared" si="86"/>
        <v>1.3659435132682085E-2</v>
      </c>
      <c r="AA85" s="77">
        <f t="shared" si="86"/>
        <v>1.3561928298669436E-2</v>
      </c>
      <c r="AB85" s="77">
        <f t="shared" si="86"/>
        <v>1.3469272288699539E-2</v>
      </c>
      <c r="AC85" s="77">
        <f t="shared" si="86"/>
        <v>1.3379883134876433E-2</v>
      </c>
    </row>
    <row r="87" spans="1:29" x14ac:dyDescent="0.25">
      <c r="B87" s="40"/>
    </row>
    <row r="107" spans="1:2" s="3" customFormat="1" ht="21" x14ac:dyDescent="0.35">
      <c r="A107" s="2" t="str">
        <f>'Parameter Input'!A158</f>
        <v>Railway long-haul: Liquid bulk</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Input'!$L$183</f>
        <v>10000000</v>
      </c>
      <c r="C117" s="42">
        <f>'Parameter Input'!$M$183</f>
        <v>4000000</v>
      </c>
      <c r="D117" s="1" t="s">
        <v>138</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151</v>
      </c>
      <c r="B118" s="60">
        <f>'Parameter Input'!$L$184</f>
        <v>-500000</v>
      </c>
      <c r="C118" s="61">
        <f>'Parameter Input'!$M$184</f>
        <v>-600000</v>
      </c>
      <c r="D118" s="1" t="s">
        <v>138</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137</v>
      </c>
      <c r="B119" s="43">
        <f>'Parameter Input'!B159</f>
        <v>5600000</v>
      </c>
      <c r="C119" s="44">
        <f>'Parameter Input'!C159</f>
        <v>5600000</v>
      </c>
      <c r="D119" s="1" t="s">
        <v>138</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148</v>
      </c>
      <c r="B120" s="60">
        <f>'Parameter Input'!B160</f>
        <v>-280000</v>
      </c>
      <c r="C120" s="61">
        <f>'Parameter Input'!C160</f>
        <v>-280000</v>
      </c>
      <c r="D120" s="1" t="s">
        <v>138</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203</v>
      </c>
      <c r="B121" s="45">
        <f>'Parameter Input'!$L$190</f>
        <v>0.06</v>
      </c>
      <c r="C121" s="46">
        <f>'Parameter Input'!$M$190</f>
        <v>0.06</v>
      </c>
      <c r="D121" s="1" t="s">
        <v>180</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160</v>
      </c>
      <c r="B122" s="43">
        <f>'Parameter Input'!B161</f>
        <v>620000</v>
      </c>
      <c r="C122" s="44">
        <f>'Parameter Input'!C161</f>
        <v>620000</v>
      </c>
      <c r="D122" s="1" t="s">
        <v>161</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175</v>
      </c>
      <c r="B123" s="43">
        <f>'Parameter Input'!$L$186</f>
        <v>1400000.0000000002</v>
      </c>
      <c r="C123" s="44">
        <f>'Parameter Input'!$M$186</f>
        <v>560000</v>
      </c>
      <c r="D123" s="1" t="s">
        <v>161</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279</v>
      </c>
      <c r="B124" s="45">
        <f>'Parameter Input'!B166</f>
        <v>3.6414565826330532</v>
      </c>
      <c r="C124" s="46">
        <f>'Parameter Input'!C166</f>
        <v>3.6414565826330532</v>
      </c>
      <c r="D124" s="1" t="s">
        <v>200</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183</v>
      </c>
      <c r="B125" s="47">
        <f>'Parameter Input'!$L$187</f>
        <v>48.858472727272719</v>
      </c>
      <c r="C125" s="48">
        <f>'Parameter Input'!$M$187</f>
        <v>41.341784615384611</v>
      </c>
      <c r="D125" s="1" t="s">
        <v>184</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191</v>
      </c>
      <c r="B126" s="45">
        <f>'Parameter Input'!$L$188</f>
        <v>0.2544561408768215</v>
      </c>
      <c r="C126" s="46">
        <f>'Parameter Input'!$M$188</f>
        <v>0.10949010032952979</v>
      </c>
      <c r="D126" s="1" t="s">
        <v>94</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458</v>
      </c>
      <c r="B127" s="115">
        <f>'Parameter Input'!$L$191</f>
        <v>0</v>
      </c>
      <c r="C127" s="116">
        <f>'Parameter Input'!$M$191</f>
        <v>0</v>
      </c>
      <c r="D127" s="1" t="s">
        <v>200</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164</v>
      </c>
      <c r="B128" s="43">
        <f>'Parameter Input'!$L$185</f>
        <v>20</v>
      </c>
      <c r="C128" s="44">
        <f>'Parameter Input'!$M$185</f>
        <v>20</v>
      </c>
      <c r="D128" s="1" t="s">
        <v>165</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194</v>
      </c>
      <c r="B129" s="43">
        <f>'Parameter Input'!B165</f>
        <v>30</v>
      </c>
      <c r="C129" s="44">
        <f>'Parameter Input'!C165</f>
        <v>30</v>
      </c>
      <c r="D129" s="1" t="s">
        <v>165</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502</v>
      </c>
      <c r="B130" s="70">
        <f>'Parameter Input'!B162</f>
        <v>2240</v>
      </c>
      <c r="C130" s="71">
        <f>'Parameter Input'!C162</f>
        <v>2240</v>
      </c>
      <c r="D130" s="1" t="s">
        <v>172</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179</v>
      </c>
      <c r="B131" s="72">
        <f>'Parameter Input'!B163</f>
        <v>0.42666666666666669</v>
      </c>
      <c r="C131" s="73">
        <f>'Parameter Input'!C163</f>
        <v>0.42666666666666669</v>
      </c>
      <c r="D131" s="1" t="s">
        <v>180</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197</v>
      </c>
      <c r="B132" s="72">
        <f>'Parameter Input'!$L$189</f>
        <v>1.7857142857142856E-2</v>
      </c>
      <c r="C132" s="73">
        <f>'Parameter Input'!$M$189</f>
        <v>1.7857142857142856E-2</v>
      </c>
      <c r="D132" s="1" t="s">
        <v>180</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188</v>
      </c>
      <c r="B133" s="74">
        <f>'Parameter Input'!B164</f>
        <v>178500</v>
      </c>
      <c r="C133" s="75">
        <f>'Parameter Input'!C164</f>
        <v>178500</v>
      </c>
      <c r="D133" s="1" t="s">
        <v>189</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197</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1714238.8628327197</v>
      </c>
      <c r="C163" s="62">
        <f t="shared" ref="C163:AC163" si="163">C145*C146*C153</f>
        <v>1668268.5377523468</v>
      </c>
      <c r="D163" s="62">
        <f t="shared" si="163"/>
        <v>1621781.1747999815</v>
      </c>
      <c r="E163" s="62">
        <f t="shared" si="163"/>
        <v>1588035.054360566</v>
      </c>
      <c r="F163" s="62">
        <f t="shared" si="163"/>
        <v>1553293.0918412623</v>
      </c>
      <c r="G163" s="62">
        <f t="shared" si="163"/>
        <v>1517234.9894432456</v>
      </c>
      <c r="H163" s="62">
        <f t="shared" si="163"/>
        <v>1479487.7327920089</v>
      </c>
      <c r="I163" s="62">
        <f t="shared" si="163"/>
        <v>1439664.8155083221</v>
      </c>
      <c r="J163" s="62">
        <f t="shared" si="163"/>
        <v>1426344.0331401536</v>
      </c>
      <c r="K163" s="62">
        <f t="shared" si="163"/>
        <v>1409915.1324108206</v>
      </c>
      <c r="L163" s="62">
        <f t="shared" si="163"/>
        <v>1390476.6683986408</v>
      </c>
      <c r="M163" s="62">
        <f t="shared" si="163"/>
        <v>1368689.4853170433</v>
      </c>
      <c r="N163" s="62">
        <f t="shared" si="163"/>
        <v>1345792.675440459</v>
      </c>
      <c r="O163" s="62">
        <f t="shared" si="163"/>
        <v>1295416.1751911161</v>
      </c>
      <c r="P163" s="62">
        <f t="shared" si="163"/>
        <v>1247799.3807539036</v>
      </c>
      <c r="Q163" s="62">
        <f t="shared" si="163"/>
        <v>1203750.8368572691</v>
      </c>
      <c r="R163" s="62">
        <f t="shared" si="163"/>
        <v>1163416.9385204527</v>
      </c>
      <c r="S163" s="62">
        <f t="shared" si="163"/>
        <v>1126443.5101458533</v>
      </c>
      <c r="T163" s="62">
        <f t="shared" si="163"/>
        <v>1094208.2231247381</v>
      </c>
      <c r="U163" s="62">
        <f t="shared" si="163"/>
        <v>1064064.9454190303</v>
      </c>
      <c r="V163" s="62">
        <f t="shared" si="163"/>
        <v>1035448.6476211995</v>
      </c>
      <c r="W163" s="62">
        <f t="shared" si="163"/>
        <v>1007909.2716702226</v>
      </c>
      <c r="X163" s="62">
        <f t="shared" si="163"/>
        <v>981111.53031504876</v>
      </c>
      <c r="Y163" s="62">
        <f t="shared" si="163"/>
        <v>959201.76076796639</v>
      </c>
      <c r="Z163" s="62">
        <f t="shared" si="163"/>
        <v>937622.80507171992</v>
      </c>
      <c r="AA163" s="62">
        <f t="shared" si="163"/>
        <v>916264.55330222752</v>
      </c>
      <c r="AB163" s="62">
        <f t="shared" si="163"/>
        <v>895052.7552801487</v>
      </c>
      <c r="AC163" s="62">
        <f t="shared" si="163"/>
        <v>873937.77500374767</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504</v>
      </c>
      <c r="B165" s="64">
        <f>B156+B157+B158+B159+B160+B161+B162+B163+B164</f>
        <v>5580873.3291652789</v>
      </c>
      <c r="C165" s="64">
        <f t="shared" ref="C165:AC165" si="165">C156+C157+C158+C159+C160+C161+C162+C163+C164</f>
        <v>5527148.3966759238</v>
      </c>
      <c r="D165" s="64">
        <f t="shared" si="165"/>
        <v>5469650.6028396413</v>
      </c>
      <c r="E165" s="64">
        <f t="shared" si="165"/>
        <v>5420342.2963806642</v>
      </c>
      <c r="F165" s="64">
        <f t="shared" si="165"/>
        <v>5363751.3054549899</v>
      </c>
      <c r="G165" s="64">
        <f t="shared" si="165"/>
        <v>5297315.1221292</v>
      </c>
      <c r="H165" s="64">
        <f t="shared" si="165"/>
        <v>5217920.6529722558</v>
      </c>
      <c r="I165" s="64">
        <f t="shared" si="165"/>
        <v>5122128.3448157664</v>
      </c>
      <c r="J165" s="64">
        <f t="shared" si="165"/>
        <v>5035644.7560857181</v>
      </c>
      <c r="K165" s="64">
        <f t="shared" si="165"/>
        <v>4927079.6668629115</v>
      </c>
      <c r="L165" s="64">
        <f t="shared" si="165"/>
        <v>4797080.4214282678</v>
      </c>
      <c r="M165" s="64">
        <f t="shared" si="165"/>
        <v>4650274.0195469745</v>
      </c>
      <c r="N165" s="64">
        <f t="shared" si="165"/>
        <v>4495394.9333244991</v>
      </c>
      <c r="O165" s="64">
        <f t="shared" si="165"/>
        <v>4315633.3210618272</v>
      </c>
      <c r="P165" s="64">
        <f t="shared" si="165"/>
        <v>4150234.5959533807</v>
      </c>
      <c r="Q165" s="64">
        <f t="shared" si="165"/>
        <v>4006088.1834556642</v>
      </c>
      <c r="R165" s="64">
        <f t="shared" si="165"/>
        <v>3885593.8188819773</v>
      </c>
      <c r="S165" s="64">
        <f t="shared" si="165"/>
        <v>3787454.3969932664</v>
      </c>
      <c r="T165" s="64">
        <f t="shared" si="165"/>
        <v>3710257.1992195081</v>
      </c>
      <c r="U165" s="64">
        <f t="shared" si="165"/>
        <v>3647966.8057745318</v>
      </c>
      <c r="V165" s="64">
        <f t="shared" si="165"/>
        <v>3596820.1273182915</v>
      </c>
      <c r="W165" s="64">
        <f t="shared" si="165"/>
        <v>3553710.8735069321</v>
      </c>
      <c r="X165" s="64">
        <f t="shared" si="165"/>
        <v>3516257.8888551248</v>
      </c>
      <c r="Y165" s="64">
        <f t="shared" si="165"/>
        <v>3487104.8749892996</v>
      </c>
      <c r="Z165" s="64">
        <f t="shared" si="165"/>
        <v>3460624.4964610711</v>
      </c>
      <c r="AA165" s="64">
        <f t="shared" si="165"/>
        <v>3435959.7397319386</v>
      </c>
      <c r="AB165" s="64">
        <f t="shared" si="165"/>
        <v>3412522.0189963528</v>
      </c>
      <c r="AC165" s="64">
        <f t="shared" si="165"/>
        <v>3389910.6630273559</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9.6035790634886258</v>
      </c>
      <c r="C175" s="66">
        <f t="shared" ref="C175:AC175" si="174">C145*C146*C153/C153</f>
        <v>9.346042228304464</v>
      </c>
      <c r="D175" s="66">
        <f t="shared" si="174"/>
        <v>9.0856088224088598</v>
      </c>
      <c r="E175" s="66">
        <f t="shared" si="174"/>
        <v>8.8965549263897259</v>
      </c>
      <c r="F175" s="66">
        <f t="shared" si="174"/>
        <v>8.7019220831443267</v>
      </c>
      <c r="G175" s="66">
        <f t="shared" si="174"/>
        <v>8.4999159072450734</v>
      </c>
      <c r="H175" s="66">
        <f t="shared" si="174"/>
        <v>8.2884466823081731</v>
      </c>
      <c r="I175" s="66">
        <f t="shared" si="174"/>
        <v>8.0653491064891991</v>
      </c>
      <c r="J175" s="66">
        <f t="shared" si="174"/>
        <v>7.9907228747347538</v>
      </c>
      <c r="K175" s="66">
        <f t="shared" si="174"/>
        <v>7.8986842151866696</v>
      </c>
      <c r="L175" s="66">
        <f t="shared" si="174"/>
        <v>7.7897852571352431</v>
      </c>
      <c r="M175" s="66">
        <f t="shared" si="174"/>
        <v>7.6677282090590655</v>
      </c>
      <c r="N175" s="66">
        <f t="shared" si="174"/>
        <v>7.5394547643723193</v>
      </c>
      <c r="O175" s="66">
        <f t="shared" si="174"/>
        <v>7.2572334744600342</v>
      </c>
      <c r="P175" s="66">
        <f t="shared" si="174"/>
        <v>6.9904727213103843</v>
      </c>
      <c r="Q175" s="66">
        <f t="shared" si="174"/>
        <v>6.7437021672676138</v>
      </c>
      <c r="R175" s="66">
        <f t="shared" si="174"/>
        <v>6.5177419524955331</v>
      </c>
      <c r="S175" s="66">
        <f t="shared" si="174"/>
        <v>6.3106078999767687</v>
      </c>
      <c r="T175" s="66">
        <f t="shared" si="174"/>
        <v>6.1300180567212221</v>
      </c>
      <c r="U175" s="66">
        <f t="shared" si="174"/>
        <v>5.9611481536080131</v>
      </c>
      <c r="V175" s="66">
        <f t="shared" si="174"/>
        <v>5.8008327597826304</v>
      </c>
      <c r="W175" s="66">
        <f t="shared" si="174"/>
        <v>5.6465505415698747</v>
      </c>
      <c r="X175" s="66">
        <f t="shared" si="174"/>
        <v>5.496423139019881</v>
      </c>
      <c r="Y175" s="66">
        <f t="shared" si="174"/>
        <v>5.3736793320334248</v>
      </c>
      <c r="Z175" s="66">
        <f t="shared" si="174"/>
        <v>5.2527888239312039</v>
      </c>
      <c r="AA175" s="66">
        <f t="shared" si="174"/>
        <v>5.1331347523934312</v>
      </c>
      <c r="AB175" s="66">
        <f t="shared" si="174"/>
        <v>5.0143011500288441</v>
      </c>
      <c r="AC175" s="66">
        <f t="shared" si="174"/>
        <v>4.8960099439985862</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187</v>
      </c>
      <c r="B177" s="76">
        <f>B168+B169+B170-B171+B172+B173+B174+B175+B176</f>
        <v>31.493314955740644</v>
      </c>
      <c r="C177" s="76">
        <f t="shared" ref="C177:AC177" si="177">C168+C169+C170-C171+C172+C173+C174+C175+C176</f>
        <v>31.192334941794677</v>
      </c>
      <c r="D177" s="76">
        <f t="shared" si="177"/>
        <v>30.870218449714663</v>
      </c>
      <c r="E177" s="76">
        <f t="shared" si="177"/>
        <v>30.593981438740009</v>
      </c>
      <c r="F177" s="76">
        <f t="shared" si="177"/>
        <v>30.276945075010737</v>
      </c>
      <c r="G177" s="76">
        <f t="shared" si="177"/>
        <v>29.904753571785022</v>
      </c>
      <c r="H177" s="76">
        <f t="shared" si="177"/>
        <v>29.459966629729312</v>
      </c>
      <c r="I177" s="76">
        <f t="shared" si="177"/>
        <v>28.923315043418448</v>
      </c>
      <c r="J177" s="76">
        <f t="shared" si="177"/>
        <v>28.438813145771121</v>
      </c>
      <c r="K177" s="76">
        <f t="shared" si="177"/>
        <v>27.830605363010299</v>
      </c>
      <c r="L177" s="76">
        <f t="shared" si="177"/>
        <v>27.102318273740586</v>
      </c>
      <c r="M177" s="76">
        <f t="shared" si="177"/>
        <v>26.27987344527395</v>
      </c>
      <c r="N177" s="76">
        <f t="shared" si="177"/>
        <v>25.412203494447759</v>
      </c>
      <c r="O177" s="76">
        <f t="shared" si="177"/>
        <v>24.405135638634476</v>
      </c>
      <c r="P177" s="76">
        <f t="shared" si="177"/>
        <v>23.47853213662637</v>
      </c>
      <c r="Q177" s="76">
        <f t="shared" si="177"/>
        <v>22.670989209468292</v>
      </c>
      <c r="R177" s="76">
        <f t="shared" si="177"/>
        <v>21.995950752472851</v>
      </c>
      <c r="S177" s="76">
        <f t="shared" si="177"/>
        <v>21.446150069622927</v>
      </c>
      <c r="T177" s="76">
        <f t="shared" si="177"/>
        <v>21.013672771170501</v>
      </c>
      <c r="U177" s="76">
        <f t="shared" si="177"/>
        <v>20.664706981562794</v>
      </c>
      <c r="V177" s="76">
        <f t="shared" si="177"/>
        <v>20.37817096780234</v>
      </c>
      <c r="W177" s="76">
        <f t="shared" si="177"/>
        <v>20.136662543088843</v>
      </c>
      <c r="X177" s="76">
        <f t="shared" si="177"/>
        <v>19.926841900781795</v>
      </c>
      <c r="Y177" s="76">
        <f t="shared" si="177"/>
        <v>19.763519694250562</v>
      </c>
      <c r="Z177" s="76">
        <f t="shared" si="177"/>
        <v>19.615170234708671</v>
      </c>
      <c r="AA177" s="76">
        <f t="shared" si="177"/>
        <v>19.476992325861989</v>
      </c>
      <c r="AB177" s="76">
        <f t="shared" si="177"/>
        <v>19.345688568239659</v>
      </c>
      <c r="AC177" s="76">
        <f t="shared" si="177"/>
        <v>19.219014305108026</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4.2873120819145651E-3</v>
      </c>
      <c r="C187" s="66">
        <f t="shared" ref="C187:AC187" si="186">C145*C146*C153/C153/(C150)</f>
        <v>4.1723402804930646E-3</v>
      </c>
      <c r="D187" s="66">
        <f t="shared" si="186"/>
        <v>4.0560753671468122E-3</v>
      </c>
      <c r="E187" s="66">
        <f t="shared" si="186"/>
        <v>3.9716763064239846E-3</v>
      </c>
      <c r="F187" s="66">
        <f t="shared" si="186"/>
        <v>3.8847866442608603E-3</v>
      </c>
      <c r="G187" s="66">
        <f t="shared" si="186"/>
        <v>3.7946053157344077E-3</v>
      </c>
      <c r="H187" s="66">
        <f t="shared" si="186"/>
        <v>3.7001994117447203E-3</v>
      </c>
      <c r="I187" s="66">
        <f t="shared" si="186"/>
        <v>3.6006022796826781E-3</v>
      </c>
      <c r="J187" s="66">
        <f t="shared" si="186"/>
        <v>3.5672869976494438E-3</v>
      </c>
      <c r="K187" s="66">
        <f t="shared" si="186"/>
        <v>3.5261983103511917E-3</v>
      </c>
      <c r="L187" s="66">
        <f t="shared" si="186"/>
        <v>3.4775827040782335E-3</v>
      </c>
      <c r="M187" s="66">
        <f t="shared" si="186"/>
        <v>3.4230929504727972E-3</v>
      </c>
      <c r="N187" s="66">
        <f t="shared" si="186"/>
        <v>3.365828019809071E-3</v>
      </c>
      <c r="O187" s="66">
        <f t="shared" si="186"/>
        <v>3.2398363725268009E-3</v>
      </c>
      <c r="P187" s="66">
        <f t="shared" si="186"/>
        <v>3.1207467505849928E-3</v>
      </c>
      <c r="Q187" s="66">
        <f t="shared" si="186"/>
        <v>3.0105813246730419E-3</v>
      </c>
      <c r="R187" s="66">
        <f t="shared" si="186"/>
        <v>2.9097062287926486E-3</v>
      </c>
      <c r="S187" s="66">
        <f t="shared" si="186"/>
        <v>2.8172356696324861E-3</v>
      </c>
      <c r="T187" s="66">
        <f t="shared" si="186"/>
        <v>2.7366152038934026E-3</v>
      </c>
      <c r="U187" s="66">
        <f t="shared" si="186"/>
        <v>2.6612268542892917E-3</v>
      </c>
      <c r="V187" s="66">
        <f t="shared" si="186"/>
        <v>2.5896574820458173E-3</v>
      </c>
      <c r="W187" s="66">
        <f t="shared" si="186"/>
        <v>2.5207814917722654E-3</v>
      </c>
      <c r="X187" s="66">
        <f t="shared" si="186"/>
        <v>2.4537603299195896E-3</v>
      </c>
      <c r="Y187" s="66">
        <f t="shared" si="186"/>
        <v>2.3989639875149219E-3</v>
      </c>
      <c r="Z187" s="66">
        <f t="shared" si="186"/>
        <v>2.3449950106835733E-3</v>
      </c>
      <c r="AA187" s="66">
        <f t="shared" si="186"/>
        <v>2.2915780144613534E-3</v>
      </c>
      <c r="AB187" s="66">
        <f t="shared" si="186"/>
        <v>2.2385272991200197E-3</v>
      </c>
      <c r="AC187" s="66">
        <f t="shared" si="186"/>
        <v>2.1857187249993688E-3</v>
      </c>
    </row>
    <row r="188" spans="1:29" x14ac:dyDescent="0.25">
      <c r="A188" s="59" t="str">
        <f>A151</f>
        <v>Market failure (av. utilization)</v>
      </c>
      <c r="B188" s="66">
        <f t="shared" ref="B188:AC188" si="187">B177/B151-B177/B150</f>
        <v>1.8892474094543074E-2</v>
      </c>
      <c r="C188" s="66">
        <f t="shared" si="187"/>
        <v>1.8711919677694908E-2</v>
      </c>
      <c r="D188" s="66">
        <f t="shared" si="187"/>
        <v>1.8518685732948251E-2</v>
      </c>
      <c r="E188" s="66">
        <f t="shared" si="187"/>
        <v>1.8352974356387004E-2</v>
      </c>
      <c r="F188" s="66">
        <f t="shared" si="187"/>
        <v>1.8162787921672176E-2</v>
      </c>
      <c r="G188" s="66">
        <f t="shared" si="187"/>
        <v>1.7939514558967019E-2</v>
      </c>
      <c r="H188" s="66">
        <f t="shared" si="187"/>
        <v>1.7672692035133379E-2</v>
      </c>
      <c r="I188" s="66">
        <f t="shared" si="187"/>
        <v>1.7350760977497114E-2</v>
      </c>
      <c r="J188" s="66">
        <f t="shared" si="187"/>
        <v>1.706011391278122E-2</v>
      </c>
      <c r="K188" s="66">
        <f t="shared" si="187"/>
        <v>1.6695257123457628E-2</v>
      </c>
      <c r="L188" s="66">
        <f t="shared" si="187"/>
        <v>1.6258366151937015E-2</v>
      </c>
      <c r="M188" s="66">
        <f t="shared" si="187"/>
        <v>1.5764991045574495E-2</v>
      </c>
      <c r="N188" s="66">
        <f t="shared" si="187"/>
        <v>1.5244485913242933E-2</v>
      </c>
      <c r="O188" s="66">
        <f t="shared" si="187"/>
        <v>1.4640357595721016E-2</v>
      </c>
      <c r="P188" s="66">
        <f t="shared" si="187"/>
        <v>1.4084498910085574E-2</v>
      </c>
      <c r="Q188" s="66">
        <f t="shared" si="187"/>
        <v>1.3600063281349562E-2</v>
      </c>
      <c r="R188" s="66">
        <f t="shared" si="187"/>
        <v>1.3195115546265799E-2</v>
      </c>
      <c r="S188" s="66">
        <f t="shared" si="187"/>
        <v>1.28652964982392E-2</v>
      </c>
      <c r="T188" s="66">
        <f t="shared" si="187"/>
        <v>1.2605858386723373E-2</v>
      </c>
      <c r="U188" s="66">
        <f t="shared" si="187"/>
        <v>1.2396517860033483E-2</v>
      </c>
      <c r="V188" s="66">
        <f t="shared" si="187"/>
        <v>1.2224628231243035E-2</v>
      </c>
      <c r="W188" s="66">
        <f t="shared" si="187"/>
        <v>1.2079750130480193E-2</v>
      </c>
      <c r="X188" s="66">
        <f t="shared" si="187"/>
        <v>1.1953881162578365E-2</v>
      </c>
      <c r="Y188" s="66">
        <f t="shared" si="187"/>
        <v>1.1855906066584461E-2</v>
      </c>
      <c r="Z188" s="66">
        <f t="shared" si="187"/>
        <v>1.1766912947718649E-2</v>
      </c>
      <c r="AA188" s="66">
        <f t="shared" si="187"/>
        <v>1.1684021624052254E-2</v>
      </c>
      <c r="AB188" s="66">
        <f t="shared" si="187"/>
        <v>1.160525402391609E-2</v>
      </c>
      <c r="AC188" s="66">
        <f t="shared" si="187"/>
        <v>1.1529263603789693E-2</v>
      </c>
    </row>
    <row r="189" spans="1:29" x14ac:dyDescent="0.25">
      <c r="A189" s="59" t="str">
        <f>A152</f>
        <v>Payload loss (fuel)</v>
      </c>
      <c r="B189" s="66">
        <f>B177/(B150-B152)-B177/B150</f>
        <v>2.5562755645893408E-4</v>
      </c>
      <c r="C189" s="66">
        <f t="shared" ref="C189:AC189" si="188">C177/(C150-C152)-C177/C150</f>
        <v>2.5318453686521553E-4</v>
      </c>
      <c r="D189" s="66">
        <f t="shared" si="188"/>
        <v>2.5056995494898357E-4</v>
      </c>
      <c r="E189" s="66">
        <f t="shared" si="188"/>
        <v>2.4832777141834544E-4</v>
      </c>
      <c r="F189" s="66">
        <f t="shared" si="188"/>
        <v>2.4575442431015206E-4</v>
      </c>
      <c r="G189" s="66">
        <f t="shared" si="188"/>
        <v>2.4273338938137282E-4</v>
      </c>
      <c r="H189" s="66">
        <f t="shared" si="188"/>
        <v>2.3912310576079156E-4</v>
      </c>
      <c r="I189" s="66">
        <f t="shared" si="188"/>
        <v>2.3476716756021428E-4</v>
      </c>
      <c r="J189" s="66">
        <f t="shared" si="188"/>
        <v>2.3083452228710166E-4</v>
      </c>
      <c r="K189" s="66">
        <f t="shared" si="188"/>
        <v>2.2589777080365449E-4</v>
      </c>
      <c r="L189" s="66">
        <f t="shared" si="188"/>
        <v>2.1998634962451871E-4</v>
      </c>
      <c r="M189" s="66">
        <f t="shared" si="188"/>
        <v>2.1331066108176873E-4</v>
      </c>
      <c r="N189" s="66">
        <f t="shared" si="188"/>
        <v>2.0626788550688092E-4</v>
      </c>
      <c r="O189" s="66">
        <f t="shared" si="188"/>
        <v>1.9809363343047462E-4</v>
      </c>
      <c r="P189" s="66">
        <f t="shared" si="188"/>
        <v>1.9057250110898066E-4</v>
      </c>
      <c r="Q189" s="66">
        <f t="shared" si="188"/>
        <v>1.8401776955737255E-4</v>
      </c>
      <c r="R189" s="66">
        <f t="shared" si="188"/>
        <v>1.7853856130253809E-4</v>
      </c>
      <c r="S189" s="66">
        <f t="shared" si="188"/>
        <v>1.7407589342226422E-4</v>
      </c>
      <c r="T189" s="66">
        <f t="shared" si="188"/>
        <v>1.7056552574002022E-4</v>
      </c>
      <c r="U189" s="66">
        <f t="shared" si="188"/>
        <v>1.6773301121398437E-4</v>
      </c>
      <c r="V189" s="66">
        <f t="shared" si="188"/>
        <v>1.6540723188151335E-4</v>
      </c>
      <c r="W189" s="66">
        <f t="shared" si="188"/>
        <v>1.6344693622637185E-4</v>
      </c>
      <c r="X189" s="66">
        <f t="shared" si="188"/>
        <v>1.6174384659725476E-4</v>
      </c>
      <c r="Y189" s="66">
        <f t="shared" si="188"/>
        <v>1.6041817933644918E-4</v>
      </c>
      <c r="Z189" s="66">
        <f t="shared" si="188"/>
        <v>1.5921404411289516E-4</v>
      </c>
      <c r="AA189" s="66">
        <f t="shared" si="188"/>
        <v>1.5809247017745109E-4</v>
      </c>
      <c r="AB189" s="66">
        <f t="shared" si="188"/>
        <v>1.5702669292402306E-4</v>
      </c>
      <c r="AC189" s="66">
        <f t="shared" si="188"/>
        <v>1.5599849273626766E-4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505</v>
      </c>
      <c r="B191" s="67">
        <f>B180+B181+B182+B183+B184+B185+B186+B187+B188+B189+B190</f>
        <v>3.3105868080487003E-2</v>
      </c>
      <c r="C191" s="67">
        <f t="shared" ref="C191:AC191" si="190">C180+C181+C182+C183+C184+C185+C186+C187+C188+C189+C190</f>
        <v>3.2788504566390667E-2</v>
      </c>
      <c r="D191" s="67">
        <f t="shared" si="190"/>
        <v>3.2448854034334909E-2</v>
      </c>
      <c r="E191" s="67">
        <f t="shared" si="190"/>
        <v>3.2157580380057914E-2</v>
      </c>
      <c r="F191" s="67">
        <f t="shared" si="190"/>
        <v>3.1823286507284325E-2</v>
      </c>
      <c r="G191" s="67">
        <f t="shared" si="190"/>
        <v>3.1430835188567478E-2</v>
      </c>
      <c r="H191" s="67">
        <f t="shared" si="190"/>
        <v>3.0961836781981243E-2</v>
      </c>
      <c r="I191" s="67">
        <f t="shared" si="190"/>
        <v>3.0395973185112765E-2</v>
      </c>
      <c r="J191" s="67">
        <f t="shared" si="190"/>
        <v>2.9885097985102631E-2</v>
      </c>
      <c r="K191" s="67">
        <f t="shared" si="190"/>
        <v>2.9243783112705937E-2</v>
      </c>
      <c r="L191" s="67">
        <f t="shared" si="190"/>
        <v>2.8475852555153638E-2</v>
      </c>
      <c r="M191" s="67">
        <f t="shared" si="190"/>
        <v>2.7608638890397191E-2</v>
      </c>
      <c r="N191" s="67">
        <f t="shared" si="190"/>
        <v>2.6693738325871907E-2</v>
      </c>
      <c r="O191" s="67">
        <f t="shared" si="190"/>
        <v>2.5631851892071227E-2</v>
      </c>
      <c r="P191" s="67">
        <f t="shared" si="190"/>
        <v>2.4654809796432101E-2</v>
      </c>
      <c r="Q191" s="67">
        <f t="shared" si="190"/>
        <v>2.3803309200806054E-2</v>
      </c>
      <c r="R191" s="67">
        <f t="shared" si="190"/>
        <v>2.3091525803451633E-2</v>
      </c>
      <c r="S191" s="67">
        <f t="shared" si="190"/>
        <v>2.2511797354129615E-2</v>
      </c>
      <c r="T191" s="67">
        <f t="shared" si="190"/>
        <v>2.205577865240814E-2</v>
      </c>
      <c r="U191" s="67">
        <f t="shared" si="190"/>
        <v>2.1687817312260202E-2</v>
      </c>
      <c r="V191" s="67">
        <f t="shared" si="190"/>
        <v>2.1385684040851369E-2</v>
      </c>
      <c r="W191" s="67">
        <f t="shared" si="190"/>
        <v>2.1131029383400571E-2</v>
      </c>
      <c r="X191" s="67">
        <f t="shared" si="190"/>
        <v>2.0909787396268267E-2</v>
      </c>
      <c r="Y191" s="67">
        <f t="shared" si="190"/>
        <v>2.0737574933669262E-2</v>
      </c>
      <c r="Z191" s="67">
        <f t="shared" si="190"/>
        <v>2.0581150242284404E-2</v>
      </c>
      <c r="AA191" s="67">
        <f t="shared" si="190"/>
        <v>2.0435450778233152E-2</v>
      </c>
      <c r="AB191" s="67">
        <f t="shared" si="190"/>
        <v>2.0296999651905019E-2</v>
      </c>
      <c r="AC191" s="67">
        <f t="shared" si="190"/>
        <v>2.0163430021264243E-2</v>
      </c>
    </row>
    <row r="193" spans="2:2" x14ac:dyDescent="0.25">
      <c r="B193" s="40"/>
    </row>
    <row r="215" spans="1:44" s="3" customFormat="1" ht="21" x14ac:dyDescent="0.35">
      <c r="A215" s="2" t="str">
        <f>'Parameter Input'!A170</f>
        <v>Railway long-haul: Container</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Input'!$L$183</f>
        <v>10000000</v>
      </c>
      <c r="C225" s="42">
        <f>'Parameter Input'!$M$183</f>
        <v>4000000</v>
      </c>
      <c r="D225" s="1" t="s">
        <v>138</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151</v>
      </c>
      <c r="B226" s="60">
        <f>'Parameter Input'!$L$184</f>
        <v>-500000</v>
      </c>
      <c r="C226" s="61">
        <f>'Parameter Input'!$M$184</f>
        <v>-600000</v>
      </c>
      <c r="D226" s="1" t="s">
        <v>138</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137</v>
      </c>
      <c r="B227" s="43">
        <f>'Parameter Input'!B171</f>
        <v>2800000</v>
      </c>
      <c r="C227" s="44">
        <f>'Parameter Input'!C171</f>
        <v>2800000</v>
      </c>
      <c r="D227" s="1" t="s">
        <v>138</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148</v>
      </c>
      <c r="B228" s="60">
        <f>'Parameter Input'!B172</f>
        <v>-140000</v>
      </c>
      <c r="C228" s="61">
        <f>'Parameter Input'!C172</f>
        <v>-140000</v>
      </c>
      <c r="D228" s="1" t="s">
        <v>138</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203</v>
      </c>
      <c r="B229" s="45">
        <f>'Parameter Input'!$L$190</f>
        <v>0.06</v>
      </c>
      <c r="C229" s="46">
        <f>'Parameter Input'!$M$190</f>
        <v>0.06</v>
      </c>
      <c r="D229" s="1" t="s">
        <v>180</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160</v>
      </c>
      <c r="B230" s="43">
        <f>'Parameter Input'!B173</f>
        <v>610000</v>
      </c>
      <c r="C230" s="44">
        <f>'Parameter Input'!C173</f>
        <v>610000</v>
      </c>
      <c r="D230" s="1" t="s">
        <v>161</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175</v>
      </c>
      <c r="B231" s="43">
        <f>'Parameter Input'!$L$186</f>
        <v>1400000.0000000002</v>
      </c>
      <c r="C231" s="44">
        <f>'Parameter Input'!$M$186</f>
        <v>560000</v>
      </c>
      <c r="D231" s="1" t="s">
        <v>161</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279</v>
      </c>
      <c r="B232" s="45">
        <f>'Parameter Input'!B178</f>
        <v>3.6414565826330532</v>
      </c>
      <c r="C232" s="46">
        <f>'Parameter Input'!C178</f>
        <v>3.6414565826330532</v>
      </c>
      <c r="D232" s="1" t="s">
        <v>200</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183</v>
      </c>
      <c r="B233" s="47">
        <f>'Parameter Input'!$L$187</f>
        <v>48.858472727272719</v>
      </c>
      <c r="C233" s="48">
        <f>'Parameter Input'!$M$187</f>
        <v>41.341784615384611</v>
      </c>
      <c r="D233" s="1" t="s">
        <v>184</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191</v>
      </c>
      <c r="B234" s="45">
        <f>'Parameter Input'!$L$188</f>
        <v>0.2544561408768215</v>
      </c>
      <c r="C234" s="46">
        <f>'Parameter Input'!$M$188</f>
        <v>0.10949010032952979</v>
      </c>
      <c r="D234" s="1" t="s">
        <v>94</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458</v>
      </c>
      <c r="B235" s="115">
        <f>'Parameter Input'!$L$191</f>
        <v>0</v>
      </c>
      <c r="C235" s="116">
        <f>'Parameter Input'!$M$191</f>
        <v>0</v>
      </c>
      <c r="D235" s="1" t="s">
        <v>200</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164</v>
      </c>
      <c r="B236" s="43">
        <f>'Parameter Input'!$L$185</f>
        <v>20</v>
      </c>
      <c r="C236" s="44">
        <f>'Parameter Input'!$M$185</f>
        <v>20</v>
      </c>
      <c r="D236" s="1" t="s">
        <v>165</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194</v>
      </c>
      <c r="B237" s="43">
        <f>'Parameter Input'!B177</f>
        <v>30</v>
      </c>
      <c r="C237" s="44">
        <f>'Parameter Input'!C177</f>
        <v>30</v>
      </c>
      <c r="D237" s="1" t="s">
        <v>165</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502</v>
      </c>
      <c r="B238" s="70">
        <f>'Parameter Input'!B174</f>
        <v>2240</v>
      </c>
      <c r="C238" s="71">
        <f>'Parameter Input'!C174</f>
        <v>2240</v>
      </c>
      <c r="D238" s="1" t="s">
        <v>172</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179</v>
      </c>
      <c r="B239" s="72">
        <f>'Parameter Input'!B175</f>
        <v>0.42666666666666669</v>
      </c>
      <c r="C239" s="73">
        <f>'Parameter Input'!C175</f>
        <v>0.42666666666666669</v>
      </c>
      <c r="D239" s="1" t="s">
        <v>180</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197</v>
      </c>
      <c r="B240" s="72">
        <f>'Parameter Input'!$L$189</f>
        <v>1.7857142857142856E-2</v>
      </c>
      <c r="C240" s="73">
        <f>'Parameter Input'!$M$189</f>
        <v>1.7857142857142856E-2</v>
      </c>
      <c r="D240" s="1" t="s">
        <v>180</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188</v>
      </c>
      <c r="B241" s="74">
        <f>'Parameter Input'!B176</f>
        <v>178500</v>
      </c>
      <c r="C241" s="75">
        <f>'Parameter Input'!C176</f>
        <v>178500</v>
      </c>
      <c r="D241" s="1" t="s">
        <v>189</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197</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1714238.8628327197</v>
      </c>
      <c r="C271" s="62">
        <f t="shared" ref="C271:AC271" si="241">C253*C254*C261</f>
        <v>1668268.5377523468</v>
      </c>
      <c r="D271" s="62">
        <f t="shared" si="241"/>
        <v>1621781.1747999815</v>
      </c>
      <c r="E271" s="62">
        <f t="shared" si="241"/>
        <v>1588035.054360566</v>
      </c>
      <c r="F271" s="62">
        <f t="shared" si="241"/>
        <v>1553293.0918412623</v>
      </c>
      <c r="G271" s="62">
        <f t="shared" si="241"/>
        <v>1517234.9894432456</v>
      </c>
      <c r="H271" s="62">
        <f t="shared" si="241"/>
        <v>1479487.7327920089</v>
      </c>
      <c r="I271" s="62">
        <f t="shared" si="241"/>
        <v>1439664.8155083221</v>
      </c>
      <c r="J271" s="62">
        <f t="shared" si="241"/>
        <v>1426344.0331401536</v>
      </c>
      <c r="K271" s="62">
        <f t="shared" si="241"/>
        <v>1409915.1324108206</v>
      </c>
      <c r="L271" s="62">
        <f t="shared" si="241"/>
        <v>1390476.6683986408</v>
      </c>
      <c r="M271" s="62">
        <f t="shared" si="241"/>
        <v>1368689.4853170433</v>
      </c>
      <c r="N271" s="62">
        <f t="shared" si="241"/>
        <v>1345792.675440459</v>
      </c>
      <c r="O271" s="62">
        <f t="shared" si="241"/>
        <v>1295416.1751911161</v>
      </c>
      <c r="P271" s="62">
        <f t="shared" si="241"/>
        <v>1247799.3807539036</v>
      </c>
      <c r="Q271" s="62">
        <f t="shared" si="241"/>
        <v>1203750.8368572691</v>
      </c>
      <c r="R271" s="62">
        <f t="shared" si="241"/>
        <v>1163416.9385204527</v>
      </c>
      <c r="S271" s="62">
        <f t="shared" si="241"/>
        <v>1126443.5101458533</v>
      </c>
      <c r="T271" s="62">
        <f t="shared" si="241"/>
        <v>1094208.2231247381</v>
      </c>
      <c r="U271" s="62">
        <f t="shared" si="241"/>
        <v>1064064.9454190303</v>
      </c>
      <c r="V271" s="62">
        <f t="shared" si="241"/>
        <v>1035448.6476211995</v>
      </c>
      <c r="W271" s="62">
        <f t="shared" si="241"/>
        <v>1007909.2716702226</v>
      </c>
      <c r="X271" s="62">
        <f t="shared" si="241"/>
        <v>981111.53031504876</v>
      </c>
      <c r="Y271" s="62">
        <f t="shared" si="241"/>
        <v>959201.76076796639</v>
      </c>
      <c r="Z271" s="62">
        <f t="shared" si="241"/>
        <v>937622.80507171992</v>
      </c>
      <c r="AA271" s="62">
        <f t="shared" si="241"/>
        <v>916264.55330222752</v>
      </c>
      <c r="AB271" s="62">
        <f t="shared" si="241"/>
        <v>895052.7552801487</v>
      </c>
      <c r="AC271" s="62">
        <f t="shared" si="241"/>
        <v>873937.77500374767</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504</v>
      </c>
      <c r="B273" s="64">
        <f>B264+B265+B266+B267+B268+B269+B270+B271+B272</f>
        <v>5377627.2246017531</v>
      </c>
      <c r="C273" s="64">
        <f t="shared" ref="C273:AC273" si="243">C264+C265+C266+C267+C268+C269+C270+C271+C272</f>
        <v>5323902.292112398</v>
      </c>
      <c r="D273" s="64">
        <f t="shared" si="243"/>
        <v>5266404.4982761163</v>
      </c>
      <c r="E273" s="64">
        <f t="shared" si="243"/>
        <v>5217096.1918171393</v>
      </c>
      <c r="F273" s="64">
        <f t="shared" si="243"/>
        <v>5160505.2008914631</v>
      </c>
      <c r="G273" s="64">
        <f t="shared" si="243"/>
        <v>5094069.0175656741</v>
      </c>
      <c r="H273" s="64">
        <f t="shared" si="243"/>
        <v>5014674.54840873</v>
      </c>
      <c r="I273" s="64">
        <f t="shared" si="243"/>
        <v>4918882.2402522406</v>
      </c>
      <c r="J273" s="64">
        <f t="shared" si="243"/>
        <v>4832398.6515221931</v>
      </c>
      <c r="K273" s="64">
        <f t="shared" si="243"/>
        <v>4723833.5622993857</v>
      </c>
      <c r="L273" s="64">
        <f t="shared" si="243"/>
        <v>4593834.316864742</v>
      </c>
      <c r="M273" s="64">
        <f t="shared" si="243"/>
        <v>4447027.9149834486</v>
      </c>
      <c r="N273" s="64">
        <f t="shared" si="243"/>
        <v>4292148.8287609722</v>
      </c>
      <c r="O273" s="64">
        <f t="shared" si="243"/>
        <v>4112387.2164983018</v>
      </c>
      <c r="P273" s="64">
        <f t="shared" si="243"/>
        <v>3946988.4913898553</v>
      </c>
      <c r="Q273" s="64">
        <f t="shared" si="243"/>
        <v>3802842.0788921383</v>
      </c>
      <c r="R273" s="64">
        <f t="shared" si="243"/>
        <v>3682347.7143184524</v>
      </c>
      <c r="S273" s="64">
        <f t="shared" si="243"/>
        <v>3584208.292429741</v>
      </c>
      <c r="T273" s="64">
        <f t="shared" si="243"/>
        <v>3507011.0946559822</v>
      </c>
      <c r="U273" s="64">
        <f t="shared" si="243"/>
        <v>3444720.7012110064</v>
      </c>
      <c r="V273" s="64">
        <f t="shared" si="243"/>
        <v>3393574.022754766</v>
      </c>
      <c r="W273" s="64">
        <f t="shared" si="243"/>
        <v>3350464.7689434066</v>
      </c>
      <c r="X273" s="64">
        <f t="shared" si="243"/>
        <v>3313011.7842915989</v>
      </c>
      <c r="Y273" s="64">
        <f t="shared" si="243"/>
        <v>3283858.7704257737</v>
      </c>
      <c r="Z273" s="64">
        <f t="shared" si="243"/>
        <v>3257378.3918975457</v>
      </c>
      <c r="AA273" s="64">
        <f t="shared" si="243"/>
        <v>3232713.6351684132</v>
      </c>
      <c r="AB273" s="64">
        <f t="shared" si="243"/>
        <v>3209275.9144328274</v>
      </c>
      <c r="AC273" s="64">
        <f t="shared" si="243"/>
        <v>3186664.5584638305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9.6035790634886258</v>
      </c>
      <c r="C283" s="66">
        <f t="shared" ref="C283:AC283" si="252">C253*C254*C261/C261</f>
        <v>9.346042228304464</v>
      </c>
      <c r="D283" s="66">
        <f t="shared" si="252"/>
        <v>9.0856088224088598</v>
      </c>
      <c r="E283" s="66">
        <f t="shared" si="252"/>
        <v>8.8965549263897259</v>
      </c>
      <c r="F283" s="66">
        <f t="shared" si="252"/>
        <v>8.7019220831443267</v>
      </c>
      <c r="G283" s="66">
        <f t="shared" si="252"/>
        <v>8.4999159072450734</v>
      </c>
      <c r="H283" s="66">
        <f t="shared" si="252"/>
        <v>8.2884466823081731</v>
      </c>
      <c r="I283" s="66">
        <f t="shared" si="252"/>
        <v>8.0653491064891991</v>
      </c>
      <c r="J283" s="66">
        <f t="shared" si="252"/>
        <v>7.9907228747347538</v>
      </c>
      <c r="K283" s="66">
        <f t="shared" si="252"/>
        <v>7.8986842151866696</v>
      </c>
      <c r="L283" s="66">
        <f t="shared" si="252"/>
        <v>7.7897852571352431</v>
      </c>
      <c r="M283" s="66">
        <f t="shared" si="252"/>
        <v>7.6677282090590655</v>
      </c>
      <c r="N283" s="66">
        <f t="shared" si="252"/>
        <v>7.5394547643723193</v>
      </c>
      <c r="O283" s="66">
        <f t="shared" si="252"/>
        <v>7.2572334744600342</v>
      </c>
      <c r="P283" s="66">
        <f t="shared" si="252"/>
        <v>6.9904727213103843</v>
      </c>
      <c r="Q283" s="66">
        <f t="shared" si="252"/>
        <v>6.7437021672676138</v>
      </c>
      <c r="R283" s="66">
        <f t="shared" si="252"/>
        <v>6.5177419524955331</v>
      </c>
      <c r="S283" s="66">
        <f t="shared" si="252"/>
        <v>6.3106078999767687</v>
      </c>
      <c r="T283" s="66">
        <f t="shared" si="252"/>
        <v>6.1300180567212221</v>
      </c>
      <c r="U283" s="66">
        <f t="shared" si="252"/>
        <v>5.9611481536080131</v>
      </c>
      <c r="V283" s="66">
        <f t="shared" si="252"/>
        <v>5.8008327597826304</v>
      </c>
      <c r="W283" s="66">
        <f t="shared" si="252"/>
        <v>5.6465505415698747</v>
      </c>
      <c r="X283" s="66">
        <f t="shared" si="252"/>
        <v>5.496423139019881</v>
      </c>
      <c r="Y283" s="66">
        <f t="shared" si="252"/>
        <v>5.3736793320334248</v>
      </c>
      <c r="Z283" s="66">
        <f t="shared" si="252"/>
        <v>5.2527888239312039</v>
      </c>
      <c r="AA283" s="66">
        <f t="shared" si="252"/>
        <v>5.1331347523934312</v>
      </c>
      <c r="AB283" s="66">
        <f t="shared" si="252"/>
        <v>5.0143011500288441</v>
      </c>
      <c r="AC283" s="66">
        <f t="shared" si="252"/>
        <v>4.8960099439985862</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187</v>
      </c>
      <c r="B285" s="76">
        <f>B276+B277+B278-B279+B280+B281+B282+B283+B284</f>
        <v>30.240722239882167</v>
      </c>
      <c r="C285" s="76">
        <f t="shared" ref="C285:AC285" si="255">C276+C277+C278-C279+C280+C281+C282+C283+C284</f>
        <v>29.9397422259362</v>
      </c>
      <c r="D285" s="76">
        <f t="shared" si="255"/>
        <v>29.617625733856187</v>
      </c>
      <c r="E285" s="76">
        <f t="shared" si="255"/>
        <v>29.341388722881526</v>
      </c>
      <c r="F285" s="76">
        <f t="shared" si="255"/>
        <v>29.024352359152253</v>
      </c>
      <c r="G285" s="76">
        <f t="shared" si="255"/>
        <v>28.652160855926546</v>
      </c>
      <c r="H285" s="76">
        <f t="shared" si="255"/>
        <v>28.207373913870828</v>
      </c>
      <c r="I285" s="76">
        <f t="shared" si="255"/>
        <v>27.670722327559965</v>
      </c>
      <c r="J285" s="76">
        <f t="shared" si="255"/>
        <v>27.186220429912641</v>
      </c>
      <c r="K285" s="76">
        <f t="shared" si="255"/>
        <v>26.578012647151816</v>
      </c>
      <c r="L285" s="76">
        <f t="shared" si="255"/>
        <v>25.849725557882103</v>
      </c>
      <c r="M285" s="76">
        <f t="shared" si="255"/>
        <v>25.027280729415473</v>
      </c>
      <c r="N285" s="76">
        <f t="shared" si="255"/>
        <v>24.159610778589279</v>
      </c>
      <c r="O285" s="76">
        <f t="shared" si="255"/>
        <v>23.152542922775996</v>
      </c>
      <c r="P285" s="76">
        <f t="shared" si="255"/>
        <v>22.22593942076789</v>
      </c>
      <c r="Q285" s="76">
        <f t="shared" si="255"/>
        <v>21.418396493609812</v>
      </c>
      <c r="R285" s="76">
        <f t="shared" si="255"/>
        <v>20.743358036614371</v>
      </c>
      <c r="S285" s="76">
        <f t="shared" si="255"/>
        <v>20.193557353764447</v>
      </c>
      <c r="T285" s="76">
        <f t="shared" si="255"/>
        <v>19.761080055312021</v>
      </c>
      <c r="U285" s="76">
        <f t="shared" si="255"/>
        <v>19.412114265704311</v>
      </c>
      <c r="V285" s="76">
        <f t="shared" si="255"/>
        <v>19.12557825194386</v>
      </c>
      <c r="W285" s="76">
        <f t="shared" si="255"/>
        <v>18.884069827230363</v>
      </c>
      <c r="X285" s="76">
        <f t="shared" si="255"/>
        <v>18.674249184923315</v>
      </c>
      <c r="Y285" s="76">
        <f t="shared" si="255"/>
        <v>18.510926978392082</v>
      </c>
      <c r="Z285" s="76">
        <f t="shared" si="255"/>
        <v>18.362577518850191</v>
      </c>
      <c r="AA285" s="76">
        <f t="shared" si="255"/>
        <v>18.224399610003509</v>
      </c>
      <c r="AB285" s="76">
        <f t="shared" si="255"/>
        <v>18.093095852381179</v>
      </c>
      <c r="AC285" s="76">
        <f t="shared" si="255"/>
        <v>17.966421589249546</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4.2873120819145651E-3</v>
      </c>
      <c r="C295" s="66">
        <f t="shared" ref="C295:AC295" si="264">C253*C254*C261/C261/(C258)</f>
        <v>4.1723402804930646E-3</v>
      </c>
      <c r="D295" s="66">
        <f t="shared" si="264"/>
        <v>4.0560753671468122E-3</v>
      </c>
      <c r="E295" s="66">
        <f t="shared" si="264"/>
        <v>3.9716763064239846E-3</v>
      </c>
      <c r="F295" s="66">
        <f t="shared" si="264"/>
        <v>3.8847866442608603E-3</v>
      </c>
      <c r="G295" s="66">
        <f t="shared" si="264"/>
        <v>3.7946053157344077E-3</v>
      </c>
      <c r="H295" s="66">
        <f t="shared" si="264"/>
        <v>3.7001994117447203E-3</v>
      </c>
      <c r="I295" s="66">
        <f t="shared" si="264"/>
        <v>3.6006022796826781E-3</v>
      </c>
      <c r="J295" s="66">
        <f t="shared" si="264"/>
        <v>3.5672869976494438E-3</v>
      </c>
      <c r="K295" s="66">
        <f t="shared" si="264"/>
        <v>3.5261983103511917E-3</v>
      </c>
      <c r="L295" s="66">
        <f t="shared" si="264"/>
        <v>3.4775827040782335E-3</v>
      </c>
      <c r="M295" s="66">
        <f t="shared" si="264"/>
        <v>3.4230929504727972E-3</v>
      </c>
      <c r="N295" s="66">
        <f t="shared" si="264"/>
        <v>3.365828019809071E-3</v>
      </c>
      <c r="O295" s="66">
        <f t="shared" si="264"/>
        <v>3.2398363725268009E-3</v>
      </c>
      <c r="P295" s="66">
        <f t="shared" si="264"/>
        <v>3.1207467505849928E-3</v>
      </c>
      <c r="Q295" s="66">
        <f t="shared" si="264"/>
        <v>3.0105813246730419E-3</v>
      </c>
      <c r="R295" s="66">
        <f t="shared" si="264"/>
        <v>2.9097062287926486E-3</v>
      </c>
      <c r="S295" s="66">
        <f t="shared" si="264"/>
        <v>2.8172356696324861E-3</v>
      </c>
      <c r="T295" s="66">
        <f t="shared" si="264"/>
        <v>2.7366152038934026E-3</v>
      </c>
      <c r="U295" s="66">
        <f t="shared" si="264"/>
        <v>2.6612268542892917E-3</v>
      </c>
      <c r="V295" s="66">
        <f t="shared" si="264"/>
        <v>2.5896574820458173E-3</v>
      </c>
      <c r="W295" s="66">
        <f t="shared" si="264"/>
        <v>2.5207814917722654E-3</v>
      </c>
      <c r="X295" s="66">
        <f t="shared" si="264"/>
        <v>2.4537603299195896E-3</v>
      </c>
      <c r="Y295" s="66">
        <f t="shared" si="264"/>
        <v>2.3989639875149219E-3</v>
      </c>
      <c r="Z295" s="66">
        <f t="shared" si="264"/>
        <v>2.3449950106835733E-3</v>
      </c>
      <c r="AA295" s="66">
        <f t="shared" si="264"/>
        <v>2.2915780144613534E-3</v>
      </c>
      <c r="AB295" s="66">
        <f t="shared" si="264"/>
        <v>2.2385272991200197E-3</v>
      </c>
      <c r="AC295" s="66">
        <f t="shared" si="264"/>
        <v>2.1857187249993688E-3</v>
      </c>
    </row>
    <row r="296" spans="1:29" x14ac:dyDescent="0.25">
      <c r="A296" s="59" t="str">
        <f>A259</f>
        <v>Market failure (av. utilization)</v>
      </c>
      <c r="B296" s="66">
        <f t="shared" ref="B296:AC296" si="265">B285/B259-B285/B258</f>
        <v>1.8141058263322171E-2</v>
      </c>
      <c r="C296" s="66">
        <f t="shared" si="265"/>
        <v>1.7960503846474005E-2</v>
      </c>
      <c r="D296" s="66">
        <f t="shared" si="265"/>
        <v>1.7767269901727344E-2</v>
      </c>
      <c r="E296" s="66">
        <f t="shared" si="265"/>
        <v>1.7601558525166094E-2</v>
      </c>
      <c r="F296" s="66">
        <f t="shared" si="265"/>
        <v>1.7411372090451266E-2</v>
      </c>
      <c r="G296" s="66">
        <f t="shared" si="265"/>
        <v>1.7188098727746112E-2</v>
      </c>
      <c r="H296" s="66">
        <f t="shared" si="265"/>
        <v>1.6921276203912466E-2</v>
      </c>
      <c r="I296" s="66">
        <f t="shared" si="265"/>
        <v>1.6599345146276208E-2</v>
      </c>
      <c r="J296" s="66">
        <f t="shared" si="265"/>
        <v>1.6308698081560317E-2</v>
      </c>
      <c r="K296" s="66">
        <f t="shared" si="265"/>
        <v>1.5943841292236721E-2</v>
      </c>
      <c r="L296" s="66">
        <f t="shared" si="265"/>
        <v>1.5506950320716105E-2</v>
      </c>
      <c r="M296" s="66">
        <f t="shared" si="265"/>
        <v>1.501357521435359E-2</v>
      </c>
      <c r="N296" s="66">
        <f t="shared" si="265"/>
        <v>1.4493070082022028E-2</v>
      </c>
      <c r="O296" s="66">
        <f t="shared" si="265"/>
        <v>1.3888941764500109E-2</v>
      </c>
      <c r="P296" s="66">
        <f t="shared" si="265"/>
        <v>1.3333083078864664E-2</v>
      </c>
      <c r="Q296" s="66">
        <f t="shared" si="265"/>
        <v>1.2848647450128653E-2</v>
      </c>
      <c r="R296" s="66">
        <f t="shared" si="265"/>
        <v>1.2443699715044892E-2</v>
      </c>
      <c r="S296" s="66">
        <f t="shared" si="265"/>
        <v>1.211388066701829E-2</v>
      </c>
      <c r="T296" s="66">
        <f t="shared" si="265"/>
        <v>1.1854442555502468E-2</v>
      </c>
      <c r="U296" s="66">
        <f t="shared" si="265"/>
        <v>1.1645102028812575E-2</v>
      </c>
      <c r="V296" s="66">
        <f t="shared" si="265"/>
        <v>1.1473212400022125E-2</v>
      </c>
      <c r="W296" s="66">
        <f t="shared" si="265"/>
        <v>1.1328334299259286E-2</v>
      </c>
      <c r="X296" s="66">
        <f t="shared" si="265"/>
        <v>1.1202465331357459E-2</v>
      </c>
      <c r="Y296" s="66">
        <f t="shared" si="265"/>
        <v>1.1104490235363551E-2</v>
      </c>
      <c r="Z296" s="66">
        <f t="shared" si="265"/>
        <v>1.1015497116497745E-2</v>
      </c>
      <c r="AA296" s="66">
        <f t="shared" si="265"/>
        <v>1.0932605792831345E-2</v>
      </c>
      <c r="AB296" s="66">
        <f t="shared" si="265"/>
        <v>1.0853838192695182E-2</v>
      </c>
      <c r="AC296" s="66">
        <f t="shared" si="265"/>
        <v>1.0777847772568783E-2</v>
      </c>
    </row>
    <row r="297" spans="1:29" x14ac:dyDescent="0.25">
      <c r="A297" s="59" t="str">
        <f>A260</f>
        <v>Payload loss (fuel)</v>
      </c>
      <c r="B297" s="66">
        <f>B285/(B258-B260)-B285/B258</f>
        <v>2.4546040779125158E-4</v>
      </c>
      <c r="C297" s="66">
        <f t="shared" ref="C297:AC297" si="266">C285/(C258-C260)-C285/C258</f>
        <v>2.4301738819753303E-4</v>
      </c>
      <c r="D297" s="66">
        <f t="shared" si="266"/>
        <v>2.4040280628129934E-4</v>
      </c>
      <c r="E297" s="66">
        <f t="shared" si="266"/>
        <v>2.3816062275066295E-4</v>
      </c>
      <c r="F297" s="66">
        <f t="shared" si="266"/>
        <v>2.3558727564246956E-4</v>
      </c>
      <c r="G297" s="66">
        <f t="shared" si="266"/>
        <v>2.3256624071368859E-4</v>
      </c>
      <c r="H297" s="66">
        <f t="shared" si="266"/>
        <v>2.2895595709310733E-4</v>
      </c>
      <c r="I297" s="66">
        <f t="shared" si="266"/>
        <v>2.2460001889253178E-4</v>
      </c>
      <c r="J297" s="66">
        <f t="shared" si="266"/>
        <v>2.206673736194209E-4</v>
      </c>
      <c r="K297" s="66">
        <f t="shared" si="266"/>
        <v>2.1573062213597199E-4</v>
      </c>
      <c r="L297" s="66">
        <f t="shared" si="266"/>
        <v>2.0981920095683622E-4</v>
      </c>
      <c r="M297" s="66">
        <f t="shared" si="266"/>
        <v>2.0314351241408624E-4</v>
      </c>
      <c r="N297" s="66">
        <f t="shared" si="266"/>
        <v>1.9610073683919843E-4</v>
      </c>
      <c r="O297" s="66">
        <f t="shared" si="266"/>
        <v>1.8792648476279213E-4</v>
      </c>
      <c r="P297" s="66">
        <f t="shared" si="266"/>
        <v>1.8040535244129643E-4</v>
      </c>
      <c r="Q297" s="66">
        <f t="shared" si="266"/>
        <v>1.7385062088969006E-4</v>
      </c>
      <c r="R297" s="66">
        <f t="shared" si="266"/>
        <v>1.683714126348556E-4</v>
      </c>
      <c r="S297" s="66">
        <f t="shared" si="266"/>
        <v>1.6390874475457999E-4</v>
      </c>
      <c r="T297" s="66">
        <f t="shared" si="266"/>
        <v>1.6039837707233773E-4</v>
      </c>
      <c r="U297" s="66">
        <f t="shared" si="266"/>
        <v>1.5756586254630188E-4</v>
      </c>
      <c r="V297" s="66">
        <f t="shared" si="266"/>
        <v>1.5524008321382912E-4</v>
      </c>
      <c r="W297" s="66">
        <f t="shared" si="266"/>
        <v>1.5327978755868762E-4</v>
      </c>
      <c r="X297" s="66">
        <f t="shared" si="266"/>
        <v>1.5157669792957226E-4</v>
      </c>
      <c r="Y297" s="66">
        <f t="shared" si="266"/>
        <v>1.5025103066876669E-4</v>
      </c>
      <c r="Z297" s="66">
        <f t="shared" si="266"/>
        <v>1.4904689544521267E-4</v>
      </c>
      <c r="AA297" s="66">
        <f t="shared" si="266"/>
        <v>1.4792532150977034E-4</v>
      </c>
      <c r="AB297" s="66">
        <f t="shared" si="266"/>
        <v>1.4685954425634057E-4</v>
      </c>
      <c r="AC297" s="66">
        <f t="shared" si="266"/>
        <v>1.4583134406858343E-4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505</v>
      </c>
      <c r="B299" s="67">
        <f>B288+B289+B290+B291+B292+B293+B294+B295+B296+B297+B298</f>
        <v>3.1835966511754063E-2</v>
      </c>
      <c r="C299" s="67">
        <f t="shared" ref="C299:AC299" si="268">C288+C289+C290+C291+C292+C293+C294+C295+C296+C297+C298</f>
        <v>3.1518602997657727E-2</v>
      </c>
      <c r="D299" s="67">
        <f t="shared" si="268"/>
        <v>3.117895246560197E-2</v>
      </c>
      <c r="E299" s="67">
        <f t="shared" si="268"/>
        <v>3.0887678811324967E-2</v>
      </c>
      <c r="F299" s="67">
        <f t="shared" si="268"/>
        <v>3.0553384938551378E-2</v>
      </c>
      <c r="G299" s="67">
        <f t="shared" si="268"/>
        <v>3.0160933619834535E-2</v>
      </c>
      <c r="H299" s="67">
        <f t="shared" si="268"/>
        <v>2.9691935213248297E-2</v>
      </c>
      <c r="I299" s="67">
        <f t="shared" si="268"/>
        <v>2.9126071616379826E-2</v>
      </c>
      <c r="J299" s="67">
        <f t="shared" si="268"/>
        <v>2.8615196416369698E-2</v>
      </c>
      <c r="K299" s="67">
        <f t="shared" si="268"/>
        <v>2.7973881543972998E-2</v>
      </c>
      <c r="L299" s="67">
        <f t="shared" si="268"/>
        <v>2.7205950986420695E-2</v>
      </c>
      <c r="M299" s="67">
        <f t="shared" si="268"/>
        <v>2.6338737321664259E-2</v>
      </c>
      <c r="N299" s="67">
        <f t="shared" si="268"/>
        <v>2.5423836757138968E-2</v>
      </c>
      <c r="O299" s="67">
        <f t="shared" si="268"/>
        <v>2.4361950323338287E-2</v>
      </c>
      <c r="P299" s="67">
        <f t="shared" si="268"/>
        <v>2.3384908227699158E-2</v>
      </c>
      <c r="Q299" s="67">
        <f t="shared" si="268"/>
        <v>2.2533407632073111E-2</v>
      </c>
      <c r="R299" s="67">
        <f t="shared" si="268"/>
        <v>2.1821624234718694E-2</v>
      </c>
      <c r="S299" s="67">
        <f t="shared" si="268"/>
        <v>2.1241895785396675E-2</v>
      </c>
      <c r="T299" s="67">
        <f t="shared" si="268"/>
        <v>2.0785877083675203E-2</v>
      </c>
      <c r="U299" s="67">
        <f t="shared" si="268"/>
        <v>2.0417915743527262E-2</v>
      </c>
      <c r="V299" s="67">
        <f t="shared" si="268"/>
        <v>2.0115782472118423E-2</v>
      </c>
      <c r="W299" s="67">
        <f t="shared" si="268"/>
        <v>1.9861127814667631E-2</v>
      </c>
      <c r="X299" s="67">
        <f t="shared" si="268"/>
        <v>1.9639885827535328E-2</v>
      </c>
      <c r="Y299" s="67">
        <f t="shared" si="268"/>
        <v>1.9467673364936312E-2</v>
      </c>
      <c r="Z299" s="67">
        <f t="shared" si="268"/>
        <v>1.9311248673551468E-2</v>
      </c>
      <c r="AA299" s="67">
        <f t="shared" si="268"/>
        <v>1.9165549209500213E-2</v>
      </c>
      <c r="AB299" s="67">
        <f t="shared" si="268"/>
        <v>1.902709808317208E-2</v>
      </c>
      <c r="AC299" s="67">
        <f t="shared" si="268"/>
        <v>1.8893528452531304E-2</v>
      </c>
    </row>
    <row r="301" spans="1:29" x14ac:dyDescent="0.25">
      <c r="B301" s="40"/>
    </row>
    <row r="324" spans="1:44" s="3" customFormat="1" ht="21" x14ac:dyDescent="0.35">
      <c r="A324" s="2" t="str">
        <f>'Parameter Input'!A182</f>
        <v>Railway long-haul: Break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Input'!$L$183</f>
        <v>10000000</v>
      </c>
      <c r="C334" s="42">
        <f>'Parameter Input'!$M$183</f>
        <v>4000000</v>
      </c>
      <c r="D334" s="1" t="s">
        <v>138</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151</v>
      </c>
      <c r="B335" s="60">
        <f>'Parameter Input'!$L$184</f>
        <v>-500000</v>
      </c>
      <c r="C335" s="61">
        <f>'Parameter Input'!$M$184</f>
        <v>-600000</v>
      </c>
      <c r="D335" s="1" t="s">
        <v>138</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137</v>
      </c>
      <c r="B336" s="43">
        <f>'Parameter Input'!B183</f>
        <v>4200000</v>
      </c>
      <c r="C336" s="44">
        <f>'Parameter Input'!C183</f>
        <v>4200000</v>
      </c>
      <c r="D336" s="1" t="s">
        <v>138</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148</v>
      </c>
      <c r="B337" s="60">
        <f>'Parameter Input'!B184</f>
        <v>-210000</v>
      </c>
      <c r="C337" s="61">
        <f>'Parameter Input'!C184</f>
        <v>-210000</v>
      </c>
      <c r="D337" s="1" t="s">
        <v>138</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203</v>
      </c>
      <c r="B338" s="45">
        <f>'Parameter Input'!$L$190</f>
        <v>0.06</v>
      </c>
      <c r="C338" s="46">
        <f>'Parameter Input'!$M$190</f>
        <v>0.06</v>
      </c>
      <c r="D338" s="1" t="s">
        <v>180</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160</v>
      </c>
      <c r="B339" s="43">
        <f>'Parameter Input'!B185</f>
        <v>1450000</v>
      </c>
      <c r="C339" s="44">
        <f>'Parameter Input'!C185</f>
        <v>1450000</v>
      </c>
      <c r="D339" s="1" t="s">
        <v>161</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175</v>
      </c>
      <c r="B340" s="43">
        <f>'Parameter Input'!$L$186</f>
        <v>1400000.0000000002</v>
      </c>
      <c r="C340" s="44">
        <f>'Parameter Input'!$M$186</f>
        <v>560000</v>
      </c>
      <c r="D340" s="1" t="s">
        <v>161</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279</v>
      </c>
      <c r="B341" s="45">
        <f>'Parameter Input'!B190</f>
        <v>8.9635854341736696</v>
      </c>
      <c r="C341" s="46">
        <f>'Parameter Input'!C190</f>
        <v>8.9635854341736696</v>
      </c>
      <c r="D341" s="1" t="s">
        <v>200</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183</v>
      </c>
      <c r="B342" s="47">
        <f>'Parameter Input'!$L$187</f>
        <v>48.858472727272719</v>
      </c>
      <c r="C342" s="48">
        <f>'Parameter Input'!$M$187</f>
        <v>41.341784615384611</v>
      </c>
      <c r="D342" s="1" t="s">
        <v>184</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191</v>
      </c>
      <c r="B343" s="45">
        <f>'Parameter Input'!$L$188</f>
        <v>0.2544561408768215</v>
      </c>
      <c r="C343" s="46">
        <f>'Parameter Input'!$M$188</f>
        <v>0.10949010032952979</v>
      </c>
      <c r="D343" s="1" t="s">
        <v>94</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458</v>
      </c>
      <c r="B344" s="115">
        <f>'Parameter Input'!$L$191</f>
        <v>0</v>
      </c>
      <c r="C344" s="116">
        <f>'Parameter Input'!$M$191</f>
        <v>0</v>
      </c>
      <c r="D344" s="1" t="s">
        <v>200</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164</v>
      </c>
      <c r="B345" s="43">
        <f>'Parameter Input'!$L$185</f>
        <v>20</v>
      </c>
      <c r="C345" s="44">
        <f>'Parameter Input'!$M$185</f>
        <v>20</v>
      </c>
      <c r="D345" s="1" t="s">
        <v>165</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194</v>
      </c>
      <c r="B346" s="43">
        <f>'Parameter Input'!B189</f>
        <v>30</v>
      </c>
      <c r="C346" s="44">
        <f>'Parameter Input'!C189</f>
        <v>30</v>
      </c>
      <c r="D346" s="1" t="s">
        <v>165</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502</v>
      </c>
      <c r="B347" s="70">
        <f>'Parameter Input'!B186</f>
        <v>2240</v>
      </c>
      <c r="C347" s="71">
        <f>'Parameter Input'!C186</f>
        <v>2240</v>
      </c>
      <c r="D347" s="1" t="s">
        <v>172</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179</v>
      </c>
      <c r="B348" s="72">
        <f>'Parameter Input'!B187</f>
        <v>0.72000000000000008</v>
      </c>
      <c r="C348" s="73">
        <f>'Parameter Input'!C187</f>
        <v>0.72000000000000008</v>
      </c>
      <c r="D348" s="1" t="s">
        <v>180</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197</v>
      </c>
      <c r="B349" s="72">
        <f>'Parameter Input'!$L$189</f>
        <v>1.7857142857142856E-2</v>
      </c>
      <c r="C349" s="73">
        <f>'Parameter Input'!$M$189</f>
        <v>1.7857142857142856E-2</v>
      </c>
      <c r="D349" s="1" t="s">
        <v>180</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188</v>
      </c>
      <c r="B350" s="74">
        <f>'Parameter Input'!B188</f>
        <v>178500</v>
      </c>
      <c r="C350" s="75">
        <f>'Parameter Input'!C188</f>
        <v>178500</v>
      </c>
      <c r="D350" s="1" t="s">
        <v>189</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197</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1714238.8628327197</v>
      </c>
      <c r="C380" s="62">
        <f t="shared" ref="C380:AC380" si="319">C362*C363*C370</f>
        <v>1668268.5377523468</v>
      </c>
      <c r="D380" s="62">
        <f t="shared" si="319"/>
        <v>1621781.1747999815</v>
      </c>
      <c r="E380" s="62">
        <f t="shared" si="319"/>
        <v>1588035.054360566</v>
      </c>
      <c r="F380" s="62">
        <f t="shared" si="319"/>
        <v>1553293.0918412623</v>
      </c>
      <c r="G380" s="62">
        <f t="shared" si="319"/>
        <v>1517234.9894432456</v>
      </c>
      <c r="H380" s="62">
        <f t="shared" si="319"/>
        <v>1479487.7327920089</v>
      </c>
      <c r="I380" s="62">
        <f t="shared" si="319"/>
        <v>1439664.8155083221</v>
      </c>
      <c r="J380" s="62">
        <f t="shared" si="319"/>
        <v>1426344.0331401536</v>
      </c>
      <c r="K380" s="62">
        <f t="shared" si="319"/>
        <v>1409915.1324108206</v>
      </c>
      <c r="L380" s="62">
        <f t="shared" si="319"/>
        <v>1390476.6683986408</v>
      </c>
      <c r="M380" s="62">
        <f t="shared" si="319"/>
        <v>1368689.4853170433</v>
      </c>
      <c r="N380" s="62">
        <f t="shared" si="319"/>
        <v>1345792.675440459</v>
      </c>
      <c r="O380" s="62">
        <f t="shared" si="319"/>
        <v>1295416.1751911161</v>
      </c>
      <c r="P380" s="62">
        <f t="shared" si="319"/>
        <v>1247799.3807539036</v>
      </c>
      <c r="Q380" s="62">
        <f t="shared" si="319"/>
        <v>1203750.8368572691</v>
      </c>
      <c r="R380" s="62">
        <f t="shared" si="319"/>
        <v>1163416.9385204527</v>
      </c>
      <c r="S380" s="62">
        <f t="shared" si="319"/>
        <v>1126443.5101458533</v>
      </c>
      <c r="T380" s="62">
        <f t="shared" si="319"/>
        <v>1094208.2231247381</v>
      </c>
      <c r="U380" s="62">
        <f t="shared" si="319"/>
        <v>1064064.9454190303</v>
      </c>
      <c r="V380" s="62">
        <f t="shared" si="319"/>
        <v>1035448.6476211995</v>
      </c>
      <c r="W380" s="62">
        <f t="shared" si="319"/>
        <v>1007909.2716702226</v>
      </c>
      <c r="X380" s="62">
        <f t="shared" si="319"/>
        <v>981111.53031504876</v>
      </c>
      <c r="Y380" s="62">
        <f t="shared" si="319"/>
        <v>959201.76076796639</v>
      </c>
      <c r="Z380" s="62">
        <f t="shared" si="319"/>
        <v>937622.80507171992</v>
      </c>
      <c r="AA380" s="62">
        <f t="shared" si="319"/>
        <v>916264.55330222752</v>
      </c>
      <c r="AB380" s="62">
        <f t="shared" si="319"/>
        <v>895052.7552801487</v>
      </c>
      <c r="AC380" s="62">
        <f t="shared" si="319"/>
        <v>873937.77500374767</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504</v>
      </c>
      <c r="B382" s="64">
        <f>B373+B374+B375+B376+B377+B378+B379+B380+B381</f>
        <v>7264250.2768835155</v>
      </c>
      <c r="C382" s="64">
        <f t="shared" ref="C382:AC382" si="321">C373+C374+C375+C376+C377+C378+C379+C380+C381</f>
        <v>7210525.3443941604</v>
      </c>
      <c r="D382" s="64">
        <f t="shared" si="321"/>
        <v>7153027.5505578788</v>
      </c>
      <c r="E382" s="64">
        <f t="shared" si="321"/>
        <v>7103719.2440989008</v>
      </c>
      <c r="F382" s="64">
        <f t="shared" si="321"/>
        <v>7047128.2531732265</v>
      </c>
      <c r="G382" s="64">
        <f t="shared" si="321"/>
        <v>6980692.0698474376</v>
      </c>
      <c r="H382" s="64">
        <f t="shared" si="321"/>
        <v>6901297.6006904924</v>
      </c>
      <c r="I382" s="64">
        <f t="shared" si="321"/>
        <v>6805505.292534003</v>
      </c>
      <c r="J382" s="64">
        <f t="shared" si="321"/>
        <v>6719021.7038039556</v>
      </c>
      <c r="K382" s="64">
        <f t="shared" si="321"/>
        <v>6610456.6145811491</v>
      </c>
      <c r="L382" s="64">
        <f t="shared" si="321"/>
        <v>6480457.3691465054</v>
      </c>
      <c r="M382" s="64">
        <f t="shared" si="321"/>
        <v>6333650.967265211</v>
      </c>
      <c r="N382" s="64">
        <f t="shared" si="321"/>
        <v>6178771.8810427357</v>
      </c>
      <c r="O382" s="64">
        <f t="shared" si="321"/>
        <v>5999010.2687800638</v>
      </c>
      <c r="P382" s="64">
        <f t="shared" si="321"/>
        <v>5833611.5436716182</v>
      </c>
      <c r="Q382" s="64">
        <f t="shared" si="321"/>
        <v>5689465.1311739013</v>
      </c>
      <c r="R382" s="64">
        <f t="shared" si="321"/>
        <v>5568970.7666002149</v>
      </c>
      <c r="S382" s="64">
        <f t="shared" si="321"/>
        <v>5470831.3447115039</v>
      </c>
      <c r="T382" s="64">
        <f t="shared" si="321"/>
        <v>5393634.1469377456</v>
      </c>
      <c r="U382" s="64">
        <f t="shared" si="321"/>
        <v>5331343.7534927689</v>
      </c>
      <c r="V382" s="64">
        <f t="shared" si="321"/>
        <v>5280197.0750365285</v>
      </c>
      <c r="W382" s="64">
        <f t="shared" si="321"/>
        <v>5237087.8212251691</v>
      </c>
      <c r="X382" s="64">
        <f t="shared" si="321"/>
        <v>5199634.8365733624</v>
      </c>
      <c r="Y382" s="64">
        <f t="shared" si="321"/>
        <v>5170481.8227075366</v>
      </c>
      <c r="Z382" s="64">
        <f t="shared" si="321"/>
        <v>5144001.4441793086</v>
      </c>
      <c r="AA382" s="64">
        <f t="shared" si="321"/>
        <v>5119336.6874501761</v>
      </c>
      <c r="AB382" s="64">
        <f t="shared" si="321"/>
        <v>5095898.9667145908</v>
      </c>
      <c r="AC382" s="64">
        <f t="shared" si="321"/>
        <v>5073287.6107455939</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9.6035790634886258</v>
      </c>
      <c r="C392" s="66">
        <f t="shared" ref="C392:AC392" si="330">C362*C363*C370/C370</f>
        <v>9.346042228304464</v>
      </c>
      <c r="D392" s="66">
        <f t="shared" si="330"/>
        <v>9.0856088224088598</v>
      </c>
      <c r="E392" s="66">
        <f t="shared" si="330"/>
        <v>8.8965549263897259</v>
      </c>
      <c r="F392" s="66">
        <f t="shared" si="330"/>
        <v>8.7019220831443267</v>
      </c>
      <c r="G392" s="66">
        <f t="shared" si="330"/>
        <v>8.4999159072450734</v>
      </c>
      <c r="H392" s="66">
        <f t="shared" si="330"/>
        <v>8.2884466823081731</v>
      </c>
      <c r="I392" s="66">
        <f t="shared" si="330"/>
        <v>8.0653491064891991</v>
      </c>
      <c r="J392" s="66">
        <f t="shared" si="330"/>
        <v>7.9907228747347538</v>
      </c>
      <c r="K392" s="66">
        <f t="shared" si="330"/>
        <v>7.8986842151866696</v>
      </c>
      <c r="L392" s="66">
        <f t="shared" si="330"/>
        <v>7.7897852571352431</v>
      </c>
      <c r="M392" s="66">
        <f t="shared" si="330"/>
        <v>7.6677282090590655</v>
      </c>
      <c r="N392" s="66">
        <f t="shared" si="330"/>
        <v>7.5394547643723193</v>
      </c>
      <c r="O392" s="66">
        <f t="shared" si="330"/>
        <v>7.2572334744600342</v>
      </c>
      <c r="P392" s="66">
        <f t="shared" si="330"/>
        <v>6.9904727213103843</v>
      </c>
      <c r="Q392" s="66">
        <f t="shared" si="330"/>
        <v>6.7437021672676138</v>
      </c>
      <c r="R392" s="66">
        <f t="shared" si="330"/>
        <v>6.5177419524955331</v>
      </c>
      <c r="S392" s="66">
        <f t="shared" si="330"/>
        <v>6.3106078999767687</v>
      </c>
      <c r="T392" s="66">
        <f t="shared" si="330"/>
        <v>6.1300180567212221</v>
      </c>
      <c r="U392" s="66">
        <f t="shared" si="330"/>
        <v>5.9611481536080131</v>
      </c>
      <c r="V392" s="66">
        <f t="shared" si="330"/>
        <v>5.8008327597826304</v>
      </c>
      <c r="W392" s="66">
        <f t="shared" si="330"/>
        <v>5.6465505415698747</v>
      </c>
      <c r="X392" s="66">
        <f t="shared" si="330"/>
        <v>5.496423139019881</v>
      </c>
      <c r="Y392" s="66">
        <f t="shared" si="330"/>
        <v>5.3736793320334248</v>
      </c>
      <c r="Z392" s="66">
        <f t="shared" si="330"/>
        <v>5.2527888239312039</v>
      </c>
      <c r="AA392" s="66">
        <f t="shared" si="330"/>
        <v>5.1331347523934312</v>
      </c>
      <c r="AB392" s="66">
        <f t="shared" si="330"/>
        <v>5.0143011500288441</v>
      </c>
      <c r="AC392" s="66">
        <f t="shared" si="330"/>
        <v>4.8960099439985862</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187</v>
      </c>
      <c r="B394" s="76">
        <f>B385+B386+B387-B388+B389+B390+B391+B392+B393</f>
        <v>40.867018597811409</v>
      </c>
      <c r="C394" s="76">
        <f t="shared" ref="C394:AC394" si="333">C385+C386+C387-C388+C389+C390+C391+C392+C393</f>
        <v>40.566038583865435</v>
      </c>
      <c r="D394" s="76">
        <f t="shared" si="333"/>
        <v>40.243922091785429</v>
      </c>
      <c r="E394" s="76">
        <f t="shared" si="333"/>
        <v>39.967685080810767</v>
      </c>
      <c r="F394" s="76">
        <f t="shared" si="333"/>
        <v>39.650648717081495</v>
      </c>
      <c r="G394" s="76">
        <f t="shared" si="333"/>
        <v>39.278457213855781</v>
      </c>
      <c r="H394" s="76">
        <f t="shared" si="333"/>
        <v>38.833670271800074</v>
      </c>
      <c r="I394" s="76">
        <f t="shared" si="333"/>
        <v>38.297018685489206</v>
      </c>
      <c r="J394" s="76">
        <f t="shared" si="333"/>
        <v>37.812516787841879</v>
      </c>
      <c r="K394" s="76">
        <f t="shared" si="333"/>
        <v>37.204309005081058</v>
      </c>
      <c r="L394" s="76">
        <f t="shared" si="333"/>
        <v>36.476021915811344</v>
      </c>
      <c r="M394" s="76">
        <f t="shared" si="333"/>
        <v>35.653577087344715</v>
      </c>
      <c r="N394" s="76">
        <f t="shared" si="333"/>
        <v>34.785907136518517</v>
      </c>
      <c r="O394" s="76">
        <f t="shared" si="333"/>
        <v>33.778839280705235</v>
      </c>
      <c r="P394" s="76">
        <f t="shared" si="333"/>
        <v>32.852235778697128</v>
      </c>
      <c r="Q394" s="76">
        <f t="shared" si="333"/>
        <v>32.044692851539054</v>
      </c>
      <c r="R394" s="76">
        <f t="shared" si="333"/>
        <v>31.369654394543609</v>
      </c>
      <c r="S394" s="76">
        <f t="shared" si="333"/>
        <v>30.819853711693689</v>
      </c>
      <c r="T394" s="76">
        <f t="shared" si="333"/>
        <v>30.38737641324126</v>
      </c>
      <c r="U394" s="76">
        <f t="shared" si="333"/>
        <v>30.038410623633553</v>
      </c>
      <c r="V394" s="76">
        <f t="shared" si="333"/>
        <v>29.751874609873099</v>
      </c>
      <c r="W394" s="76">
        <f t="shared" si="333"/>
        <v>29.510366185159604</v>
      </c>
      <c r="X394" s="76">
        <f t="shared" si="333"/>
        <v>29.300545542852557</v>
      </c>
      <c r="Y394" s="76">
        <f t="shared" si="333"/>
        <v>29.137223336321323</v>
      </c>
      <c r="Z394" s="76">
        <f t="shared" si="333"/>
        <v>28.988873876779429</v>
      </c>
      <c r="AA394" s="76">
        <f t="shared" si="333"/>
        <v>28.850695967932751</v>
      </c>
      <c r="AB394" s="76">
        <f t="shared" si="333"/>
        <v>28.719392210310417</v>
      </c>
      <c r="AC394" s="76">
        <f t="shared" si="333"/>
        <v>28.592717947178784</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4.2873120819145651E-3</v>
      </c>
      <c r="C404" s="66">
        <f t="shared" ref="C404:AC404" si="342">C362*C363*C370/C370/(C367)</f>
        <v>4.1723402804930646E-3</v>
      </c>
      <c r="D404" s="66">
        <f t="shared" si="342"/>
        <v>4.0560753671468122E-3</v>
      </c>
      <c r="E404" s="66">
        <f t="shared" si="342"/>
        <v>3.9716763064239846E-3</v>
      </c>
      <c r="F404" s="66">
        <f t="shared" si="342"/>
        <v>3.8847866442608603E-3</v>
      </c>
      <c r="G404" s="66">
        <f t="shared" si="342"/>
        <v>3.7946053157344077E-3</v>
      </c>
      <c r="H404" s="66">
        <f t="shared" si="342"/>
        <v>3.7001994117447203E-3</v>
      </c>
      <c r="I404" s="66">
        <f t="shared" si="342"/>
        <v>3.6006022796826781E-3</v>
      </c>
      <c r="J404" s="66">
        <f t="shared" si="342"/>
        <v>3.5672869976494438E-3</v>
      </c>
      <c r="K404" s="66">
        <f t="shared" si="342"/>
        <v>3.5261983103511917E-3</v>
      </c>
      <c r="L404" s="66">
        <f t="shared" si="342"/>
        <v>3.4775827040782335E-3</v>
      </c>
      <c r="M404" s="66">
        <f t="shared" si="342"/>
        <v>3.4230929504727972E-3</v>
      </c>
      <c r="N404" s="66">
        <f t="shared" si="342"/>
        <v>3.365828019809071E-3</v>
      </c>
      <c r="O404" s="66">
        <f t="shared" si="342"/>
        <v>3.2398363725268009E-3</v>
      </c>
      <c r="P404" s="66">
        <f t="shared" si="342"/>
        <v>3.1207467505849928E-3</v>
      </c>
      <c r="Q404" s="66">
        <f t="shared" si="342"/>
        <v>3.0105813246730419E-3</v>
      </c>
      <c r="R404" s="66">
        <f t="shared" si="342"/>
        <v>2.9097062287926486E-3</v>
      </c>
      <c r="S404" s="66">
        <f t="shared" si="342"/>
        <v>2.8172356696324861E-3</v>
      </c>
      <c r="T404" s="66">
        <f t="shared" si="342"/>
        <v>2.7366152038934026E-3</v>
      </c>
      <c r="U404" s="66">
        <f t="shared" si="342"/>
        <v>2.6612268542892917E-3</v>
      </c>
      <c r="V404" s="66">
        <f t="shared" si="342"/>
        <v>2.5896574820458173E-3</v>
      </c>
      <c r="W404" s="66">
        <f t="shared" si="342"/>
        <v>2.5207814917722654E-3</v>
      </c>
      <c r="X404" s="66">
        <f t="shared" si="342"/>
        <v>2.4537603299195896E-3</v>
      </c>
      <c r="Y404" s="66">
        <f t="shared" si="342"/>
        <v>2.3989639875149219E-3</v>
      </c>
      <c r="Z404" s="66">
        <f t="shared" si="342"/>
        <v>2.3449950106835733E-3</v>
      </c>
      <c r="AA404" s="66">
        <f t="shared" si="342"/>
        <v>2.2915780144613534E-3</v>
      </c>
      <c r="AB404" s="66">
        <f t="shared" si="342"/>
        <v>2.2385272991200197E-3</v>
      </c>
      <c r="AC404" s="66">
        <f t="shared" si="342"/>
        <v>2.1857187249993688E-3</v>
      </c>
    </row>
    <row r="405" spans="1:29" x14ac:dyDescent="0.25">
      <c r="A405" s="59" t="str">
        <f>A368</f>
        <v>Market failure (av. utilization)</v>
      </c>
      <c r="B405" s="66">
        <f t="shared" ref="B405:AC405" si="343">B394/B368-B394/B367</f>
        <v>7.094968506564478E-3</v>
      </c>
      <c r="C405" s="66">
        <f t="shared" si="343"/>
        <v>7.0427150319210784E-3</v>
      </c>
      <c r="D405" s="66">
        <f t="shared" si="343"/>
        <v>6.9867920298238573E-3</v>
      </c>
      <c r="E405" s="66">
        <f t="shared" si="343"/>
        <v>6.9388342154185316E-3</v>
      </c>
      <c r="F405" s="66">
        <f t="shared" si="343"/>
        <v>6.8837931800488673E-3</v>
      </c>
      <c r="G405" s="66">
        <f t="shared" si="343"/>
        <v>6.8191765996277361E-3</v>
      </c>
      <c r="H405" s="66">
        <f t="shared" si="343"/>
        <v>6.7419566444097308E-3</v>
      </c>
      <c r="I405" s="66">
        <f t="shared" si="343"/>
        <v>6.6487879662307618E-3</v>
      </c>
      <c r="J405" s="66">
        <f t="shared" si="343"/>
        <v>6.5646730534447695E-3</v>
      </c>
      <c r="K405" s="66">
        <f t="shared" si="343"/>
        <v>6.4590814244932376E-3</v>
      </c>
      <c r="L405" s="66">
        <f t="shared" si="343"/>
        <v>6.3326426937172463E-3</v>
      </c>
      <c r="M405" s="66">
        <f t="shared" si="343"/>
        <v>6.1898571332195639E-3</v>
      </c>
      <c r="N405" s="66">
        <f t="shared" si="343"/>
        <v>6.0392199889789076E-3</v>
      </c>
      <c r="O405" s="66">
        <f t="shared" si="343"/>
        <v>5.864381819566878E-3</v>
      </c>
      <c r="P405" s="66">
        <f t="shared" si="343"/>
        <v>5.7035131560238071E-3</v>
      </c>
      <c r="Q405" s="66">
        <f t="shared" si="343"/>
        <v>5.5633147311699715E-3</v>
      </c>
      <c r="R405" s="66">
        <f t="shared" si="343"/>
        <v>5.4461205546082643E-3</v>
      </c>
      <c r="S405" s="66">
        <f t="shared" si="343"/>
        <v>5.3506690471690401E-3</v>
      </c>
      <c r="T405" s="66">
        <f t="shared" si="343"/>
        <v>5.2755861828543849E-3</v>
      </c>
      <c r="U405" s="66">
        <f t="shared" si="343"/>
        <v>5.2150018443808243E-3</v>
      </c>
      <c r="V405" s="66">
        <f t="shared" si="343"/>
        <v>5.1652560086585201E-3</v>
      </c>
      <c r="W405" s="66">
        <f t="shared" si="343"/>
        <v>5.1233274627013169E-3</v>
      </c>
      <c r="X405" s="66">
        <f t="shared" si="343"/>
        <v>5.0869002678563431E-3</v>
      </c>
      <c r="Y405" s="66">
        <f t="shared" si="343"/>
        <v>5.0585457181113406E-3</v>
      </c>
      <c r="Z405" s="66">
        <f t="shared" si="343"/>
        <v>5.0327906036075377E-3</v>
      </c>
      <c r="AA405" s="66">
        <f t="shared" si="343"/>
        <v>5.0088013833216559E-3</v>
      </c>
      <c r="AB405" s="66">
        <f t="shared" si="343"/>
        <v>4.9860055920677802E-3</v>
      </c>
      <c r="AC405" s="66">
        <f t="shared" si="343"/>
        <v>4.9640135324963142E-3</v>
      </c>
    </row>
    <row r="406" spans="1:29" x14ac:dyDescent="0.25">
      <c r="A406" s="59" t="str">
        <f>A369</f>
        <v>Payload loss (fuel)</v>
      </c>
      <c r="B406" s="66">
        <f>B394/(B367-B369)-B394/B367</f>
        <v>3.3171281329392316E-4</v>
      </c>
      <c r="C406" s="66">
        <f t="shared" ref="C406:AC406" si="344">C394/(C367-C369)-C394/C367</f>
        <v>3.2926979370020634E-4</v>
      </c>
      <c r="D406" s="66">
        <f t="shared" si="344"/>
        <v>3.2665521178397439E-4</v>
      </c>
      <c r="E406" s="66">
        <f t="shared" si="344"/>
        <v>3.2441302825333279E-4</v>
      </c>
      <c r="F406" s="66">
        <f t="shared" si="344"/>
        <v>3.2183968114514114E-4</v>
      </c>
      <c r="G406" s="66">
        <f t="shared" si="344"/>
        <v>3.1881864621636016E-4</v>
      </c>
      <c r="H406" s="66">
        <f t="shared" si="344"/>
        <v>3.1520836259578064E-4</v>
      </c>
      <c r="I406" s="66">
        <f t="shared" si="344"/>
        <v>3.1085242439520336E-4</v>
      </c>
      <c r="J406" s="66">
        <f t="shared" si="344"/>
        <v>3.0691977912209248E-4</v>
      </c>
      <c r="K406" s="66">
        <f t="shared" si="344"/>
        <v>3.0198302763864357E-4</v>
      </c>
      <c r="L406" s="66">
        <f t="shared" si="344"/>
        <v>2.9607160645950953E-4</v>
      </c>
      <c r="M406" s="66">
        <f t="shared" si="344"/>
        <v>2.8939591791675781E-4</v>
      </c>
      <c r="N406" s="66">
        <f t="shared" si="344"/>
        <v>2.8235314234187001E-4</v>
      </c>
      <c r="O406" s="66">
        <f t="shared" si="344"/>
        <v>2.7417889026546544E-4</v>
      </c>
      <c r="P406" s="66">
        <f t="shared" si="344"/>
        <v>2.6665775794397148E-4</v>
      </c>
      <c r="Q406" s="66">
        <f t="shared" si="344"/>
        <v>2.6010302639236163E-4</v>
      </c>
      <c r="R406" s="66">
        <f t="shared" si="344"/>
        <v>2.5462381813753064E-4</v>
      </c>
      <c r="S406" s="66">
        <f t="shared" si="344"/>
        <v>2.5016115025725504E-4</v>
      </c>
      <c r="T406" s="66">
        <f t="shared" si="344"/>
        <v>2.4665078257501104E-4</v>
      </c>
      <c r="U406" s="66">
        <f t="shared" si="344"/>
        <v>2.4381826804897345E-4</v>
      </c>
      <c r="V406" s="66">
        <f t="shared" si="344"/>
        <v>2.4149248871650243E-4</v>
      </c>
      <c r="W406" s="66">
        <f t="shared" si="344"/>
        <v>2.3953219306136093E-4</v>
      </c>
      <c r="X406" s="66">
        <f t="shared" si="344"/>
        <v>2.3782910343224384E-4</v>
      </c>
      <c r="Y406" s="66">
        <f t="shared" si="344"/>
        <v>2.3650343617144E-4</v>
      </c>
      <c r="Z406" s="66">
        <f t="shared" si="344"/>
        <v>2.3529930094788598E-4</v>
      </c>
      <c r="AA406" s="66">
        <f t="shared" si="344"/>
        <v>2.3417772701244191E-4</v>
      </c>
      <c r="AB406" s="66">
        <f t="shared" si="344"/>
        <v>2.3311194975901388E-4</v>
      </c>
      <c r="AC406" s="66">
        <f t="shared" si="344"/>
        <v>2.3208374957125674E-4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505</v>
      </c>
      <c r="B408" s="67">
        <f>B397+B398+B399+B400+B401+B402+B403+B404+B405+B406+B407</f>
        <v>2.5594574169206932E-2</v>
      </c>
      <c r="C408" s="67">
        <f t="shared" ref="C408:AC408" si="346">C397+C398+C399+C400+C401+C402+C403+C404+C405+C406+C407</f>
        <v>2.5405511597315363E-2</v>
      </c>
      <c r="D408" s="67">
        <f t="shared" si="346"/>
        <v>2.5203172007909048E-2</v>
      </c>
      <c r="E408" s="67">
        <f t="shared" si="346"/>
        <v>2.5029651915787963E-2</v>
      </c>
      <c r="F408" s="67">
        <f t="shared" si="346"/>
        <v>2.4830503442359542E-2</v>
      </c>
      <c r="G408" s="67">
        <f t="shared" si="346"/>
        <v>2.4596708905926721E-2</v>
      </c>
      <c r="H408" s="67">
        <f t="shared" si="346"/>
        <v>2.4317313067956123E-2</v>
      </c>
      <c r="I408" s="67">
        <f t="shared" si="346"/>
        <v>2.3980211850544941E-2</v>
      </c>
      <c r="J408" s="67">
        <f t="shared" si="346"/>
        <v>2.3675868802464712E-2</v>
      </c>
      <c r="K408" s="67">
        <f t="shared" si="346"/>
        <v>2.3293819090440076E-2</v>
      </c>
      <c r="L408" s="67">
        <f t="shared" si="346"/>
        <v>2.2836340773632401E-2</v>
      </c>
      <c r="M408" s="67">
        <f t="shared" si="346"/>
        <v>2.2319716654740793E-2</v>
      </c>
      <c r="N408" s="67">
        <f t="shared" si="346"/>
        <v>2.1774684078306409E-2</v>
      </c>
      <c r="O408" s="67">
        <f t="shared" si="346"/>
        <v>2.1142087792615616E-2</v>
      </c>
      <c r="P408" s="67">
        <f t="shared" si="346"/>
        <v>2.0560035719068861E-2</v>
      </c>
      <c r="Q408" s="67">
        <f t="shared" si="346"/>
        <v>2.0052772327324993E-2</v>
      </c>
      <c r="R408" s="67">
        <f t="shared" si="346"/>
        <v>1.9628742488492633E-2</v>
      </c>
      <c r="S408" s="67">
        <f t="shared" si="346"/>
        <v>1.9283381579757987E-2</v>
      </c>
      <c r="T408" s="67">
        <f t="shared" si="346"/>
        <v>1.9011718125237685E-2</v>
      </c>
      <c r="U408" s="67">
        <f t="shared" si="346"/>
        <v>1.8792512973306072E-2</v>
      </c>
      <c r="V408" s="67">
        <f t="shared" si="346"/>
        <v>1.861252349496538E-2</v>
      </c>
      <c r="W408" s="67">
        <f t="shared" si="346"/>
        <v>1.8460818392320222E-2</v>
      </c>
      <c r="X408" s="67">
        <f t="shared" si="346"/>
        <v>1.8329018178244776E-2</v>
      </c>
      <c r="Y408" s="67">
        <f t="shared" si="346"/>
        <v>1.8226426261894663E-2</v>
      </c>
      <c r="Z408" s="67">
        <f t="shared" si="346"/>
        <v>1.8133239574871819E-2</v>
      </c>
      <c r="AA408" s="67">
        <f t="shared" si="346"/>
        <v>1.8046442214201087E-2</v>
      </c>
      <c r="AB408" s="67">
        <f t="shared" si="346"/>
        <v>1.7963962896755239E-2</v>
      </c>
      <c r="AC408" s="67">
        <f t="shared" si="346"/>
        <v>1.7884391626669393E-2</v>
      </c>
    </row>
    <row r="410" spans="1:29" x14ac:dyDescent="0.25">
      <c r="B410" s="40"/>
    </row>
    <row r="429" spans="1:1" s="3" customFormat="1" ht="21" x14ac:dyDescent="0.35">
      <c r="A429" s="2" t="str">
        <f>'Parameter Input'!A193</f>
        <v>Railway long-haul:  Neo bulk</v>
      </c>
    </row>
    <row r="430" spans="1:1" s="3" customFormat="1" ht="21" x14ac:dyDescent="0.35">
      <c r="A430" s="2" t="s">
        <v>95</v>
      </c>
    </row>
    <row r="431" spans="1:1" x14ac:dyDescent="0.25">
      <c r="A431" s="33" t="s">
        <v>491</v>
      </c>
    </row>
    <row r="432" spans="1:1" x14ac:dyDescent="0.25">
      <c r="A432" s="33" t="s">
        <v>492</v>
      </c>
    </row>
    <row r="433" spans="1:44" ht="15.75" thickBot="1" x14ac:dyDescent="0.3">
      <c r="A433" s="34" t="s">
        <v>493</v>
      </c>
      <c r="B433" s="34"/>
    </row>
    <row r="434" spans="1:44" ht="15.75" thickBot="1" x14ac:dyDescent="0.3">
      <c r="A434" s="39" t="s">
        <v>494</v>
      </c>
      <c r="B434" s="35"/>
    </row>
    <row r="435" spans="1:44" ht="15.75" thickBot="1" x14ac:dyDescent="0.3">
      <c r="A435" s="38" t="s">
        <v>495</v>
      </c>
      <c r="B435" s="36"/>
    </row>
    <row r="436" spans="1:44" ht="15.75" thickBot="1" x14ac:dyDescent="0.3"/>
    <row r="437" spans="1:44" x14ac:dyDescent="0.25">
      <c r="A437" s="5" t="s">
        <v>496</v>
      </c>
      <c r="B437" s="6">
        <v>2023</v>
      </c>
      <c r="C437" s="6">
        <v>2050</v>
      </c>
      <c r="D437" s="7"/>
      <c r="E437" s="5" t="s">
        <v>497</v>
      </c>
      <c r="F437" s="8"/>
      <c r="G437" s="8"/>
      <c r="H437" s="8"/>
      <c r="I437" s="8"/>
      <c r="J437" s="8"/>
      <c r="K437" s="9"/>
      <c r="L437" s="10" t="s">
        <v>129</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498</v>
      </c>
      <c r="C438" s="3" t="s">
        <v>499</v>
      </c>
      <c r="D438" s="16" t="s">
        <v>86</v>
      </c>
      <c r="E438" s="17"/>
      <c r="F438" s="18"/>
      <c r="G438" s="18"/>
      <c r="H438" s="18"/>
      <c r="I438" s="18"/>
      <c r="J438" s="18"/>
      <c r="K438" s="19"/>
      <c r="L438" s="20" t="s">
        <v>87</v>
      </c>
      <c r="M438" s="20" t="s">
        <v>500</v>
      </c>
      <c r="N438" s="20" t="s">
        <v>501</v>
      </c>
      <c r="O438" s="20" t="s">
        <v>88</v>
      </c>
      <c r="P438" s="21" t="s">
        <v>89</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141</v>
      </c>
      <c r="B439" s="41">
        <f>'Parameter Input'!$L$183</f>
        <v>10000000</v>
      </c>
      <c r="C439" s="42">
        <f>'Parameter Input'!$M$183</f>
        <v>4000000</v>
      </c>
      <c r="D439" s="1" t="s">
        <v>138</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151</v>
      </c>
      <c r="B440" s="60">
        <f>'Parameter Input'!$L$184</f>
        <v>-500000</v>
      </c>
      <c r="C440" s="61">
        <f>'Parameter Input'!$M$184</f>
        <v>-600000</v>
      </c>
      <c r="D440" s="1" t="s">
        <v>138</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137</v>
      </c>
      <c r="B441" s="43">
        <f>'Parameter Input'!B194</f>
        <v>3500000</v>
      </c>
      <c r="C441" s="44">
        <f>'Parameter Input'!C194</f>
        <v>3500000</v>
      </c>
      <c r="D441" s="1" t="s">
        <v>138</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148</v>
      </c>
      <c r="B442" s="60">
        <f>'Parameter Input'!B195</f>
        <v>-175000</v>
      </c>
      <c r="C442" s="61">
        <f>'Parameter Input'!C195</f>
        <v>-175000</v>
      </c>
      <c r="D442" s="1" t="s">
        <v>138</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203</v>
      </c>
      <c r="B443" s="45">
        <f>'Parameter Input'!$L$190</f>
        <v>0.06</v>
      </c>
      <c r="C443" s="46">
        <f>'Parameter Input'!$M$190</f>
        <v>0.06</v>
      </c>
      <c r="D443" s="1" t="s">
        <v>180</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160</v>
      </c>
      <c r="B444" s="43">
        <f>'Parameter Input'!B196</f>
        <v>650000</v>
      </c>
      <c r="C444" s="44">
        <f>'Parameter Input'!C196</f>
        <v>650000</v>
      </c>
      <c r="D444" s="1" t="s">
        <v>161</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175</v>
      </c>
      <c r="B445" s="43">
        <f>'Parameter Input'!$L$186</f>
        <v>1400000.0000000002</v>
      </c>
      <c r="C445" s="44">
        <f>'Parameter Input'!$M$186</f>
        <v>560000</v>
      </c>
      <c r="D445" s="1" t="s">
        <v>161</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279</v>
      </c>
      <c r="B446" s="45">
        <f>'Parameter Input'!B201</f>
        <v>3.9215686274509802</v>
      </c>
      <c r="C446" s="46">
        <f>'Parameter Input'!C201</f>
        <v>3.9215686274509802</v>
      </c>
      <c r="D446" s="1" t="s">
        <v>200</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183</v>
      </c>
      <c r="B447" s="47">
        <f>'Parameter Input'!$L$187</f>
        <v>48.858472727272719</v>
      </c>
      <c r="C447" s="48">
        <f>'Parameter Input'!$M$187</f>
        <v>41.341784615384611</v>
      </c>
      <c r="D447" s="1" t="s">
        <v>184</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191</v>
      </c>
      <c r="B448" s="45">
        <f>'Parameter Input'!$L$188</f>
        <v>0.2544561408768215</v>
      </c>
      <c r="C448" s="46">
        <f>'Parameter Input'!$M$188</f>
        <v>0.10949010032952979</v>
      </c>
      <c r="D448" s="1" t="s">
        <v>94</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458</v>
      </c>
      <c r="B449" s="115">
        <f>'Parameter Input'!$L$191</f>
        <v>0</v>
      </c>
      <c r="C449" s="116">
        <f>'Parameter Input'!$M$191</f>
        <v>0</v>
      </c>
      <c r="D449" s="1" t="s">
        <v>200</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164</v>
      </c>
      <c r="B450" s="43">
        <f>'Parameter Input'!$L$185</f>
        <v>20</v>
      </c>
      <c r="C450" s="44">
        <f>'Parameter Input'!$M$185</f>
        <v>20</v>
      </c>
      <c r="D450" s="1" t="s">
        <v>165</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194</v>
      </c>
      <c r="B451" s="43">
        <f>'Parameter Input'!B200</f>
        <v>30</v>
      </c>
      <c r="C451" s="44">
        <f>'Parameter Input'!C200</f>
        <v>30</v>
      </c>
      <c r="D451" s="1" t="s">
        <v>165</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502</v>
      </c>
      <c r="B452" s="70">
        <f>'Parameter Input'!B197</f>
        <v>2800</v>
      </c>
      <c r="C452" s="71">
        <f>'Parameter Input'!C197</f>
        <v>2800</v>
      </c>
      <c r="D452" s="1" t="s">
        <v>172</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179</v>
      </c>
      <c r="B453" s="72">
        <f>'Parameter Input'!B198</f>
        <v>0.42666666666666669</v>
      </c>
      <c r="C453" s="73">
        <f>'Parameter Input'!C198</f>
        <v>0.42666666666666669</v>
      </c>
      <c r="D453" s="1" t="s">
        <v>180</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197</v>
      </c>
      <c r="B454" s="72">
        <f>'Parameter Input'!$L$189</f>
        <v>1.7857142857142856E-2</v>
      </c>
      <c r="C454" s="73">
        <f>'Parameter Input'!$M$189</f>
        <v>1.7857142857142856E-2</v>
      </c>
      <c r="D454" s="1" t="s">
        <v>180</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188</v>
      </c>
      <c r="B455" s="74">
        <f>'Parameter Input'!B199</f>
        <v>178500</v>
      </c>
      <c r="C455" s="75">
        <f>'Parameter Input'!C199</f>
        <v>178500</v>
      </c>
      <c r="D455" s="1" t="s">
        <v>189</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503</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0.19695917693522813</v>
      </c>
      <c r="C468" s="62">
        <f>'Parameter Input'!K5</f>
        <v>0.1918445490889919</v>
      </c>
      <c r="D468" s="62">
        <f>'Parameter Input'!L5</f>
        <v>0.1867299212427557</v>
      </c>
      <c r="E468" s="62">
        <f>'Parameter Input'!M5</f>
        <v>0.18316543121930073</v>
      </c>
      <c r="F468" s="62">
        <f>'Parameter Input'!N5</f>
        <v>0.1796009411958458</v>
      </c>
      <c r="G468" s="62">
        <f>'Parameter Input'!O5</f>
        <v>0.17603645117239083</v>
      </c>
      <c r="H468" s="62">
        <f>'Parameter Input'!P5</f>
        <v>0.17247196114893587</v>
      </c>
      <c r="I468" s="62">
        <f>'Parameter Input'!Q5</f>
        <v>0.16890747112548093</v>
      </c>
      <c r="J468" s="62">
        <f>'Parameter Input'!R5</f>
        <v>0.16876144856602932</v>
      </c>
      <c r="K468" s="62">
        <f>'Parameter Input'!S5</f>
        <v>0.16861542600657767</v>
      </c>
      <c r="L468" s="62">
        <f>'Parameter Input'!T5</f>
        <v>0.16846940344712602</v>
      </c>
      <c r="M468" s="62">
        <f>'Parameter Input'!U5</f>
        <v>0.1683233808876744</v>
      </c>
      <c r="N468" s="62">
        <f>'Parameter Input'!V5</f>
        <v>0.16817735832822278</v>
      </c>
      <c r="O468" s="62">
        <f>'Parameter Input'!W5</f>
        <v>0.16448316805908789</v>
      </c>
      <c r="P468" s="62">
        <f>'Parameter Input'!X5</f>
        <v>0.16078897778995299</v>
      </c>
      <c r="Q468" s="62">
        <f>'Parameter Input'!Y5</f>
        <v>0.15709478752081807</v>
      </c>
      <c r="R468" s="62">
        <f>'Parameter Input'!Z5</f>
        <v>0.15340059725168312</v>
      </c>
      <c r="S468" s="62">
        <f>'Parameter Input'!AA5</f>
        <v>0.1497064069825482</v>
      </c>
      <c r="T468" s="62">
        <f>'Parameter Input'!AB5</f>
        <v>0.14627718374621171</v>
      </c>
      <c r="U468" s="62">
        <f>'Parameter Input'!AC5</f>
        <v>0.14284796050987525</v>
      </c>
      <c r="V468" s="62">
        <f>'Parameter Input'!AD5</f>
        <v>0.13941873727353876</v>
      </c>
      <c r="W468" s="62">
        <f>'Parameter Input'!AE5</f>
        <v>0.13598951403720227</v>
      </c>
      <c r="X468" s="62">
        <f>'Parameter Input'!AF5</f>
        <v>0.13256029080086582</v>
      </c>
      <c r="Y468" s="62">
        <f>'Parameter Input'!AG5</f>
        <v>0.12972417970496936</v>
      </c>
      <c r="Z468" s="62">
        <f>'Parameter Input'!AH5</f>
        <v>0.12688806860907287</v>
      </c>
      <c r="AA468" s="62">
        <f>'Parameter Input'!AI5</f>
        <v>0.12405195751317638</v>
      </c>
      <c r="AB468" s="62">
        <f>'Parameter Input'!AJ5</f>
        <v>0.12121584641727991</v>
      </c>
      <c r="AC468" s="62">
        <f>'Parameter Input'!AK5</f>
        <v>0.11837973532138339</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197</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503</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1714238.8628327197</v>
      </c>
      <c r="C485" s="62">
        <f t="shared" ref="C485:AC485" si="397">C467*C468*C475</f>
        <v>1668268.5377523468</v>
      </c>
      <c r="D485" s="62">
        <f t="shared" si="397"/>
        <v>1621781.1747999815</v>
      </c>
      <c r="E485" s="62">
        <f t="shared" si="397"/>
        <v>1588035.054360566</v>
      </c>
      <c r="F485" s="62">
        <f t="shared" si="397"/>
        <v>1553293.0918412623</v>
      </c>
      <c r="G485" s="62">
        <f t="shared" si="397"/>
        <v>1517234.9894432456</v>
      </c>
      <c r="H485" s="62">
        <f t="shared" si="397"/>
        <v>1479487.7327920089</v>
      </c>
      <c r="I485" s="62">
        <f t="shared" si="397"/>
        <v>1439664.8155083221</v>
      </c>
      <c r="J485" s="62">
        <f t="shared" si="397"/>
        <v>1426344.0331401536</v>
      </c>
      <c r="K485" s="62">
        <f t="shared" si="397"/>
        <v>1409915.1324108206</v>
      </c>
      <c r="L485" s="62">
        <f t="shared" si="397"/>
        <v>1390476.6683986408</v>
      </c>
      <c r="M485" s="62">
        <f t="shared" si="397"/>
        <v>1368689.4853170433</v>
      </c>
      <c r="N485" s="62">
        <f t="shared" si="397"/>
        <v>1345792.675440459</v>
      </c>
      <c r="O485" s="62">
        <f t="shared" si="397"/>
        <v>1295416.1751911161</v>
      </c>
      <c r="P485" s="62">
        <f t="shared" si="397"/>
        <v>1247799.3807539036</v>
      </c>
      <c r="Q485" s="62">
        <f t="shared" si="397"/>
        <v>1203750.8368572691</v>
      </c>
      <c r="R485" s="62">
        <f t="shared" si="397"/>
        <v>1163416.9385204527</v>
      </c>
      <c r="S485" s="62">
        <f t="shared" si="397"/>
        <v>1126443.5101458533</v>
      </c>
      <c r="T485" s="62">
        <f t="shared" si="397"/>
        <v>1094208.2231247381</v>
      </c>
      <c r="U485" s="62">
        <f t="shared" si="397"/>
        <v>1064064.9454190303</v>
      </c>
      <c r="V485" s="62">
        <f t="shared" si="397"/>
        <v>1035448.6476211995</v>
      </c>
      <c r="W485" s="62">
        <f t="shared" si="397"/>
        <v>1007909.2716702226</v>
      </c>
      <c r="X485" s="62">
        <f t="shared" si="397"/>
        <v>981111.53031504876</v>
      </c>
      <c r="Y485" s="62">
        <f t="shared" si="397"/>
        <v>959201.76076796639</v>
      </c>
      <c r="Z485" s="62">
        <f t="shared" si="397"/>
        <v>937622.80507171992</v>
      </c>
      <c r="AA485" s="62">
        <f t="shared" si="397"/>
        <v>916264.55330222752</v>
      </c>
      <c r="AB485" s="62">
        <f t="shared" si="397"/>
        <v>895052.7552801487</v>
      </c>
      <c r="AC485" s="62">
        <f t="shared" si="397"/>
        <v>873937.77500374767</v>
      </c>
    </row>
    <row r="486" spans="1:29" ht="15.75" thickBot="1" x14ac:dyDescent="0.3">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75" thickBot="1" x14ac:dyDescent="0.3">
      <c r="A487" s="31" t="s">
        <v>504</v>
      </c>
      <c r="B487" s="64">
        <f>B478+B479+B480+B481+B482+B483+B484+B485+B486</f>
        <v>5515938.7507426348</v>
      </c>
      <c r="C487" s="64">
        <f t="shared" ref="C487:AC487" si="399">C478+C479+C480+C481+C482+C483+C484+C485+C486</f>
        <v>5462213.8182532797</v>
      </c>
      <c r="D487" s="64">
        <f t="shared" si="399"/>
        <v>5404716.0244169971</v>
      </c>
      <c r="E487" s="64">
        <f t="shared" si="399"/>
        <v>5355407.71795802</v>
      </c>
      <c r="F487" s="64">
        <f t="shared" si="399"/>
        <v>5298816.7270323448</v>
      </c>
      <c r="G487" s="64">
        <f t="shared" si="399"/>
        <v>5232380.5437065559</v>
      </c>
      <c r="H487" s="64">
        <f t="shared" si="399"/>
        <v>5152986.0745496107</v>
      </c>
      <c r="I487" s="64">
        <f t="shared" si="399"/>
        <v>5057193.7663931213</v>
      </c>
      <c r="J487" s="64">
        <f t="shared" si="399"/>
        <v>4970710.1776630748</v>
      </c>
      <c r="K487" s="64">
        <f t="shared" si="399"/>
        <v>4862145.0884402674</v>
      </c>
      <c r="L487" s="64">
        <f t="shared" si="399"/>
        <v>4732145.8430056237</v>
      </c>
      <c r="M487" s="64">
        <f t="shared" si="399"/>
        <v>4585339.4411243303</v>
      </c>
      <c r="N487" s="64">
        <f t="shared" si="399"/>
        <v>4430460.3549018539</v>
      </c>
      <c r="O487" s="64">
        <f t="shared" si="399"/>
        <v>4250698.742639184</v>
      </c>
      <c r="P487" s="64">
        <f t="shared" si="399"/>
        <v>4085300.0175307365</v>
      </c>
      <c r="Q487" s="64">
        <f t="shared" si="399"/>
        <v>3941153.60503302</v>
      </c>
      <c r="R487" s="64">
        <f t="shared" si="399"/>
        <v>3820659.2404593332</v>
      </c>
      <c r="S487" s="64">
        <f t="shared" si="399"/>
        <v>3722519.8185706222</v>
      </c>
      <c r="T487" s="64">
        <f t="shared" si="399"/>
        <v>3645322.6207968639</v>
      </c>
      <c r="U487" s="64">
        <f t="shared" si="399"/>
        <v>3583032.2273518881</v>
      </c>
      <c r="V487" s="64">
        <f t="shared" si="399"/>
        <v>3531885.5488956473</v>
      </c>
      <c r="W487" s="64">
        <f t="shared" si="399"/>
        <v>3488776.2950842879</v>
      </c>
      <c r="X487" s="64">
        <f t="shared" si="399"/>
        <v>3451323.3104324806</v>
      </c>
      <c r="Y487" s="64">
        <f t="shared" si="399"/>
        <v>3422170.2965666554</v>
      </c>
      <c r="Z487" s="64">
        <f t="shared" si="399"/>
        <v>3395689.9180384274</v>
      </c>
      <c r="AA487" s="64">
        <f t="shared" si="399"/>
        <v>3371025.1613092944</v>
      </c>
      <c r="AB487" s="64">
        <f t="shared" si="399"/>
        <v>3347587.4405737086</v>
      </c>
      <c r="AC487" s="64">
        <f t="shared" si="399"/>
        <v>3324976.0846047117</v>
      </c>
    </row>
    <row r="488" spans="1:29" ht="15.75" thickBot="1" x14ac:dyDescent="0.3">
      <c r="AC488" s="32"/>
    </row>
    <row r="489" spans="1:29" ht="15.75" thickBot="1" x14ac:dyDescent="0.3">
      <c r="A489" s="26" t="s">
        <v>503</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9.6035790634886258</v>
      </c>
      <c r="C497" s="66">
        <f t="shared" ref="C497:AC497" si="408">C467*C468*C475/C475</f>
        <v>9.346042228304464</v>
      </c>
      <c r="D497" s="66">
        <f t="shared" si="408"/>
        <v>9.0856088224088598</v>
      </c>
      <c r="E497" s="66">
        <f t="shared" si="408"/>
        <v>8.8965549263897259</v>
      </c>
      <c r="F497" s="66">
        <f t="shared" si="408"/>
        <v>8.7019220831443267</v>
      </c>
      <c r="G497" s="66">
        <f t="shared" si="408"/>
        <v>8.4999159072450734</v>
      </c>
      <c r="H497" s="66">
        <f t="shared" si="408"/>
        <v>8.2884466823081731</v>
      </c>
      <c r="I497" s="66">
        <f t="shared" si="408"/>
        <v>8.0653491064891991</v>
      </c>
      <c r="J497" s="66">
        <f t="shared" si="408"/>
        <v>7.9907228747347538</v>
      </c>
      <c r="K497" s="66">
        <f t="shared" si="408"/>
        <v>7.8986842151866696</v>
      </c>
      <c r="L497" s="66">
        <f t="shared" si="408"/>
        <v>7.7897852571352431</v>
      </c>
      <c r="M497" s="66">
        <f t="shared" si="408"/>
        <v>7.6677282090590655</v>
      </c>
      <c r="N497" s="66">
        <f t="shared" si="408"/>
        <v>7.5394547643723193</v>
      </c>
      <c r="O497" s="66">
        <f t="shared" si="408"/>
        <v>7.2572334744600342</v>
      </c>
      <c r="P497" s="66">
        <f t="shared" si="408"/>
        <v>6.9904727213103843</v>
      </c>
      <c r="Q497" s="66">
        <f t="shared" si="408"/>
        <v>6.7437021672676138</v>
      </c>
      <c r="R497" s="66">
        <f t="shared" si="408"/>
        <v>6.5177419524955331</v>
      </c>
      <c r="S497" s="66">
        <f t="shared" si="408"/>
        <v>6.3106078999767687</v>
      </c>
      <c r="T497" s="66">
        <f t="shared" si="408"/>
        <v>6.1300180567212221</v>
      </c>
      <c r="U497" s="66">
        <f t="shared" si="408"/>
        <v>5.9611481536080131</v>
      </c>
      <c r="V497" s="66">
        <f t="shared" si="408"/>
        <v>5.8008327597826304</v>
      </c>
      <c r="W497" s="66">
        <f t="shared" si="408"/>
        <v>5.6465505415698747</v>
      </c>
      <c r="X497" s="66">
        <f t="shared" si="408"/>
        <v>5.496423139019881</v>
      </c>
      <c r="Y497" s="66">
        <f t="shared" si="408"/>
        <v>5.3736793320334248</v>
      </c>
      <c r="Z497" s="66">
        <f t="shared" si="408"/>
        <v>5.2527888239312039</v>
      </c>
      <c r="AA497" s="66">
        <f t="shared" si="408"/>
        <v>5.1331347523934312</v>
      </c>
      <c r="AB497" s="66">
        <f t="shared" si="408"/>
        <v>5.0143011500288441</v>
      </c>
      <c r="AC497" s="66">
        <f t="shared" si="408"/>
        <v>4.8960099439985862</v>
      </c>
    </row>
    <row r="498" spans="1:29" ht="15.75" thickBot="1" x14ac:dyDescent="0.3">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75" thickBot="1" x14ac:dyDescent="0.3">
      <c r="A499" s="31" t="s">
        <v>187</v>
      </c>
      <c r="B499" s="76">
        <f>B490+B491+B492-B493+B494+B495+B496+B497+B498</f>
        <v>31.044066497278159</v>
      </c>
      <c r="C499" s="76">
        <f t="shared" ref="C499:AC499" si="411">C490+C491+C492-C493+C494+C495+C496+C497+C498</f>
        <v>30.743086483332192</v>
      </c>
      <c r="D499" s="76">
        <f t="shared" si="411"/>
        <v>30.420969991252178</v>
      </c>
      <c r="E499" s="76">
        <f t="shared" si="411"/>
        <v>30.144732980277517</v>
      </c>
      <c r="F499" s="76">
        <f t="shared" si="411"/>
        <v>29.827696616548245</v>
      </c>
      <c r="G499" s="76">
        <f t="shared" si="411"/>
        <v>29.455505113322538</v>
      </c>
      <c r="H499" s="76">
        <f t="shared" si="411"/>
        <v>29.01071817126682</v>
      </c>
      <c r="I499" s="76">
        <f t="shared" si="411"/>
        <v>28.474066584955956</v>
      </c>
      <c r="J499" s="76">
        <f t="shared" si="411"/>
        <v>27.989564687308633</v>
      </c>
      <c r="K499" s="76">
        <f t="shared" si="411"/>
        <v>27.381356904547808</v>
      </c>
      <c r="L499" s="76">
        <f t="shared" si="411"/>
        <v>26.653069815278094</v>
      </c>
      <c r="M499" s="76">
        <f t="shared" si="411"/>
        <v>25.830624986811465</v>
      </c>
      <c r="N499" s="76">
        <f t="shared" si="411"/>
        <v>24.962955035985267</v>
      </c>
      <c r="O499" s="76">
        <f t="shared" si="411"/>
        <v>23.955887180171988</v>
      </c>
      <c r="P499" s="76">
        <f t="shared" si="411"/>
        <v>23.029283678163878</v>
      </c>
      <c r="Q499" s="76">
        <f t="shared" si="411"/>
        <v>22.221740751005804</v>
      </c>
      <c r="R499" s="76">
        <f t="shared" si="411"/>
        <v>21.546702294010363</v>
      </c>
      <c r="S499" s="76">
        <f t="shared" si="411"/>
        <v>20.996901611160443</v>
      </c>
      <c r="T499" s="76">
        <f t="shared" si="411"/>
        <v>20.564424312708017</v>
      </c>
      <c r="U499" s="76">
        <f t="shared" si="411"/>
        <v>20.215458523100306</v>
      </c>
      <c r="V499" s="76">
        <f t="shared" si="411"/>
        <v>19.928922509339856</v>
      </c>
      <c r="W499" s="76">
        <f t="shared" si="411"/>
        <v>19.687414084626354</v>
      </c>
      <c r="X499" s="76">
        <f t="shared" si="411"/>
        <v>19.477593442319311</v>
      </c>
      <c r="Y499" s="76">
        <f t="shared" si="411"/>
        <v>19.314271235788077</v>
      </c>
      <c r="Z499" s="76">
        <f t="shared" si="411"/>
        <v>19.165921776246183</v>
      </c>
      <c r="AA499" s="76">
        <f t="shared" si="411"/>
        <v>19.027743867399501</v>
      </c>
      <c r="AB499" s="76">
        <f t="shared" si="411"/>
        <v>18.896440109777174</v>
      </c>
      <c r="AC499" s="76">
        <f t="shared" si="411"/>
        <v>18.769765846645537</v>
      </c>
    </row>
    <row r="500" spans="1:29" ht="15.75" thickBot="1" x14ac:dyDescent="0.3"/>
    <row r="501" spans="1:29" ht="15.75" thickBot="1" x14ac:dyDescent="0.3">
      <c r="A501" s="26" t="s">
        <v>503</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3.4298496655316519E-3</v>
      </c>
      <c r="C509" s="66">
        <f t="shared" ref="C509:AC509" si="420">C467*C468*C475/C475/(C472)</f>
        <v>3.3378722243944513E-3</v>
      </c>
      <c r="D509" s="66">
        <f t="shared" si="420"/>
        <v>3.2448602937174501E-3</v>
      </c>
      <c r="E509" s="66">
        <f t="shared" si="420"/>
        <v>3.1773410451391877E-3</v>
      </c>
      <c r="F509" s="66">
        <f t="shared" si="420"/>
        <v>3.1078293154086882E-3</v>
      </c>
      <c r="G509" s="66">
        <f t="shared" si="420"/>
        <v>3.0356842525875263E-3</v>
      </c>
      <c r="H509" s="66">
        <f t="shared" si="420"/>
        <v>2.9601595293957759E-3</v>
      </c>
      <c r="I509" s="66">
        <f t="shared" si="420"/>
        <v>2.8804818237461428E-3</v>
      </c>
      <c r="J509" s="66">
        <f t="shared" si="420"/>
        <v>2.8538295981195548E-3</v>
      </c>
      <c r="K509" s="66">
        <f t="shared" si="420"/>
        <v>2.8209586482809534E-3</v>
      </c>
      <c r="L509" s="66">
        <f t="shared" si="420"/>
        <v>2.7820661632625867E-3</v>
      </c>
      <c r="M509" s="66">
        <f t="shared" si="420"/>
        <v>2.7384743603782375E-3</v>
      </c>
      <c r="N509" s="66">
        <f t="shared" si="420"/>
        <v>2.692662415847257E-3</v>
      </c>
      <c r="O509" s="66">
        <f t="shared" si="420"/>
        <v>2.5918690980214409E-3</v>
      </c>
      <c r="P509" s="66">
        <f t="shared" si="420"/>
        <v>2.4965974004679944E-3</v>
      </c>
      <c r="Q509" s="66">
        <f t="shared" si="420"/>
        <v>2.4084650597384336E-3</v>
      </c>
      <c r="R509" s="66">
        <f t="shared" si="420"/>
        <v>2.3277649830341189E-3</v>
      </c>
      <c r="S509" s="66">
        <f t="shared" si="420"/>
        <v>2.2537885357059887E-3</v>
      </c>
      <c r="T509" s="66">
        <f t="shared" si="420"/>
        <v>2.1892921631147221E-3</v>
      </c>
      <c r="U509" s="66">
        <f t="shared" si="420"/>
        <v>2.1289814834314332E-3</v>
      </c>
      <c r="V509" s="66">
        <f t="shared" si="420"/>
        <v>2.0717259856366538E-3</v>
      </c>
      <c r="W509" s="66">
        <f t="shared" si="420"/>
        <v>2.0166251934178123E-3</v>
      </c>
      <c r="X509" s="66">
        <f t="shared" si="420"/>
        <v>1.963008263935672E-3</v>
      </c>
      <c r="Y509" s="66">
        <f t="shared" si="420"/>
        <v>1.9191711900119375E-3</v>
      </c>
      <c r="Z509" s="66">
        <f t="shared" si="420"/>
        <v>1.8759960085468585E-3</v>
      </c>
      <c r="AA509" s="66">
        <f t="shared" si="420"/>
        <v>1.8332624115690826E-3</v>
      </c>
      <c r="AB509" s="66">
        <f t="shared" si="420"/>
        <v>1.7908218392960157E-3</v>
      </c>
      <c r="AC509" s="66">
        <f t="shared" si="420"/>
        <v>1.7485749799994951E-3</v>
      </c>
    </row>
    <row r="510" spans="1:29" x14ac:dyDescent="0.25">
      <c r="A510" s="59" t="str">
        <f>A473</f>
        <v>Market failure (av. utilization)</v>
      </c>
      <c r="B510" s="66">
        <f t="shared" ref="B510:AC510" si="421">B499/B473-B499/B472</f>
        <v>2.1394766810345162E-2</v>
      </c>
      <c r="C510" s="66">
        <f t="shared" si="421"/>
        <v>2.1187339177966103E-2</v>
      </c>
      <c r="D510" s="66">
        <f t="shared" si="421"/>
        <v>2.0965344832140874E-2</v>
      </c>
      <c r="E510" s="66">
        <f t="shared" si="421"/>
        <v>2.0774969436742598E-2</v>
      </c>
      <c r="F510" s="66">
        <f t="shared" si="421"/>
        <v>2.0556476183837658E-2</v>
      </c>
      <c r="G510" s="66">
        <f t="shared" si="421"/>
        <v>2.0299971436915924E-2</v>
      </c>
      <c r="H510" s="66">
        <f t="shared" si="421"/>
        <v>1.9993435793255871E-2</v>
      </c>
      <c r="I510" s="66">
        <f t="shared" si="421"/>
        <v>1.9623589415413284E-2</v>
      </c>
      <c r="J510" s="66">
        <f t="shared" si="421"/>
        <v>1.928968325269317E-2</v>
      </c>
      <c r="K510" s="66">
        <f t="shared" si="421"/>
        <v>1.887052219705164E-2</v>
      </c>
      <c r="L510" s="66">
        <f t="shared" si="421"/>
        <v>1.8368605592560518E-2</v>
      </c>
      <c r="M510" s="66">
        <f t="shared" si="421"/>
        <v>1.7801797912227767E-2</v>
      </c>
      <c r="N510" s="66">
        <f t="shared" si="421"/>
        <v>1.7203822248572434E-2</v>
      </c>
      <c r="O510" s="66">
        <f t="shared" si="421"/>
        <v>1.6509777158210049E-2</v>
      </c>
      <c r="P510" s="66">
        <f t="shared" si="421"/>
        <v>1.5871186017038165E-2</v>
      </c>
      <c r="Q510" s="66">
        <f t="shared" si="421"/>
        <v>1.5314648341234468E-2</v>
      </c>
      <c r="R510" s="66">
        <f t="shared" si="421"/>
        <v>1.4849429315347544E-2</v>
      </c>
      <c r="S510" s="66">
        <f t="shared" si="421"/>
        <v>1.4470520920637914E-2</v>
      </c>
      <c r="T510" s="66">
        <f t="shared" si="421"/>
        <v>1.4172468764617412E-2</v>
      </c>
      <c r="U510" s="66">
        <f t="shared" si="421"/>
        <v>1.3931970578141115E-2</v>
      </c>
      <c r="V510" s="66">
        <f t="shared" si="421"/>
        <v>1.3734497376693482E-2</v>
      </c>
      <c r="W510" s="66">
        <f t="shared" si="421"/>
        <v>1.3568056023724078E-2</v>
      </c>
      <c r="X510" s="66">
        <f t="shared" si="421"/>
        <v>1.3423453069901982E-2</v>
      </c>
      <c r="Y510" s="66">
        <f t="shared" si="421"/>
        <v>1.3310895634039215E-2</v>
      </c>
      <c r="Z510" s="66">
        <f t="shared" si="421"/>
        <v>1.3208657027714307E-2</v>
      </c>
      <c r="AA510" s="66">
        <f t="shared" si="421"/>
        <v>1.3113428390758027E-2</v>
      </c>
      <c r="AB510" s="66">
        <f t="shared" si="421"/>
        <v>1.3022937240834156E-2</v>
      </c>
      <c r="AC510" s="66">
        <f t="shared" si="421"/>
        <v>1.2935636618642431E-2</v>
      </c>
    </row>
    <row r="511" spans="1:29" x14ac:dyDescent="0.25">
      <c r="A511" s="59" t="str">
        <f>A474</f>
        <v>Payload loss (fuel)</v>
      </c>
      <c r="B511" s="66">
        <f>B499/(B472-B474)-B499/B472</f>
        <v>1.6068357400247577E-4</v>
      </c>
      <c r="C511" s="66">
        <f t="shared" ref="C511:AC511" si="422">C499/(C472-C474)-C499/C472</f>
        <v>1.5912570643546696E-4</v>
      </c>
      <c r="D511" s="66">
        <f t="shared" si="422"/>
        <v>1.5745843680772462E-4</v>
      </c>
      <c r="E511" s="66">
        <f t="shared" si="422"/>
        <v>1.5602863861427334E-4</v>
      </c>
      <c r="F511" s="66">
        <f t="shared" si="422"/>
        <v>1.5438766364673021E-4</v>
      </c>
      <c r="G511" s="66">
        <f t="shared" si="422"/>
        <v>1.5246120659069724E-4</v>
      </c>
      <c r="H511" s="66">
        <f t="shared" si="422"/>
        <v>1.5015899674568692E-4</v>
      </c>
      <c r="I511" s="66">
        <f t="shared" si="422"/>
        <v>1.4738129702358133E-4</v>
      </c>
      <c r="J511" s="66">
        <f t="shared" si="422"/>
        <v>1.4487352322623513E-4</v>
      </c>
      <c r="K511" s="66">
        <f t="shared" si="422"/>
        <v>1.4172544981649882E-4</v>
      </c>
      <c r="L511" s="66">
        <f t="shared" si="422"/>
        <v>1.3795584790516659E-4</v>
      </c>
      <c r="M511" s="66">
        <f t="shared" si="422"/>
        <v>1.3369888709529806E-4</v>
      </c>
      <c r="N511" s="66">
        <f t="shared" si="422"/>
        <v>1.2920784180116621E-4</v>
      </c>
      <c r="O511" s="66">
        <f t="shared" si="422"/>
        <v>1.2399527525969005E-4</v>
      </c>
      <c r="P511" s="66">
        <f t="shared" si="422"/>
        <v>1.1919919088076644E-4</v>
      </c>
      <c r="Q511" s="66">
        <f t="shared" si="422"/>
        <v>1.150193620652485E-4</v>
      </c>
      <c r="R511" s="66">
        <f t="shared" si="422"/>
        <v>1.1152537419260086E-4</v>
      </c>
      <c r="S511" s="66">
        <f t="shared" si="422"/>
        <v>1.0867961496459789E-4</v>
      </c>
      <c r="T511" s="66">
        <f t="shared" si="422"/>
        <v>1.06441119630994E-4</v>
      </c>
      <c r="U511" s="66">
        <f t="shared" si="422"/>
        <v>1.0463487848395587E-4</v>
      </c>
      <c r="V511" s="66">
        <f t="shared" si="422"/>
        <v>1.0315177282266969E-4</v>
      </c>
      <c r="W511" s="66">
        <f t="shared" si="422"/>
        <v>1.0190172921649247E-4</v>
      </c>
      <c r="X511" s="66">
        <f t="shared" si="422"/>
        <v>1.0081570104720095E-4</v>
      </c>
      <c r="Y511" s="66">
        <f t="shared" si="422"/>
        <v>9.9970348011325059E-5</v>
      </c>
      <c r="Z511" s="66">
        <f t="shared" si="422"/>
        <v>9.9202493665870826E-5</v>
      </c>
      <c r="AA511" s="66">
        <f t="shared" si="422"/>
        <v>9.8487287098341161E-5</v>
      </c>
      <c r="AB511" s="66">
        <f t="shared" si="422"/>
        <v>9.7807661023691615E-5</v>
      </c>
      <c r="AC511" s="66">
        <f t="shared" si="422"/>
        <v>9.7151997135846296E-5</v>
      </c>
    </row>
    <row r="512" spans="1:29" ht="15.75" thickBot="1" x14ac:dyDescent="0.3">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75" thickBot="1" x14ac:dyDescent="0.3">
      <c r="A513" s="31" t="s">
        <v>505</v>
      </c>
      <c r="B513" s="67">
        <f>B502+B503+B504+B505+B506+B507+B508+B509+B510+B511+B512</f>
        <v>3.259174240264022E-2</v>
      </c>
      <c r="C513" s="67">
        <f t="shared" ref="C513:AC513" si="424">C502+C503+C504+C505+C506+C507+C508+C509+C510+C511+C512</f>
        <v>3.22752640405706E-2</v>
      </c>
      <c r="D513" s="67">
        <f t="shared" si="424"/>
        <v>3.1936560820803331E-2</v>
      </c>
      <c r="E513" s="67">
        <f t="shared" si="424"/>
        <v>3.1646099551863517E-2</v>
      </c>
      <c r="F513" s="67">
        <f t="shared" si="424"/>
        <v>3.1312738051230582E-2</v>
      </c>
      <c r="G513" s="67">
        <f t="shared" si="424"/>
        <v>3.0921381310386485E-2</v>
      </c>
      <c r="H513" s="67">
        <f t="shared" si="424"/>
        <v>3.0453690977575811E-2</v>
      </c>
      <c r="I513" s="67">
        <f t="shared" si="424"/>
        <v>2.9889405619185808E-2</v>
      </c>
      <c r="J513" s="67">
        <f t="shared" si="424"/>
        <v>2.9379955290651447E-2</v>
      </c>
      <c r="K513" s="67">
        <f t="shared" si="424"/>
        <v>2.8740429096328457E-2</v>
      </c>
      <c r="L513" s="67">
        <f t="shared" si="424"/>
        <v>2.7974640358043965E-2</v>
      </c>
      <c r="M513" s="67">
        <f t="shared" si="424"/>
        <v>2.7109845421020403E-2</v>
      </c>
      <c r="N513" s="67">
        <f t="shared" si="424"/>
        <v>2.6197496586775868E-2</v>
      </c>
      <c r="O513" s="67">
        <f t="shared" si="424"/>
        <v>2.5138571838510121E-2</v>
      </c>
      <c r="P513" s="67">
        <f t="shared" si="424"/>
        <v>2.4164254790813564E-2</v>
      </c>
      <c r="Q513" s="67">
        <f t="shared" si="424"/>
        <v>2.3315129097923604E-2</v>
      </c>
      <c r="R513" s="67">
        <f t="shared" si="424"/>
        <v>2.2605330920951378E-2</v>
      </c>
      <c r="S513" s="67">
        <f t="shared" si="424"/>
        <v>2.2027219380281626E-2</v>
      </c>
      <c r="T513" s="67">
        <f t="shared" si="424"/>
        <v>2.1572472550908797E-2</v>
      </c>
      <c r="U513" s="67">
        <f t="shared" si="424"/>
        <v>2.1205537484139853E-2</v>
      </c>
      <c r="V513" s="67">
        <f t="shared" si="424"/>
        <v>2.0904246886402203E-2</v>
      </c>
      <c r="W513" s="67">
        <f t="shared" si="424"/>
        <v>2.0650302481000374E-2</v>
      </c>
      <c r="X513" s="67">
        <f t="shared" si="424"/>
        <v>2.0429677555327892E-2</v>
      </c>
      <c r="Y513" s="67">
        <f t="shared" si="424"/>
        <v>2.025794540695381E-2</v>
      </c>
      <c r="Z513" s="67">
        <f t="shared" si="424"/>
        <v>2.0101956996447061E-2</v>
      </c>
      <c r="AA513" s="67">
        <f t="shared" si="424"/>
        <v>1.9956663899763721E-2</v>
      </c>
      <c r="AB513" s="67">
        <f t="shared" si="424"/>
        <v>1.9818598924614371E-2</v>
      </c>
      <c r="AC513" s="67">
        <f t="shared" si="424"/>
        <v>1.9685401830273497E-2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102</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Input'!$L$224</f>
        <v>15000000</v>
      </c>
      <c r="C11" s="42">
        <f>'Parameter Input'!$M$224</f>
        <v>15000000</v>
      </c>
      <c r="D11" s="1" t="s">
        <v>138</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Input'!$L$225</f>
        <v>-1500000</v>
      </c>
      <c r="C12" s="61">
        <f>'Parameter Input'!$M$225</f>
        <v>-750000</v>
      </c>
      <c r="D12" s="1" t="s">
        <v>138</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Input'!$L$231</f>
        <v>0.06</v>
      </c>
      <c r="C15" s="91">
        <f>'Parameter Input'!$M$231</f>
        <v>0.06</v>
      </c>
      <c r="D15" s="1" t="s">
        <v>180</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Input'!$L$227</f>
        <v>488235.29411764705</v>
      </c>
      <c r="C17" s="61">
        <f>'Parameter Input'!$M$227</f>
        <v>488235.29411764705</v>
      </c>
      <c r="D17" s="1" t="s">
        <v>161</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Input'!$L$228</f>
        <v>647</v>
      </c>
      <c r="C19" s="61">
        <f>'Parameter Input'!$M$228</f>
        <v>600</v>
      </c>
      <c r="D19" s="1" t="s">
        <v>184</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92">
        <f>'Parameter Input'!$L$229</f>
        <v>3.1399999999999997E-2</v>
      </c>
      <c r="C20" s="61">
        <f>'Parameter Input'!$M$229</f>
        <v>3.1399999999999997E-2</v>
      </c>
      <c r="D20" s="1" t="s">
        <v>94</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Input'!$L$226</f>
        <v>25</v>
      </c>
      <c r="C22" s="61">
        <f>'Parameter Input'!$M$226</f>
        <v>25</v>
      </c>
      <c r="D22" s="1" t="s">
        <v>165</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Input'!$L$230</f>
        <v>0</v>
      </c>
      <c r="C26" s="46">
        <f>'Parameter Input'!$M$230</f>
        <v>0</v>
      </c>
      <c r="D26" s="1" t="s">
        <v>180</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2.5977890665149557E-2</v>
      </c>
      <c r="C40" s="62">
        <f>'Parameter Input'!K10</f>
        <v>2.418631199858752E-2</v>
      </c>
      <c r="D40" s="62">
        <f>'Parameter Input'!L10</f>
        <v>2.2394733332025477E-2</v>
      </c>
      <c r="E40" s="62">
        <f>'Parameter Input'!M10</f>
        <v>2.060315466546344E-2</v>
      </c>
      <c r="F40" s="62">
        <f>'Parameter Input'!N10</f>
        <v>1.8811575998901403E-2</v>
      </c>
      <c r="G40" s="62">
        <f>'Parameter Input'!O10</f>
        <v>1.7019997332339366E-2</v>
      </c>
      <c r="H40" s="62">
        <f>'Parameter Input'!P10</f>
        <v>1.5228418665777328E-2</v>
      </c>
      <c r="I40" s="62">
        <f>'Parameter Input'!Q10</f>
        <v>1.3436839999215288E-2</v>
      </c>
      <c r="J40" s="62">
        <f>'Parameter Input'!R10</f>
        <v>1.3164903951612121E-2</v>
      </c>
      <c r="K40" s="62">
        <f>'Parameter Input'!S10</f>
        <v>1.2892967904008954E-2</v>
      </c>
      <c r="L40" s="62">
        <f>'Parameter Input'!T10</f>
        <v>1.2621031856405788E-2</v>
      </c>
      <c r="M40" s="62">
        <f>'Parameter Input'!U10</f>
        <v>1.2349095808802621E-2</v>
      </c>
      <c r="N40" s="62">
        <f>'Parameter Input'!V10</f>
        <v>1.2077159761199453E-2</v>
      </c>
      <c r="O40" s="62">
        <f>'Parameter Input'!W10</f>
        <v>1.1805223713596286E-2</v>
      </c>
      <c r="P40" s="62">
        <f>'Parameter Input'!X10</f>
        <v>1.153328766599312E-2</v>
      </c>
      <c r="Q40" s="62">
        <f>'Parameter Input'!Y10</f>
        <v>1.1261351618389953E-2</v>
      </c>
      <c r="R40" s="62">
        <f>'Parameter Input'!Z10</f>
        <v>1.0989415570786787E-2</v>
      </c>
      <c r="S40" s="62">
        <f>'Parameter Input'!AA10</f>
        <v>1.0717479523183622E-2</v>
      </c>
      <c r="T40" s="62">
        <f>'Parameter Input'!AB10</f>
        <v>1.0445543475580455E-2</v>
      </c>
      <c r="U40" s="62">
        <f>'Parameter Input'!AC10</f>
        <v>1.0173607427977288E-2</v>
      </c>
      <c r="V40" s="62">
        <f>'Parameter Input'!AD10</f>
        <v>9.9016713803741219E-3</v>
      </c>
      <c r="W40" s="62">
        <f>'Parameter Input'!AE10</f>
        <v>9.6297353327709553E-3</v>
      </c>
      <c r="X40" s="62">
        <f>'Parameter Input'!AF10</f>
        <v>9.3577992851677887E-3</v>
      </c>
      <c r="Y40" s="62">
        <f>'Parameter Input'!AG10</f>
        <v>9.0858632375646221E-3</v>
      </c>
      <c r="Z40" s="62">
        <f>'Parameter Input'!AH10</f>
        <v>8.8139271899614555E-3</v>
      </c>
      <c r="AA40" s="62">
        <f>'Parameter Input'!AI10</f>
        <v>8.5419911423582889E-3</v>
      </c>
      <c r="AB40" s="62">
        <f>'Parameter Input'!AJ10</f>
        <v>8.2700550947551223E-3</v>
      </c>
      <c r="AC40" s="62">
        <f>'Parameter Input'!AK10</f>
        <v>7.9981190471519557E-3</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197</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2016601.6463383522</v>
      </c>
      <c r="C57" s="62">
        <f t="shared" ref="C57:AC57" si="14">C39*C40*C47</f>
        <v>1877396.0596961828</v>
      </c>
      <c r="D57" s="62">
        <f t="shared" si="14"/>
        <v>1738157.8929535446</v>
      </c>
      <c r="E57" s="62">
        <f t="shared" si="14"/>
        <v>1598879.1618886387</v>
      </c>
      <c r="F57" s="62">
        <f t="shared" si="14"/>
        <v>1459551.1447038057</v>
      </c>
      <c r="G57" s="62">
        <f t="shared" si="14"/>
        <v>1320165.2828480438</v>
      </c>
      <c r="H57" s="62">
        <f t="shared" si="14"/>
        <v>1180715.010052663</v>
      </c>
      <c r="I57" s="62">
        <f t="shared" si="14"/>
        <v>1041199.1125372326</v>
      </c>
      <c r="J57" s="62">
        <f t="shared" si="14"/>
        <v>1019284.9225651143</v>
      </c>
      <c r="K57" s="62">
        <f t="shared" si="14"/>
        <v>997072.28353884362</v>
      </c>
      <c r="L57" s="62">
        <f t="shared" si="14"/>
        <v>974465.93581482011</v>
      </c>
      <c r="M57" s="62">
        <f t="shared" si="14"/>
        <v>951355.36975263874</v>
      </c>
      <c r="N57" s="62">
        <f t="shared" si="14"/>
        <v>927626.7897224084</v>
      </c>
      <c r="O57" s="62">
        <f t="shared" si="14"/>
        <v>903188.87759881245</v>
      </c>
      <c r="P57" s="62">
        <f t="shared" si="14"/>
        <v>878014.90025594714</v>
      </c>
      <c r="Q57" s="62">
        <f t="shared" si="14"/>
        <v>852193.9035026104</v>
      </c>
      <c r="R57" s="62">
        <f t="shared" si="14"/>
        <v>825966.87856994744</v>
      </c>
      <c r="S57" s="62">
        <f t="shared" si="14"/>
        <v>799712.58759018383</v>
      </c>
      <c r="T57" s="62">
        <f t="shared" si="14"/>
        <v>773864.94731231174</v>
      </c>
      <c r="U57" s="62">
        <f t="shared" si="14"/>
        <v>748791.94002792984</v>
      </c>
      <c r="V57" s="62">
        <f t="shared" si="14"/>
        <v>724702.19376327144</v>
      </c>
      <c r="W57" s="62">
        <f t="shared" si="14"/>
        <v>701625.60706388811</v>
      </c>
      <c r="X57" s="62">
        <f t="shared" si="14"/>
        <v>679459.03194522974</v>
      </c>
      <c r="Y57" s="62">
        <f t="shared" si="14"/>
        <v>658034.5257560059</v>
      </c>
      <c r="Z57" s="62">
        <f t="shared" si="14"/>
        <v>637174.92248860688</v>
      </c>
      <c r="AA57" s="62">
        <f t="shared" si="14"/>
        <v>616724.92889380688</v>
      </c>
      <c r="AB57" s="62">
        <f t="shared" si="14"/>
        <v>596561.97616320604</v>
      </c>
      <c r="AC57" s="62">
        <f t="shared" si="14"/>
        <v>576595.44474159461</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504</v>
      </c>
      <c r="B59" s="64">
        <f>B50+B51+B52+B53+B54+B55+B56+B57+B58</f>
        <v>4941162.0546653224</v>
      </c>
      <c r="C59" s="64">
        <f t="shared" ref="C59:AC59" si="16">C50+C51+C52+C53+C54+C55+C56+C57+C58</f>
        <v>4802012.2134942831</v>
      </c>
      <c r="D59" s="64">
        <f t="shared" si="16"/>
        <v>4662853.8451519376</v>
      </c>
      <c r="E59" s="64">
        <f t="shared" si="16"/>
        <v>4523689.2713103238</v>
      </c>
      <c r="F59" s="64">
        <f t="shared" si="16"/>
        <v>4384524.4099876182</v>
      </c>
      <c r="G59" s="64">
        <f t="shared" si="16"/>
        <v>4245371.4068065565</v>
      </c>
      <c r="H59" s="64">
        <f t="shared" si="16"/>
        <v>4106252.7818904333</v>
      </c>
      <c r="I59" s="64">
        <f t="shared" si="16"/>
        <v>3967207.7768212329</v>
      </c>
      <c r="J59" s="64">
        <f t="shared" si="16"/>
        <v>3945959.1480719852</v>
      </c>
      <c r="K59" s="64">
        <f t="shared" si="16"/>
        <v>3924680.9449949069</v>
      </c>
      <c r="L59" s="64">
        <f t="shared" si="16"/>
        <v>3903373.8024510136</v>
      </c>
      <c r="M59" s="64">
        <f t="shared" si="16"/>
        <v>3882044.3980874289</v>
      </c>
      <c r="N59" s="64">
        <f t="shared" si="16"/>
        <v>3860709.5085185403</v>
      </c>
      <c r="O59" s="64">
        <f t="shared" si="16"/>
        <v>3839400.6122549069</v>
      </c>
      <c r="P59" s="64">
        <f t="shared" si="16"/>
        <v>3818167.1015153406</v>
      </c>
      <c r="Q59" s="64">
        <f t="shared" si="16"/>
        <v>3797074.5515748505</v>
      </c>
      <c r="R59" s="64">
        <f t="shared" si="16"/>
        <v>3776194.32972256</v>
      </c>
      <c r="S59" s="64">
        <f t="shared" si="16"/>
        <v>3755584.636817365</v>
      </c>
      <c r="T59" s="64">
        <f t="shared" si="16"/>
        <v>3735270.5194818778</v>
      </c>
      <c r="U59" s="64">
        <f t="shared" si="16"/>
        <v>3715234.79203152</v>
      </c>
      <c r="V59" s="64">
        <f t="shared" si="16"/>
        <v>3695426.0163033395</v>
      </c>
      <c r="W59" s="64">
        <f t="shared" si="16"/>
        <v>3675777.7203252902</v>
      </c>
      <c r="X59" s="64">
        <f t="shared" si="16"/>
        <v>3656227.0831854101</v>
      </c>
      <c r="Y59" s="64">
        <f t="shared" si="16"/>
        <v>3636725.5012091175</v>
      </c>
      <c r="Z59" s="64">
        <f t="shared" si="16"/>
        <v>3617240.7609356646</v>
      </c>
      <c r="AA59" s="64">
        <f t="shared" si="16"/>
        <v>3597754.3432603348</v>
      </c>
      <c r="AB59" s="64">
        <f t="shared" si="16"/>
        <v>3578257.2807160928</v>
      </c>
      <c r="AC59" s="64">
        <f t="shared" si="16"/>
        <v>3558746.4511315869</v>
      </c>
    </row>
    <row r="60" spans="1:33" ht="15.75" thickBot="1" x14ac:dyDescent="0.3">
      <c r="AC60" s="32"/>
      <c r="AG60" s="4">
        <f>2600000/1.5</f>
        <v>1733333.3333333333</v>
      </c>
    </row>
    <row r="61" spans="1:33"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4876528.5762686767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40.637738135572306</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16.805013719486269</v>
      </c>
      <c r="C69" s="66">
        <f t="shared" ref="C69:AC69" si="25">C39*C40*C47/C47</f>
        <v>15.644967164134856</v>
      </c>
      <c r="D69" s="66">
        <f t="shared" si="25"/>
        <v>14.484649107946206</v>
      </c>
      <c r="E69" s="66">
        <f t="shared" si="25"/>
        <v>13.323993015738656</v>
      </c>
      <c r="F69" s="66">
        <f t="shared" si="25"/>
        <v>12.162926205865046</v>
      </c>
      <c r="G69" s="66">
        <f t="shared" si="25"/>
        <v>11.001377357067032</v>
      </c>
      <c r="H69" s="66">
        <f t="shared" si="25"/>
        <v>9.8392917504388588</v>
      </c>
      <c r="I69" s="66">
        <f t="shared" si="25"/>
        <v>8.6766592711436044</v>
      </c>
      <c r="J69" s="66">
        <f t="shared" si="25"/>
        <v>8.4940410213759527</v>
      </c>
      <c r="K69" s="66">
        <f t="shared" si="25"/>
        <v>8.3089356961570306</v>
      </c>
      <c r="L69" s="66">
        <f t="shared" si="25"/>
        <v>8.1205494651235011</v>
      </c>
      <c r="M69" s="66">
        <f t="shared" si="25"/>
        <v>7.9279614146053232</v>
      </c>
      <c r="N69" s="66">
        <f t="shared" si="25"/>
        <v>7.7302232476867365</v>
      </c>
      <c r="O69" s="66">
        <f t="shared" si="25"/>
        <v>7.5265739799901041</v>
      </c>
      <c r="P69" s="66">
        <f t="shared" si="25"/>
        <v>7.3167908354662261</v>
      </c>
      <c r="Q69" s="66">
        <f t="shared" si="25"/>
        <v>7.1016158625217534</v>
      </c>
      <c r="R69" s="66">
        <f t="shared" si="25"/>
        <v>6.8830573214162287</v>
      </c>
      <c r="S69" s="66">
        <f t="shared" si="25"/>
        <v>6.6642715632515319</v>
      </c>
      <c r="T69" s="66">
        <f t="shared" si="25"/>
        <v>6.4488745609359315</v>
      </c>
      <c r="U69" s="66">
        <f t="shared" si="25"/>
        <v>6.2399328335660824</v>
      </c>
      <c r="V69" s="66">
        <f t="shared" si="25"/>
        <v>6.0391849480272617</v>
      </c>
      <c r="W69" s="66">
        <f t="shared" si="25"/>
        <v>5.8468800588657341</v>
      </c>
      <c r="X69" s="66">
        <f t="shared" si="25"/>
        <v>5.6621585995435808</v>
      </c>
      <c r="Y69" s="66">
        <f t="shared" si="25"/>
        <v>5.4836210479667162</v>
      </c>
      <c r="Z69" s="66">
        <f t="shared" si="25"/>
        <v>5.3097910207383903</v>
      </c>
      <c r="AA69" s="66">
        <f t="shared" si="25"/>
        <v>5.1393744074483907</v>
      </c>
      <c r="AB69" s="66">
        <f t="shared" si="25"/>
        <v>4.9713498013600503</v>
      </c>
      <c r="AC69" s="66">
        <f t="shared" si="25"/>
        <v>4.8049620395132884</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187</v>
      </c>
      <c r="B71" s="76">
        <f>B62+B63+B64-B65+B66+B67+B68+B69+B70</f>
        <v>41.306728319231475</v>
      </c>
      <c r="C71" s="76">
        <f t="shared" ref="C71:AC71" si="27">C62+C63+C64-C65+C66+C67+C68+C69+C70</f>
        <v>40.147146309472809</v>
      </c>
      <c r="D71" s="76">
        <f t="shared" si="27"/>
        <v>38.98749323995326</v>
      </c>
      <c r="E71" s="76">
        <f t="shared" si="27"/>
        <v>37.827788457939825</v>
      </c>
      <c r="F71" s="76">
        <f t="shared" si="27"/>
        <v>36.668081280250604</v>
      </c>
      <c r="G71" s="76">
        <f t="shared" si="27"/>
        <v>35.508472920408423</v>
      </c>
      <c r="H71" s="76">
        <f t="shared" si="27"/>
        <v>34.349151046107401</v>
      </c>
      <c r="I71" s="76">
        <f t="shared" si="27"/>
        <v>33.190442670530729</v>
      </c>
      <c r="J71" s="76">
        <f t="shared" si="27"/>
        <v>33.013370764287004</v>
      </c>
      <c r="K71" s="76">
        <f t="shared" si="27"/>
        <v>32.836052405311342</v>
      </c>
      <c r="L71" s="76">
        <f t="shared" si="27"/>
        <v>32.658492884112235</v>
      </c>
      <c r="M71" s="76">
        <f t="shared" si="27"/>
        <v>32.480747847749022</v>
      </c>
      <c r="N71" s="76">
        <f t="shared" si="27"/>
        <v>32.302957101341626</v>
      </c>
      <c r="O71" s="76">
        <f t="shared" si="27"/>
        <v>32.125382965811347</v>
      </c>
      <c r="P71" s="76">
        <f t="shared" si="27"/>
        <v>31.948437042981627</v>
      </c>
      <c r="Q71" s="76">
        <f t="shared" si="27"/>
        <v>31.772665793477543</v>
      </c>
      <c r="R71" s="76">
        <f t="shared" si="27"/>
        <v>31.598663944708452</v>
      </c>
      <c r="S71" s="76">
        <f t="shared" si="27"/>
        <v>31.426916503831826</v>
      </c>
      <c r="T71" s="76">
        <f t="shared" si="27"/>
        <v>31.257632192702768</v>
      </c>
      <c r="U71" s="76">
        <f t="shared" si="27"/>
        <v>31.090667797283121</v>
      </c>
      <c r="V71" s="76">
        <f t="shared" si="27"/>
        <v>30.925594666214955</v>
      </c>
      <c r="W71" s="76">
        <f t="shared" si="27"/>
        <v>30.761858866397873</v>
      </c>
      <c r="X71" s="76">
        <f t="shared" si="27"/>
        <v>30.598936890232203</v>
      </c>
      <c r="Y71" s="76">
        <f t="shared" si="27"/>
        <v>30.436423707096431</v>
      </c>
      <c r="Z71" s="76">
        <f t="shared" si="27"/>
        <v>30.274050871484331</v>
      </c>
      <c r="AA71" s="76">
        <f t="shared" si="27"/>
        <v>30.111664057523246</v>
      </c>
      <c r="AB71" s="76">
        <f t="shared" si="27"/>
        <v>29.949188536321223</v>
      </c>
      <c r="AC71" s="76">
        <f t="shared" si="27"/>
        <v>29.786598289783679</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1.7783083301043669E-3</v>
      </c>
      <c r="C81" s="66">
        <f t="shared" ref="C81:AC81" si="36">C39*C40*C47/C47/(C44)</f>
        <v>1.6555520808608313E-3</v>
      </c>
      <c r="D81" s="66">
        <f t="shared" si="36"/>
        <v>1.5327671013699688E-3</v>
      </c>
      <c r="E81" s="66">
        <f t="shared" si="36"/>
        <v>1.4099463508718156E-3</v>
      </c>
      <c r="F81" s="66">
        <f t="shared" si="36"/>
        <v>1.2870821381867775E-3</v>
      </c>
      <c r="G81" s="66">
        <f t="shared" si="36"/>
        <v>1.1641669160917494E-3</v>
      </c>
      <c r="H81" s="66">
        <f t="shared" si="36"/>
        <v>1.0411948942263343E-3</v>
      </c>
      <c r="I81" s="66">
        <f t="shared" si="36"/>
        <v>9.1816500223741845E-4</v>
      </c>
      <c r="J81" s="66">
        <f t="shared" si="36"/>
        <v>8.9884031972232309E-4</v>
      </c>
      <c r="K81" s="66">
        <f t="shared" si="36"/>
        <v>8.7925245461979165E-4</v>
      </c>
      <c r="L81" s="66">
        <f t="shared" si="36"/>
        <v>8.5931740371677264E-4</v>
      </c>
      <c r="M81" s="66">
        <f t="shared" si="36"/>
        <v>8.3893771583125115E-4</v>
      </c>
      <c r="N81" s="66">
        <f t="shared" si="36"/>
        <v>8.1801304208325249E-4</v>
      </c>
      <c r="O81" s="66">
        <f t="shared" si="36"/>
        <v>7.9646285502540785E-4</v>
      </c>
      <c r="P81" s="66">
        <f t="shared" si="36"/>
        <v>7.7426358047261656E-4</v>
      </c>
      <c r="Q81" s="66">
        <f t="shared" si="36"/>
        <v>7.5149374206579401E-4</v>
      </c>
      <c r="R81" s="66">
        <f t="shared" si="36"/>
        <v>7.2836585411811946E-4</v>
      </c>
      <c r="S81" s="66">
        <f t="shared" si="36"/>
        <v>7.0521392203719919E-4</v>
      </c>
      <c r="T81" s="66">
        <f t="shared" si="36"/>
        <v>6.8242058845882875E-4</v>
      </c>
      <c r="U81" s="66">
        <f t="shared" si="36"/>
        <v>6.6031035275831561E-4</v>
      </c>
      <c r="V81" s="66">
        <f t="shared" si="36"/>
        <v>6.3906719026743505E-4</v>
      </c>
      <c r="W81" s="66">
        <f t="shared" si="36"/>
        <v>6.1871746654663853E-4</v>
      </c>
      <c r="X81" s="66">
        <f t="shared" si="36"/>
        <v>5.991702221739239E-4</v>
      </c>
      <c r="Y81" s="66">
        <f t="shared" si="36"/>
        <v>5.8027735957319753E-4</v>
      </c>
      <c r="Z81" s="66">
        <f t="shared" si="36"/>
        <v>5.6188264769718417E-4</v>
      </c>
      <c r="AA81" s="66">
        <f t="shared" si="36"/>
        <v>5.4384914364533239E-4</v>
      </c>
      <c r="AB81" s="66">
        <f t="shared" si="36"/>
        <v>5.260687620486826E-4</v>
      </c>
      <c r="AC81" s="66">
        <f t="shared" si="36"/>
        <v>5.0846159148288761E-4</v>
      </c>
    </row>
    <row r="82" spans="1:29" x14ac:dyDescent="0.25">
      <c r="A82" s="59" t="str">
        <f>A45</f>
        <v>Market failure (av. utilization)</v>
      </c>
      <c r="B82" s="66">
        <f t="shared" ref="B82:AC82" si="37">B71/B45-B71/B44</f>
        <v>2.0569799349757336E-3</v>
      </c>
      <c r="C82" s="66">
        <f t="shared" si="37"/>
        <v>1.9992354215734968E-3</v>
      </c>
      <c r="D82" s="66">
        <f t="shared" si="37"/>
        <v>1.9414873695588293E-3</v>
      </c>
      <c r="E82" s="66">
        <f t="shared" si="37"/>
        <v>1.8837367423810668E-3</v>
      </c>
      <c r="F82" s="66">
        <f t="shared" si="37"/>
        <v>1.825985995904169E-3</v>
      </c>
      <c r="G82" s="66">
        <f t="shared" si="37"/>
        <v>1.7682401703284609E-3</v>
      </c>
      <c r="H82" s="66">
        <f t="shared" si="37"/>
        <v>1.7105086110728858E-3</v>
      </c>
      <c r="I82" s="66">
        <f t="shared" si="37"/>
        <v>1.6528076026408071E-3</v>
      </c>
      <c r="J82" s="66">
        <f t="shared" si="37"/>
        <v>1.6439898295318761E-3</v>
      </c>
      <c r="K82" s="66">
        <f t="shared" si="37"/>
        <v>1.635159783644511E-3</v>
      </c>
      <c r="L82" s="66">
        <f t="shared" si="37"/>
        <v>1.6263177284338484E-3</v>
      </c>
      <c r="M82" s="66">
        <f t="shared" si="37"/>
        <v>1.6174664349952817E-3</v>
      </c>
      <c r="N82" s="66">
        <f t="shared" si="37"/>
        <v>1.6086128653017922E-3</v>
      </c>
      <c r="O82" s="66">
        <f t="shared" si="37"/>
        <v>1.5997700823310963E-3</v>
      </c>
      <c r="P82" s="66">
        <f t="shared" si="37"/>
        <v>1.5909585829060251E-3</v>
      </c>
      <c r="Q82" s="66">
        <f t="shared" si="37"/>
        <v>1.5822055795071282E-3</v>
      </c>
      <c r="R82" s="66">
        <f t="shared" si="37"/>
        <v>1.5735406881896511E-3</v>
      </c>
      <c r="S82" s="66">
        <f t="shared" si="37"/>
        <v>1.564988061192994E-3</v>
      </c>
      <c r="T82" s="66">
        <f t="shared" si="37"/>
        <v>1.5565580923848246E-3</v>
      </c>
      <c r="U82" s="66">
        <f t="shared" si="37"/>
        <v>1.5482436500358849E-3</v>
      </c>
      <c r="V82" s="66">
        <f t="shared" si="37"/>
        <v>1.5400233882957954E-3</v>
      </c>
      <c r="W82" s="66">
        <f t="shared" si="37"/>
        <v>1.5318697225719445E-3</v>
      </c>
      <c r="X82" s="66">
        <f t="shared" si="37"/>
        <v>1.5237565833915814E-3</v>
      </c>
      <c r="Y82" s="66">
        <f t="shared" si="37"/>
        <v>1.5156638011625981E-3</v>
      </c>
      <c r="Z82" s="66">
        <f t="shared" si="37"/>
        <v>1.5075780079170532E-3</v>
      </c>
      <c r="AA82" s="66">
        <f t="shared" si="37"/>
        <v>1.4994915185819226E-3</v>
      </c>
      <c r="AB82" s="66">
        <f t="shared" si="37"/>
        <v>1.491400611830499E-3</v>
      </c>
      <c r="AC82" s="66">
        <f t="shared" si="37"/>
        <v>1.4833039920215956E-3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505</v>
      </c>
      <c r="B85" s="77">
        <f>B74+B75+B76+B77+B78+B79+B80+B81+B82+B83+B84</f>
        <v>6.4142656974671992E-3</v>
      </c>
      <c r="C85" s="77">
        <f t="shared" ref="C85:AC85" si="40">C74+C75+C76+C77+C78+C79+C80+C81+C82+C83+C84</f>
        <v>6.2338140930852095E-3</v>
      </c>
      <c r="D85" s="77">
        <f t="shared" si="40"/>
        <v>6.0533514305393735E-3</v>
      </c>
      <c r="E85" s="77">
        <f t="shared" si="40"/>
        <v>5.8728807206088656E-3</v>
      </c>
      <c r="F85" s="77">
        <f t="shared" si="40"/>
        <v>5.692409637868559E-3</v>
      </c>
      <c r="G85" s="77">
        <f t="shared" si="40"/>
        <v>5.5119539329444717E-3</v>
      </c>
      <c r="H85" s="77">
        <f t="shared" si="40"/>
        <v>5.3315428102707983E-3</v>
      </c>
      <c r="I85" s="77">
        <f t="shared" si="40"/>
        <v>5.1512271589205533E-3</v>
      </c>
      <c r="J85" s="77">
        <f t="shared" si="40"/>
        <v>5.1236716179551434E-3</v>
      </c>
      <c r="K85" s="77">
        <f t="shared" si="40"/>
        <v>5.096077724557127E-3</v>
      </c>
      <c r="L85" s="77">
        <f t="shared" si="40"/>
        <v>5.0684463020238078E-3</v>
      </c>
      <c r="M85" s="77">
        <f t="shared" si="40"/>
        <v>5.0407860100282875E-3</v>
      </c>
      <c r="N85" s="77">
        <f t="shared" si="40"/>
        <v>5.0131186047361305E-3</v>
      </c>
      <c r="O85" s="77">
        <f t="shared" si="40"/>
        <v>4.985484907952707E-3</v>
      </c>
      <c r="P85" s="77">
        <f t="shared" si="40"/>
        <v>4.9579489722493585E-3</v>
      </c>
      <c r="Q85" s="77">
        <f t="shared" si="40"/>
        <v>4.9305958366278081E-3</v>
      </c>
      <c r="R85" s="77">
        <f t="shared" si="40"/>
        <v>4.9035180512606909E-3</v>
      </c>
      <c r="S85" s="77">
        <f t="shared" si="40"/>
        <v>4.8767910918961366E-3</v>
      </c>
      <c r="T85" s="77">
        <f t="shared" si="40"/>
        <v>4.8504474393706067E-3</v>
      </c>
      <c r="U85" s="77">
        <f t="shared" si="40"/>
        <v>4.8244648070301707E-3</v>
      </c>
      <c r="V85" s="77">
        <f t="shared" si="40"/>
        <v>4.798776489092391E-3</v>
      </c>
      <c r="W85" s="77">
        <f t="shared" si="40"/>
        <v>4.7732962837053576E-3</v>
      </c>
      <c r="X85" s="77">
        <f t="shared" si="40"/>
        <v>4.7479427237667217E-3</v>
      </c>
      <c r="Y85" s="77">
        <f t="shared" si="40"/>
        <v>4.7226527793011487E-3</v>
      </c>
      <c r="Z85" s="77">
        <f t="shared" si="40"/>
        <v>4.6973846754088215E-3</v>
      </c>
      <c r="AA85" s="77">
        <f t="shared" si="40"/>
        <v>4.672114396236539E-3</v>
      </c>
      <c r="AB85" s="77">
        <f t="shared" si="40"/>
        <v>4.6468303126383399E-3</v>
      </c>
      <c r="AC85" s="77">
        <f t="shared" si="40"/>
        <v>4.6215283757355171E-3</v>
      </c>
    </row>
    <row r="87" spans="1:29" x14ac:dyDescent="0.25">
      <c r="B87" s="40"/>
    </row>
    <row r="107" spans="1:2" s="3" customFormat="1" ht="21" x14ac:dyDescent="0.35">
      <c r="A107" s="2" t="str">
        <f>'Parameter Input'!A223</f>
        <v>Short-sea: Container</v>
      </c>
    </row>
    <row r="108" spans="1:2" s="3" customFormat="1" ht="21" x14ac:dyDescent="0.35">
      <c r="A108" s="2" t="s">
        <v>102</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Input'!$L$224</f>
        <v>15000000</v>
      </c>
      <c r="C117" s="42">
        <f>'Parameter Input'!$M$224</f>
        <v>15000000</v>
      </c>
      <c r="D117" s="1" t="s">
        <v>138</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151</v>
      </c>
      <c r="B118" s="60">
        <f>'Parameter Input'!$L$225</f>
        <v>-1500000</v>
      </c>
      <c r="C118" s="61">
        <f>'Parameter Input'!$M$225</f>
        <v>-750000</v>
      </c>
      <c r="D118" s="1" t="s">
        <v>138</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203</v>
      </c>
      <c r="B121" s="92">
        <f>'Parameter Input'!$L$231</f>
        <v>0.06</v>
      </c>
      <c r="C121" s="91">
        <f>'Parameter Input'!$M$231</f>
        <v>0.06</v>
      </c>
      <c r="D121" s="1" t="s">
        <v>180</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175</v>
      </c>
      <c r="B123" s="60">
        <f>'Parameter Input'!$L$227</f>
        <v>488235.29411764705</v>
      </c>
      <c r="C123" s="61">
        <f>'Parameter Input'!$M$227</f>
        <v>488235.29411764705</v>
      </c>
      <c r="D123" s="1" t="s">
        <v>161</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183</v>
      </c>
      <c r="B125" s="60">
        <f>'Parameter Input'!$L$228</f>
        <v>647</v>
      </c>
      <c r="C125" s="61">
        <f>'Parameter Input'!$M$228</f>
        <v>600</v>
      </c>
      <c r="D125" s="1" t="s">
        <v>184</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191</v>
      </c>
      <c r="B126" s="78">
        <f>'Parameter Input'!$L$229</f>
        <v>3.1399999999999997E-2</v>
      </c>
      <c r="C126" s="61">
        <f>'Parameter Input'!$M$229</f>
        <v>3.1399999999999997E-2</v>
      </c>
      <c r="D126" s="1" t="s">
        <v>94</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458</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164</v>
      </c>
      <c r="B128" s="60">
        <f>'Parameter Input'!$L$226</f>
        <v>25</v>
      </c>
      <c r="C128" s="61">
        <f>'Parameter Input'!$M$226</f>
        <v>25</v>
      </c>
      <c r="D128" s="1" t="s">
        <v>165</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197</v>
      </c>
      <c r="B132" s="45">
        <f>'Parameter Input'!$L$230</f>
        <v>0</v>
      </c>
      <c r="C132" s="46">
        <f>'Parameter Input'!$M$230</f>
        <v>0</v>
      </c>
      <c r="D132" s="1" t="s">
        <v>180</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2.5977890665149557E-2</v>
      </c>
      <c r="C146" s="62">
        <f>'Parameter Input'!K10</f>
        <v>2.418631199858752E-2</v>
      </c>
      <c r="D146" s="62">
        <f>'Parameter Input'!L10</f>
        <v>2.2394733332025477E-2</v>
      </c>
      <c r="E146" s="62">
        <f>'Parameter Input'!M10</f>
        <v>2.060315466546344E-2</v>
      </c>
      <c r="F146" s="62">
        <f>'Parameter Input'!N10</f>
        <v>1.8811575998901403E-2</v>
      </c>
      <c r="G146" s="62">
        <f>'Parameter Input'!O10</f>
        <v>1.7019997332339366E-2</v>
      </c>
      <c r="H146" s="62">
        <f>'Parameter Input'!P10</f>
        <v>1.5228418665777328E-2</v>
      </c>
      <c r="I146" s="62">
        <f>'Parameter Input'!Q10</f>
        <v>1.3436839999215288E-2</v>
      </c>
      <c r="J146" s="62">
        <f>'Parameter Input'!R10</f>
        <v>1.3164903951612121E-2</v>
      </c>
      <c r="K146" s="62">
        <f>'Parameter Input'!S10</f>
        <v>1.2892967904008954E-2</v>
      </c>
      <c r="L146" s="62">
        <f>'Parameter Input'!T10</f>
        <v>1.2621031856405788E-2</v>
      </c>
      <c r="M146" s="62">
        <f>'Parameter Input'!U10</f>
        <v>1.2349095808802621E-2</v>
      </c>
      <c r="N146" s="62">
        <f>'Parameter Input'!V10</f>
        <v>1.2077159761199453E-2</v>
      </c>
      <c r="O146" s="62">
        <f>'Parameter Input'!W10</f>
        <v>1.1805223713596286E-2</v>
      </c>
      <c r="P146" s="62">
        <f>'Parameter Input'!X10</f>
        <v>1.153328766599312E-2</v>
      </c>
      <c r="Q146" s="62">
        <f>'Parameter Input'!Y10</f>
        <v>1.1261351618389953E-2</v>
      </c>
      <c r="R146" s="62">
        <f>'Parameter Input'!Z10</f>
        <v>1.0989415570786787E-2</v>
      </c>
      <c r="S146" s="62">
        <f>'Parameter Input'!AA10</f>
        <v>1.0717479523183622E-2</v>
      </c>
      <c r="T146" s="62">
        <f>'Parameter Input'!AB10</f>
        <v>1.0445543475580455E-2</v>
      </c>
      <c r="U146" s="62">
        <f>'Parameter Input'!AC10</f>
        <v>1.0173607427977288E-2</v>
      </c>
      <c r="V146" s="62">
        <f>'Parameter Input'!AD10</f>
        <v>9.9016713803741219E-3</v>
      </c>
      <c r="W146" s="62">
        <f>'Parameter Input'!AE10</f>
        <v>9.6297353327709553E-3</v>
      </c>
      <c r="X146" s="62">
        <f>'Parameter Input'!AF10</f>
        <v>9.3577992851677887E-3</v>
      </c>
      <c r="Y146" s="62">
        <f>'Parameter Input'!AG10</f>
        <v>9.0858632375646221E-3</v>
      </c>
      <c r="Z146" s="62">
        <f>'Parameter Input'!AH10</f>
        <v>8.8139271899614555E-3</v>
      </c>
      <c r="AA146" s="62">
        <f>'Parameter Input'!AI10</f>
        <v>8.5419911423582889E-3</v>
      </c>
      <c r="AB146" s="62">
        <f>'Parameter Input'!AJ10</f>
        <v>8.2700550947551223E-3</v>
      </c>
      <c r="AC146" s="62">
        <f>'Parameter Input'!AK10</f>
        <v>7.9981190471519557E-3</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197</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2016601.6463383522</v>
      </c>
      <c r="C163" s="62">
        <f t="shared" ref="C163:AC163" si="56">C145*C146*C153</f>
        <v>1877396.0596961828</v>
      </c>
      <c r="D163" s="62">
        <f t="shared" si="56"/>
        <v>1738157.8929535446</v>
      </c>
      <c r="E163" s="62">
        <f t="shared" si="56"/>
        <v>1598879.1618886387</v>
      </c>
      <c r="F163" s="62">
        <f t="shared" si="56"/>
        <v>1459551.1447038057</v>
      </c>
      <c r="G163" s="62">
        <f t="shared" si="56"/>
        <v>1320165.2828480438</v>
      </c>
      <c r="H163" s="62">
        <f t="shared" si="56"/>
        <v>1180715.010052663</v>
      </c>
      <c r="I163" s="62">
        <f t="shared" si="56"/>
        <v>1041199.1125372326</v>
      </c>
      <c r="J163" s="62">
        <f t="shared" si="56"/>
        <v>1019284.9225651143</v>
      </c>
      <c r="K163" s="62">
        <f t="shared" si="56"/>
        <v>997072.28353884362</v>
      </c>
      <c r="L163" s="62">
        <f t="shared" si="56"/>
        <v>974465.93581482011</v>
      </c>
      <c r="M163" s="62">
        <f t="shared" si="56"/>
        <v>951355.36975263874</v>
      </c>
      <c r="N163" s="62">
        <f t="shared" si="56"/>
        <v>927626.7897224084</v>
      </c>
      <c r="O163" s="62">
        <f t="shared" si="56"/>
        <v>903188.87759881245</v>
      </c>
      <c r="P163" s="62">
        <f t="shared" si="56"/>
        <v>878014.90025594714</v>
      </c>
      <c r="Q163" s="62">
        <f t="shared" si="56"/>
        <v>852193.9035026104</v>
      </c>
      <c r="R163" s="62">
        <f t="shared" si="56"/>
        <v>825966.87856994744</v>
      </c>
      <c r="S163" s="62">
        <f t="shared" si="56"/>
        <v>799712.58759018383</v>
      </c>
      <c r="T163" s="62">
        <f t="shared" si="56"/>
        <v>773864.94731231174</v>
      </c>
      <c r="U163" s="62">
        <f t="shared" si="56"/>
        <v>748791.94002792984</v>
      </c>
      <c r="V163" s="62">
        <f t="shared" si="56"/>
        <v>724702.19376327144</v>
      </c>
      <c r="W163" s="62">
        <f t="shared" si="56"/>
        <v>701625.60706388811</v>
      </c>
      <c r="X163" s="62">
        <f t="shared" si="56"/>
        <v>679459.03194522974</v>
      </c>
      <c r="Y163" s="62">
        <f t="shared" si="56"/>
        <v>658034.5257560059</v>
      </c>
      <c r="Z163" s="62">
        <f t="shared" si="56"/>
        <v>637174.92248860688</v>
      </c>
      <c r="AA163" s="62">
        <f t="shared" si="56"/>
        <v>616724.92889380688</v>
      </c>
      <c r="AB163" s="62">
        <f t="shared" si="56"/>
        <v>596561.97616320604</v>
      </c>
      <c r="AC163" s="62">
        <f t="shared" si="56"/>
        <v>576595.44474159461</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504</v>
      </c>
      <c r="B165" s="64">
        <f>B156+B157+B158+B159+B160+B161+B162+B163+B164</f>
        <v>5323924.7043064283</v>
      </c>
      <c r="C165" s="64">
        <f t="shared" ref="C165:AC165" si="58">C156+C157+C158+C159+C160+C161+C162+C163+C164</f>
        <v>5184774.8631353881</v>
      </c>
      <c r="D165" s="64">
        <f t="shared" si="58"/>
        <v>5045616.4947930425</v>
      </c>
      <c r="E165" s="64">
        <f t="shared" si="58"/>
        <v>4906451.9209514298</v>
      </c>
      <c r="F165" s="64">
        <f t="shared" si="58"/>
        <v>4767287.0596287241</v>
      </c>
      <c r="G165" s="64">
        <f t="shared" si="58"/>
        <v>4628134.0564476615</v>
      </c>
      <c r="H165" s="64">
        <f t="shared" si="58"/>
        <v>4489015.4315315392</v>
      </c>
      <c r="I165" s="64">
        <f t="shared" si="58"/>
        <v>4349970.4264623383</v>
      </c>
      <c r="J165" s="64">
        <f t="shared" si="58"/>
        <v>4328721.7977130916</v>
      </c>
      <c r="K165" s="64">
        <f t="shared" si="58"/>
        <v>4307443.5946360128</v>
      </c>
      <c r="L165" s="64">
        <f t="shared" si="58"/>
        <v>4286136.4520921195</v>
      </c>
      <c r="M165" s="64">
        <f t="shared" si="58"/>
        <v>4264807.0477285348</v>
      </c>
      <c r="N165" s="64">
        <f t="shared" si="58"/>
        <v>4243472.1581596462</v>
      </c>
      <c r="O165" s="64">
        <f t="shared" si="58"/>
        <v>4222163.2618960133</v>
      </c>
      <c r="P165" s="64">
        <f t="shared" si="58"/>
        <v>4200929.7511564465</v>
      </c>
      <c r="Q165" s="64">
        <f t="shared" si="58"/>
        <v>4179837.2012159564</v>
      </c>
      <c r="R165" s="64">
        <f t="shared" si="58"/>
        <v>4158956.9793636659</v>
      </c>
      <c r="S165" s="64">
        <f t="shared" si="58"/>
        <v>4138347.2864584709</v>
      </c>
      <c r="T165" s="64">
        <f t="shared" si="58"/>
        <v>4118033.1691229832</v>
      </c>
      <c r="U165" s="64">
        <f t="shared" si="58"/>
        <v>4097997.441672626</v>
      </c>
      <c r="V165" s="64">
        <f t="shared" si="58"/>
        <v>4078188.6659444454</v>
      </c>
      <c r="W165" s="64">
        <f t="shared" si="58"/>
        <v>4058540.3699663957</v>
      </c>
      <c r="X165" s="64">
        <f t="shared" si="58"/>
        <v>4038989.732826516</v>
      </c>
      <c r="Y165" s="64">
        <f t="shared" si="58"/>
        <v>4019488.1508502234</v>
      </c>
      <c r="Z165" s="64">
        <f t="shared" si="58"/>
        <v>4000003.4105767705</v>
      </c>
      <c r="AA165" s="64">
        <f t="shared" si="58"/>
        <v>3980516.9929014402</v>
      </c>
      <c r="AB165" s="64">
        <f t="shared" si="58"/>
        <v>3961019.9303571982</v>
      </c>
      <c r="AC165" s="64">
        <f t="shared" si="58"/>
        <v>3941509.1007726928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16.805013719486269</v>
      </c>
      <c r="C175" s="66">
        <f t="shared" ref="C175:AC175" si="67">C145*C146*C153/C153</f>
        <v>15.644967164134856</v>
      </c>
      <c r="D175" s="66">
        <f t="shared" si="67"/>
        <v>14.484649107946206</v>
      </c>
      <c r="E175" s="66">
        <f t="shared" si="67"/>
        <v>13.323993015738656</v>
      </c>
      <c r="F175" s="66">
        <f t="shared" si="67"/>
        <v>12.162926205865046</v>
      </c>
      <c r="G175" s="66">
        <f t="shared" si="67"/>
        <v>11.001377357067032</v>
      </c>
      <c r="H175" s="66">
        <f t="shared" si="67"/>
        <v>9.8392917504388588</v>
      </c>
      <c r="I175" s="66">
        <f t="shared" si="67"/>
        <v>8.6766592711436044</v>
      </c>
      <c r="J175" s="66">
        <f t="shared" si="67"/>
        <v>8.4940410213759527</v>
      </c>
      <c r="K175" s="66">
        <f t="shared" si="67"/>
        <v>8.3089356961570306</v>
      </c>
      <c r="L175" s="66">
        <f t="shared" si="67"/>
        <v>8.1205494651235011</v>
      </c>
      <c r="M175" s="66">
        <f t="shared" si="67"/>
        <v>7.9279614146053232</v>
      </c>
      <c r="N175" s="66">
        <f t="shared" si="67"/>
        <v>7.7302232476867365</v>
      </c>
      <c r="O175" s="66">
        <f t="shared" si="67"/>
        <v>7.5265739799901041</v>
      </c>
      <c r="P175" s="66">
        <f t="shared" si="67"/>
        <v>7.3167908354662261</v>
      </c>
      <c r="Q175" s="66">
        <f t="shared" si="67"/>
        <v>7.1016158625217534</v>
      </c>
      <c r="R175" s="66">
        <f t="shared" si="67"/>
        <v>6.8830573214162287</v>
      </c>
      <c r="S175" s="66">
        <f t="shared" si="67"/>
        <v>6.6642715632515319</v>
      </c>
      <c r="T175" s="66">
        <f t="shared" si="67"/>
        <v>6.4488745609359315</v>
      </c>
      <c r="U175" s="66">
        <f t="shared" si="67"/>
        <v>6.2399328335660824</v>
      </c>
      <c r="V175" s="66">
        <f t="shared" si="67"/>
        <v>6.0391849480272617</v>
      </c>
      <c r="W175" s="66">
        <f t="shared" si="67"/>
        <v>5.8468800588657341</v>
      </c>
      <c r="X175" s="66">
        <f t="shared" si="67"/>
        <v>5.6621585995435808</v>
      </c>
      <c r="Y175" s="66">
        <f t="shared" si="67"/>
        <v>5.4836210479667162</v>
      </c>
      <c r="Z175" s="66">
        <f t="shared" si="67"/>
        <v>5.3097910207383903</v>
      </c>
      <c r="AA175" s="66">
        <f t="shared" si="67"/>
        <v>5.1393744074483907</v>
      </c>
      <c r="AB175" s="66">
        <f t="shared" si="67"/>
        <v>4.9713498013600503</v>
      </c>
      <c r="AC175" s="66">
        <f t="shared" si="67"/>
        <v>4.8049620395132884</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187</v>
      </c>
      <c r="B177" s="76">
        <f>B168+B169+B170-B171+B172+B173+B174+B175+B176</f>
        <v>45.017928520989187</v>
      </c>
      <c r="C177" s="76">
        <f t="shared" ref="C177:AC177" si="69">C168+C169+C170-C171+C172+C173+C174+C175+C176</f>
        <v>43.858346511230522</v>
      </c>
      <c r="D177" s="76">
        <f t="shared" si="69"/>
        <v>42.698693441710979</v>
      </c>
      <c r="E177" s="76">
        <f t="shared" si="69"/>
        <v>41.53898865969753</v>
      </c>
      <c r="F177" s="76">
        <f t="shared" si="69"/>
        <v>40.379281482008317</v>
      </c>
      <c r="G177" s="76">
        <f t="shared" si="69"/>
        <v>39.219673122166128</v>
      </c>
      <c r="H177" s="76">
        <f t="shared" si="69"/>
        <v>38.060351247865107</v>
      </c>
      <c r="I177" s="76">
        <f t="shared" si="69"/>
        <v>36.901642872288434</v>
      </c>
      <c r="J177" s="76">
        <f t="shared" si="69"/>
        <v>36.724570966044709</v>
      </c>
      <c r="K177" s="76">
        <f t="shared" si="69"/>
        <v>36.547252607069055</v>
      </c>
      <c r="L177" s="76">
        <f t="shared" si="69"/>
        <v>36.369693085869947</v>
      </c>
      <c r="M177" s="76">
        <f t="shared" si="69"/>
        <v>36.191948049506742</v>
      </c>
      <c r="N177" s="76">
        <f t="shared" si="69"/>
        <v>36.014157303099331</v>
      </c>
      <c r="O177" s="76">
        <f t="shared" si="69"/>
        <v>35.83658316756906</v>
      </c>
      <c r="P177" s="76">
        <f t="shared" si="69"/>
        <v>35.659637244739336</v>
      </c>
      <c r="Q177" s="76">
        <f t="shared" si="69"/>
        <v>35.483865995235249</v>
      </c>
      <c r="R177" s="76">
        <f t="shared" si="69"/>
        <v>35.309864146466168</v>
      </c>
      <c r="S177" s="76">
        <f t="shared" si="69"/>
        <v>35.138116705589539</v>
      </c>
      <c r="T177" s="76">
        <f t="shared" si="69"/>
        <v>34.968832394460478</v>
      </c>
      <c r="U177" s="76">
        <f t="shared" si="69"/>
        <v>34.801867999040837</v>
      </c>
      <c r="V177" s="76">
        <f t="shared" si="69"/>
        <v>34.636794867972661</v>
      </c>
      <c r="W177" s="76">
        <f t="shared" si="69"/>
        <v>34.473059068155585</v>
      </c>
      <c r="X177" s="76">
        <f t="shared" si="69"/>
        <v>34.310137091989915</v>
      </c>
      <c r="Y177" s="76">
        <f t="shared" si="69"/>
        <v>34.147623908854143</v>
      </c>
      <c r="Z177" s="76">
        <f t="shared" si="69"/>
        <v>33.98525107324204</v>
      </c>
      <c r="AA177" s="76">
        <f t="shared" si="69"/>
        <v>33.822864259280955</v>
      </c>
      <c r="AB177" s="76">
        <f t="shared" si="69"/>
        <v>33.660388738078936</v>
      </c>
      <c r="AC177" s="76">
        <f t="shared" si="69"/>
        <v>33.497798491541388</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1.7783083301043669E-3</v>
      </c>
      <c r="C187" s="66">
        <f t="shared" ref="C187:AC187" si="78">C145*C146*C153/C153/(C150)</f>
        <v>1.6555520808608313E-3</v>
      </c>
      <c r="D187" s="66">
        <f t="shared" si="78"/>
        <v>1.5327671013699688E-3</v>
      </c>
      <c r="E187" s="66">
        <f t="shared" si="78"/>
        <v>1.4099463508718156E-3</v>
      </c>
      <c r="F187" s="66">
        <f t="shared" si="78"/>
        <v>1.2870821381867775E-3</v>
      </c>
      <c r="G187" s="66">
        <f t="shared" si="78"/>
        <v>1.1641669160917494E-3</v>
      </c>
      <c r="H187" s="66">
        <f t="shared" si="78"/>
        <v>1.0411948942263343E-3</v>
      </c>
      <c r="I187" s="66">
        <f t="shared" si="78"/>
        <v>9.1816500223741845E-4</v>
      </c>
      <c r="J187" s="66">
        <f t="shared" si="78"/>
        <v>8.9884031972232309E-4</v>
      </c>
      <c r="K187" s="66">
        <f t="shared" si="78"/>
        <v>8.7925245461979165E-4</v>
      </c>
      <c r="L187" s="66">
        <f t="shared" si="78"/>
        <v>8.5931740371677264E-4</v>
      </c>
      <c r="M187" s="66">
        <f t="shared" si="78"/>
        <v>8.3893771583125115E-4</v>
      </c>
      <c r="N187" s="66">
        <f t="shared" si="78"/>
        <v>8.1801304208325249E-4</v>
      </c>
      <c r="O187" s="66">
        <f t="shared" si="78"/>
        <v>7.9646285502540785E-4</v>
      </c>
      <c r="P187" s="66">
        <f t="shared" si="78"/>
        <v>7.7426358047261656E-4</v>
      </c>
      <c r="Q187" s="66">
        <f t="shared" si="78"/>
        <v>7.5149374206579401E-4</v>
      </c>
      <c r="R187" s="66">
        <f t="shared" si="78"/>
        <v>7.2836585411811946E-4</v>
      </c>
      <c r="S187" s="66">
        <f t="shared" si="78"/>
        <v>7.0521392203719919E-4</v>
      </c>
      <c r="T187" s="66">
        <f t="shared" si="78"/>
        <v>6.8242058845882875E-4</v>
      </c>
      <c r="U187" s="66">
        <f t="shared" si="78"/>
        <v>6.6031035275831561E-4</v>
      </c>
      <c r="V187" s="66">
        <f t="shared" si="78"/>
        <v>6.3906719026743505E-4</v>
      </c>
      <c r="W187" s="66">
        <f t="shared" si="78"/>
        <v>6.1871746654663853E-4</v>
      </c>
      <c r="X187" s="66">
        <f t="shared" si="78"/>
        <v>5.991702221739239E-4</v>
      </c>
      <c r="Y187" s="66">
        <f t="shared" si="78"/>
        <v>5.8027735957319753E-4</v>
      </c>
      <c r="Z187" s="66">
        <f t="shared" si="78"/>
        <v>5.6188264769718417E-4</v>
      </c>
      <c r="AA187" s="66">
        <f t="shared" si="78"/>
        <v>5.4384914364533239E-4</v>
      </c>
      <c r="AB187" s="66">
        <f t="shared" si="78"/>
        <v>5.260687620486826E-4</v>
      </c>
      <c r="AC187" s="66">
        <f t="shared" si="78"/>
        <v>5.0846159148288761E-4</v>
      </c>
    </row>
    <row r="188" spans="1:29" x14ac:dyDescent="0.25">
      <c r="A188" s="59" t="str">
        <f>A151</f>
        <v>Market failure (av. utilization)</v>
      </c>
      <c r="B188" s="69">
        <f t="shared" ref="B188:AC188" si="79">B177/B151-B177/B150</f>
        <v>3.5451549468971432E-3</v>
      </c>
      <c r="C188" s="66">
        <f t="shared" si="79"/>
        <v>3.4538380419819785E-3</v>
      </c>
      <c r="D188" s="66">
        <f t="shared" si="79"/>
        <v>3.3625155411215737E-3</v>
      </c>
      <c r="E188" s="66">
        <f t="shared" si="79"/>
        <v>3.2711889679102272E-3</v>
      </c>
      <c r="F188" s="66">
        <f t="shared" si="79"/>
        <v>3.1798622060397836E-3</v>
      </c>
      <c r="G188" s="66">
        <f t="shared" si="79"/>
        <v>3.0885432260595947E-3</v>
      </c>
      <c r="H188" s="66">
        <f t="shared" si="79"/>
        <v>2.9972468067717079E-3</v>
      </c>
      <c r="I188" s="66">
        <f t="shared" si="79"/>
        <v>2.9059987004140023E-3</v>
      </c>
      <c r="J188" s="66">
        <f t="shared" si="79"/>
        <v>2.8920543150324366E-3</v>
      </c>
      <c r="K188" s="66">
        <f t="shared" si="79"/>
        <v>2.8780905215361383E-3</v>
      </c>
      <c r="L188" s="66">
        <f t="shared" si="79"/>
        <v>2.864107736551835E-3</v>
      </c>
      <c r="M188" s="66">
        <f t="shared" si="79"/>
        <v>2.8501103422768938E-3</v>
      </c>
      <c r="N188" s="66">
        <f t="shared" si="79"/>
        <v>2.8361093483430014E-3</v>
      </c>
      <c r="O188" s="66">
        <f t="shared" si="79"/>
        <v>2.8221254124823673E-3</v>
      </c>
      <c r="P188" s="66">
        <f t="shared" si="79"/>
        <v>2.8081909482752768E-3</v>
      </c>
      <c r="Q188" s="66">
        <f t="shared" si="79"/>
        <v>2.794348989411906E-3</v>
      </c>
      <c r="R188" s="66">
        <f t="shared" si="79"/>
        <v>2.780646370584268E-3</v>
      </c>
      <c r="S188" s="66">
        <f t="shared" si="79"/>
        <v>2.7671212860314143E-3</v>
      </c>
      <c r="T188" s="66">
        <f t="shared" si="79"/>
        <v>2.7537901725673323E-3</v>
      </c>
      <c r="U188" s="66">
        <f t="shared" si="79"/>
        <v>2.7406417521085441E-3</v>
      </c>
      <c r="V188" s="66">
        <f t="shared" si="79"/>
        <v>2.7276422684265416E-3</v>
      </c>
      <c r="W188" s="66">
        <f t="shared" si="79"/>
        <v>2.7147480993748706E-3</v>
      </c>
      <c r="X188" s="66">
        <f t="shared" si="79"/>
        <v>2.7019180188105757E-3</v>
      </c>
      <c r="Y188" s="66">
        <f t="shared" si="79"/>
        <v>2.689120130634509E-3</v>
      </c>
      <c r="Z188" s="66">
        <f t="shared" si="79"/>
        <v>2.6763332948043445E-3</v>
      </c>
      <c r="AA188" s="66">
        <f t="shared" si="79"/>
        <v>2.6635453581813481E-3</v>
      </c>
      <c r="AB188" s="66">
        <f t="shared" si="79"/>
        <v>2.6507504358767712E-3</v>
      </c>
      <c r="AC188" s="66">
        <f t="shared" si="79"/>
        <v>2.6379464789696673E-3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505</v>
      </c>
      <c r="B191" s="76">
        <f>B180+B181+B182+B183+B184+B185+B186+B187+B188+B189+B190</f>
        <v>8.2399739101303247E-3</v>
      </c>
      <c r="C191" s="67">
        <f t="shared" ref="C191:AC191" si="82">C180+C181+C182+C183+C184+C185+C186+C187+C188+C189+C190</f>
        <v>8.0259499142354071E-3</v>
      </c>
      <c r="D191" s="67">
        <f t="shared" si="82"/>
        <v>7.8119128028438329E-3</v>
      </c>
      <c r="E191" s="67">
        <f t="shared" si="82"/>
        <v>7.5978661468797419E-3</v>
      </c>
      <c r="F191" s="67">
        <f t="shared" si="82"/>
        <v>7.3838190487458891E-3</v>
      </c>
      <c r="G191" s="67">
        <f t="shared" si="82"/>
        <v>7.1697901894173209E-3</v>
      </c>
      <c r="H191" s="67">
        <f t="shared" si="82"/>
        <v>6.9558142067113358E-3</v>
      </c>
      <c r="I191" s="67">
        <f t="shared" si="82"/>
        <v>6.741951457435464E-3</v>
      </c>
      <c r="J191" s="67">
        <f t="shared" si="82"/>
        <v>6.7092693041974193E-3</v>
      </c>
      <c r="K191" s="67">
        <f t="shared" si="82"/>
        <v>6.6765416631904698E-3</v>
      </c>
      <c r="L191" s="67">
        <f t="shared" si="82"/>
        <v>6.6437695108835099E-3</v>
      </c>
      <c r="M191" s="67">
        <f t="shared" si="82"/>
        <v>6.6109631180516146E-3</v>
      </c>
      <c r="N191" s="67">
        <f t="shared" si="82"/>
        <v>6.5781482885190557E-3</v>
      </c>
      <c r="O191" s="67">
        <f t="shared" si="82"/>
        <v>6.5453734388456943E-3</v>
      </c>
      <c r="P191" s="67">
        <f t="shared" si="82"/>
        <v>6.5127145383603261E-3</v>
      </c>
      <c r="Q191" s="67">
        <f t="shared" si="82"/>
        <v>6.4802724472743014E-3</v>
      </c>
      <c r="R191" s="67">
        <f t="shared" si="82"/>
        <v>6.4481569343970242E-3</v>
      </c>
      <c r="S191" s="67">
        <f t="shared" si="82"/>
        <v>6.4164575174762732E-3</v>
      </c>
      <c r="T191" s="67">
        <f t="shared" si="82"/>
        <v>6.3852127202948302E-3</v>
      </c>
      <c r="U191" s="67">
        <f t="shared" si="82"/>
        <v>6.3543961098445449E-3</v>
      </c>
      <c r="V191" s="67">
        <f t="shared" si="82"/>
        <v>6.3239285699648526E-3</v>
      </c>
      <c r="W191" s="67">
        <f t="shared" si="82"/>
        <v>6.2937078612499992E-3</v>
      </c>
      <c r="X191" s="67">
        <f t="shared" si="82"/>
        <v>6.2636373599274323E-3</v>
      </c>
      <c r="Y191" s="67">
        <f t="shared" si="82"/>
        <v>6.233642309514776E-3</v>
      </c>
      <c r="Z191" s="67">
        <f t="shared" si="82"/>
        <v>6.2036731630378279E-3</v>
      </c>
      <c r="AA191" s="67">
        <f t="shared" si="82"/>
        <v>6.1737014365776804E-3</v>
      </c>
      <c r="AB191" s="67">
        <f t="shared" si="82"/>
        <v>6.1437133374263285E-3</v>
      </c>
      <c r="AC191" s="67">
        <f t="shared" si="82"/>
        <v>6.1137040634253043E-3</v>
      </c>
    </row>
    <row r="193" spans="2:2" x14ac:dyDescent="0.25">
      <c r="B193" s="40"/>
    </row>
    <row r="215" spans="1:44" s="3" customFormat="1" ht="21" x14ac:dyDescent="0.35">
      <c r="A215" s="2" t="str">
        <f>'Parameter Input'!A235</f>
        <v>Short-sea: Break bulk</v>
      </c>
    </row>
    <row r="216" spans="1:44" s="3" customFormat="1" ht="21" x14ac:dyDescent="0.35">
      <c r="A216" s="2" t="s">
        <v>102</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Input'!$L$224</f>
        <v>15000000</v>
      </c>
      <c r="C225" s="42">
        <f>'Parameter Input'!$M$224</f>
        <v>15000000</v>
      </c>
      <c r="D225" s="1" t="s">
        <v>138</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151</v>
      </c>
      <c r="B226" s="60">
        <f>'Parameter Input'!$L$225</f>
        <v>-1500000</v>
      </c>
      <c r="C226" s="61">
        <f>'Parameter Input'!$M$225</f>
        <v>-750000</v>
      </c>
      <c r="D226" s="1" t="s">
        <v>138</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203</v>
      </c>
      <c r="B229" s="92">
        <f>'Parameter Input'!$L$231</f>
        <v>0.06</v>
      </c>
      <c r="C229" s="91">
        <f>'Parameter Input'!$M$231</f>
        <v>0.06</v>
      </c>
      <c r="D229" s="1" t="s">
        <v>180</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175</v>
      </c>
      <c r="B231" s="60">
        <f>'Parameter Input'!$L$227</f>
        <v>488235.29411764705</v>
      </c>
      <c r="C231" s="61">
        <f>'Parameter Input'!$M$227</f>
        <v>488235.29411764705</v>
      </c>
      <c r="D231" s="1" t="s">
        <v>161</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183</v>
      </c>
      <c r="B233" s="60">
        <f>'Parameter Input'!$L$228</f>
        <v>647</v>
      </c>
      <c r="C233" s="61">
        <f>'Parameter Input'!$M$228</f>
        <v>600</v>
      </c>
      <c r="D233" s="1" t="s">
        <v>184</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191</v>
      </c>
      <c r="B234" s="78">
        <f>'Parameter Input'!$L$229</f>
        <v>3.1399999999999997E-2</v>
      </c>
      <c r="C234" s="61">
        <f>'Parameter Input'!$M$229</f>
        <v>3.1399999999999997E-2</v>
      </c>
      <c r="D234" s="1" t="s">
        <v>94</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458</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164</v>
      </c>
      <c r="B236" s="60">
        <f>'Parameter Input'!$L$226</f>
        <v>25</v>
      </c>
      <c r="C236" s="61">
        <f>'Parameter Input'!$M$226</f>
        <v>25</v>
      </c>
      <c r="D236" s="1" t="s">
        <v>165</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197</v>
      </c>
      <c r="B240" s="45">
        <f>'Parameter Input'!$L$230</f>
        <v>0</v>
      </c>
      <c r="C240" s="46">
        <f>'Parameter Input'!$M$230</f>
        <v>0</v>
      </c>
      <c r="D240" s="1" t="s">
        <v>180</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2.5977890665149557E-2</v>
      </c>
      <c r="C254" s="62">
        <f>'Parameter Input'!K10</f>
        <v>2.418631199858752E-2</v>
      </c>
      <c r="D254" s="62">
        <f>'Parameter Input'!L10</f>
        <v>2.2394733332025477E-2</v>
      </c>
      <c r="E254" s="62">
        <f>'Parameter Input'!M10</f>
        <v>2.060315466546344E-2</v>
      </c>
      <c r="F254" s="62">
        <f>'Parameter Input'!N10</f>
        <v>1.8811575998901403E-2</v>
      </c>
      <c r="G254" s="62">
        <f>'Parameter Input'!O10</f>
        <v>1.7019997332339366E-2</v>
      </c>
      <c r="H254" s="62">
        <f>'Parameter Input'!P10</f>
        <v>1.5228418665777328E-2</v>
      </c>
      <c r="I254" s="62">
        <f>'Parameter Input'!Q10</f>
        <v>1.3436839999215288E-2</v>
      </c>
      <c r="J254" s="62">
        <f>'Parameter Input'!R10</f>
        <v>1.3164903951612121E-2</v>
      </c>
      <c r="K254" s="62">
        <f>'Parameter Input'!S10</f>
        <v>1.2892967904008954E-2</v>
      </c>
      <c r="L254" s="62">
        <f>'Parameter Input'!T10</f>
        <v>1.2621031856405788E-2</v>
      </c>
      <c r="M254" s="62">
        <f>'Parameter Input'!U10</f>
        <v>1.2349095808802621E-2</v>
      </c>
      <c r="N254" s="62">
        <f>'Parameter Input'!V10</f>
        <v>1.2077159761199453E-2</v>
      </c>
      <c r="O254" s="62">
        <f>'Parameter Input'!W10</f>
        <v>1.1805223713596286E-2</v>
      </c>
      <c r="P254" s="62">
        <f>'Parameter Input'!X10</f>
        <v>1.153328766599312E-2</v>
      </c>
      <c r="Q254" s="62">
        <f>'Parameter Input'!Y10</f>
        <v>1.1261351618389953E-2</v>
      </c>
      <c r="R254" s="62">
        <f>'Parameter Input'!Z10</f>
        <v>1.0989415570786787E-2</v>
      </c>
      <c r="S254" s="62">
        <f>'Parameter Input'!AA10</f>
        <v>1.0717479523183622E-2</v>
      </c>
      <c r="T254" s="62">
        <f>'Parameter Input'!AB10</f>
        <v>1.0445543475580455E-2</v>
      </c>
      <c r="U254" s="62">
        <f>'Parameter Input'!AC10</f>
        <v>1.0173607427977288E-2</v>
      </c>
      <c r="V254" s="62">
        <f>'Parameter Input'!AD10</f>
        <v>9.9016713803741219E-3</v>
      </c>
      <c r="W254" s="62">
        <f>'Parameter Input'!AE10</f>
        <v>9.6297353327709553E-3</v>
      </c>
      <c r="X254" s="62">
        <f>'Parameter Input'!AF10</f>
        <v>9.3577992851677887E-3</v>
      </c>
      <c r="Y254" s="62">
        <f>'Parameter Input'!AG10</f>
        <v>9.0858632375646221E-3</v>
      </c>
      <c r="Z254" s="62">
        <f>'Parameter Input'!AH10</f>
        <v>8.8139271899614555E-3</v>
      </c>
      <c r="AA254" s="62">
        <f>'Parameter Input'!AI10</f>
        <v>8.5419911423582889E-3</v>
      </c>
      <c r="AB254" s="62">
        <f>'Parameter Input'!AJ10</f>
        <v>8.2700550947551223E-3</v>
      </c>
      <c r="AC254" s="62">
        <f>'Parameter Input'!AK10</f>
        <v>7.9981190471519557E-3</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197</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2016601.6463383522</v>
      </c>
      <c r="C271" s="62">
        <f t="shared" ref="C271:AC271" si="98">C253*C254*C261</f>
        <v>1877396.0596961828</v>
      </c>
      <c r="D271" s="62">
        <f t="shared" si="98"/>
        <v>1738157.8929535446</v>
      </c>
      <c r="E271" s="62">
        <f t="shared" si="98"/>
        <v>1598879.1618886387</v>
      </c>
      <c r="F271" s="62">
        <f t="shared" si="98"/>
        <v>1459551.1447038057</v>
      </c>
      <c r="G271" s="62">
        <f t="shared" si="98"/>
        <v>1320165.2828480438</v>
      </c>
      <c r="H271" s="62">
        <f t="shared" si="98"/>
        <v>1180715.010052663</v>
      </c>
      <c r="I271" s="62">
        <f t="shared" si="98"/>
        <v>1041199.1125372326</v>
      </c>
      <c r="J271" s="62">
        <f t="shared" si="98"/>
        <v>1019284.9225651143</v>
      </c>
      <c r="K271" s="62">
        <f t="shared" si="98"/>
        <v>997072.28353884362</v>
      </c>
      <c r="L271" s="62">
        <f t="shared" si="98"/>
        <v>974465.93581482011</v>
      </c>
      <c r="M271" s="62">
        <f t="shared" si="98"/>
        <v>951355.36975263874</v>
      </c>
      <c r="N271" s="62">
        <f t="shared" si="98"/>
        <v>927626.7897224084</v>
      </c>
      <c r="O271" s="62">
        <f t="shared" si="98"/>
        <v>903188.87759881245</v>
      </c>
      <c r="P271" s="62">
        <f t="shared" si="98"/>
        <v>878014.90025594714</v>
      </c>
      <c r="Q271" s="62">
        <f t="shared" si="98"/>
        <v>852193.9035026104</v>
      </c>
      <c r="R271" s="62">
        <f t="shared" si="98"/>
        <v>825966.87856994744</v>
      </c>
      <c r="S271" s="62">
        <f t="shared" si="98"/>
        <v>799712.58759018383</v>
      </c>
      <c r="T271" s="62">
        <f t="shared" si="98"/>
        <v>773864.94731231174</v>
      </c>
      <c r="U271" s="62">
        <f t="shared" si="98"/>
        <v>748791.94002792984</v>
      </c>
      <c r="V271" s="62">
        <f t="shared" si="98"/>
        <v>724702.19376327144</v>
      </c>
      <c r="W271" s="62">
        <f t="shared" si="98"/>
        <v>701625.60706388811</v>
      </c>
      <c r="X271" s="62">
        <f t="shared" si="98"/>
        <v>679459.03194522974</v>
      </c>
      <c r="Y271" s="62">
        <f t="shared" si="98"/>
        <v>658034.5257560059</v>
      </c>
      <c r="Z271" s="62">
        <f t="shared" si="98"/>
        <v>637174.92248860688</v>
      </c>
      <c r="AA271" s="62">
        <f t="shared" si="98"/>
        <v>616724.92889380688</v>
      </c>
      <c r="AB271" s="62">
        <f t="shared" si="98"/>
        <v>596561.97616320604</v>
      </c>
      <c r="AC271" s="62">
        <f t="shared" si="98"/>
        <v>576595.44474159461</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504</v>
      </c>
      <c r="B273" s="64">
        <f>B264+B265+B266+B267+B268+B269+B270+B271+B272</f>
        <v>4937202.5140868565</v>
      </c>
      <c r="C273" s="64">
        <f t="shared" ref="C273:AC273" si="100">C264+C265+C266+C267+C268+C269+C270+C271+C272</f>
        <v>4798052.6729158163</v>
      </c>
      <c r="D273" s="64">
        <f t="shared" si="100"/>
        <v>4658894.3045734707</v>
      </c>
      <c r="E273" s="64">
        <f t="shared" si="100"/>
        <v>4519729.7307318579</v>
      </c>
      <c r="F273" s="64">
        <f t="shared" si="100"/>
        <v>4380564.8694091523</v>
      </c>
      <c r="G273" s="64">
        <f t="shared" si="100"/>
        <v>4241411.8662280897</v>
      </c>
      <c r="H273" s="64">
        <f t="shared" si="100"/>
        <v>4102293.2413119664</v>
      </c>
      <c r="I273" s="64">
        <f t="shared" si="100"/>
        <v>3963248.2362427665</v>
      </c>
      <c r="J273" s="64">
        <f t="shared" si="100"/>
        <v>3941999.6074935189</v>
      </c>
      <c r="K273" s="64">
        <f t="shared" si="100"/>
        <v>3920721.4044164405</v>
      </c>
      <c r="L273" s="64">
        <f t="shared" si="100"/>
        <v>3899414.2618725472</v>
      </c>
      <c r="M273" s="64">
        <f t="shared" si="100"/>
        <v>3878084.857508962</v>
      </c>
      <c r="N273" s="64">
        <f t="shared" si="100"/>
        <v>3856749.9679400744</v>
      </c>
      <c r="O273" s="64">
        <f t="shared" si="100"/>
        <v>3835441.0716764405</v>
      </c>
      <c r="P273" s="64">
        <f t="shared" si="100"/>
        <v>3814207.5609368738</v>
      </c>
      <c r="Q273" s="64">
        <f t="shared" si="100"/>
        <v>3793115.0109963841</v>
      </c>
      <c r="R273" s="64">
        <f t="shared" si="100"/>
        <v>3772234.7891440936</v>
      </c>
      <c r="S273" s="64">
        <f t="shared" si="100"/>
        <v>3751625.0962388981</v>
      </c>
      <c r="T273" s="64">
        <f t="shared" si="100"/>
        <v>3731310.9789034114</v>
      </c>
      <c r="U273" s="64">
        <f t="shared" si="100"/>
        <v>3711275.2514530537</v>
      </c>
      <c r="V273" s="64">
        <f t="shared" si="100"/>
        <v>3691466.4757248731</v>
      </c>
      <c r="W273" s="64">
        <f t="shared" si="100"/>
        <v>3671818.1797468239</v>
      </c>
      <c r="X273" s="64">
        <f t="shared" si="100"/>
        <v>3652267.5426069442</v>
      </c>
      <c r="Y273" s="64">
        <f t="shared" si="100"/>
        <v>3632765.9606306506</v>
      </c>
      <c r="Z273" s="64">
        <f t="shared" si="100"/>
        <v>3613281.2203571983</v>
      </c>
      <c r="AA273" s="64">
        <f t="shared" si="100"/>
        <v>3593794.8026818684</v>
      </c>
      <c r="AB273" s="64">
        <f t="shared" si="100"/>
        <v>3574297.7401376264</v>
      </c>
      <c r="AC273" s="64">
        <f t="shared" si="100"/>
        <v>3554786.9105531205</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16.805013719486269</v>
      </c>
      <c r="C283" s="66">
        <f t="shared" ref="C283:AC283" si="109">C253*C254*C261/C261</f>
        <v>15.644967164134856</v>
      </c>
      <c r="D283" s="66">
        <f t="shared" si="109"/>
        <v>14.484649107946206</v>
      </c>
      <c r="E283" s="66">
        <f t="shared" si="109"/>
        <v>13.323993015738656</v>
      </c>
      <c r="F283" s="66">
        <f t="shared" si="109"/>
        <v>12.162926205865046</v>
      </c>
      <c r="G283" s="66">
        <f t="shared" si="109"/>
        <v>11.001377357067032</v>
      </c>
      <c r="H283" s="66">
        <f t="shared" si="109"/>
        <v>9.8392917504388588</v>
      </c>
      <c r="I283" s="66">
        <f t="shared" si="109"/>
        <v>8.6766592711436044</v>
      </c>
      <c r="J283" s="66">
        <f t="shared" si="109"/>
        <v>8.4940410213759527</v>
      </c>
      <c r="K283" s="66">
        <f t="shared" si="109"/>
        <v>8.3089356961570306</v>
      </c>
      <c r="L283" s="66">
        <f t="shared" si="109"/>
        <v>8.1205494651235011</v>
      </c>
      <c r="M283" s="66">
        <f t="shared" si="109"/>
        <v>7.9279614146053232</v>
      </c>
      <c r="N283" s="66">
        <f t="shared" si="109"/>
        <v>7.7302232476867365</v>
      </c>
      <c r="O283" s="66">
        <f t="shared" si="109"/>
        <v>7.5265739799901041</v>
      </c>
      <c r="P283" s="66">
        <f t="shared" si="109"/>
        <v>7.3167908354662261</v>
      </c>
      <c r="Q283" s="66">
        <f t="shared" si="109"/>
        <v>7.1016158625217534</v>
      </c>
      <c r="R283" s="66">
        <f t="shared" si="109"/>
        <v>6.8830573214162287</v>
      </c>
      <c r="S283" s="66">
        <f t="shared" si="109"/>
        <v>6.6642715632515319</v>
      </c>
      <c r="T283" s="66">
        <f t="shared" si="109"/>
        <v>6.4488745609359315</v>
      </c>
      <c r="U283" s="66">
        <f t="shared" si="109"/>
        <v>6.2399328335660824</v>
      </c>
      <c r="V283" s="66">
        <f t="shared" si="109"/>
        <v>6.0391849480272617</v>
      </c>
      <c r="W283" s="66">
        <f t="shared" si="109"/>
        <v>5.8468800588657341</v>
      </c>
      <c r="X283" s="66">
        <f t="shared" si="109"/>
        <v>5.6621585995435808</v>
      </c>
      <c r="Y283" s="66">
        <f t="shared" si="109"/>
        <v>5.4836210479667162</v>
      </c>
      <c r="Z283" s="66">
        <f t="shared" si="109"/>
        <v>5.3097910207383903</v>
      </c>
      <c r="AA283" s="66">
        <f t="shared" si="109"/>
        <v>5.1393744074483907</v>
      </c>
      <c r="AB283" s="66">
        <f t="shared" si="109"/>
        <v>4.9713498013600503</v>
      </c>
      <c r="AC283" s="66">
        <f t="shared" si="109"/>
        <v>4.8049620395132884</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187</v>
      </c>
      <c r="B285" s="76">
        <f>B276+B277+B278-B279+B280+B281+B282+B283+B284</f>
        <v>41.273732147744255</v>
      </c>
      <c r="C285" s="76">
        <f t="shared" ref="C285:AC285" si="111">C276+C277+C278-C279+C280+C281+C282+C283+C284</f>
        <v>40.11415013798559</v>
      </c>
      <c r="D285" s="76">
        <f t="shared" si="111"/>
        <v>38.95449706846604</v>
      </c>
      <c r="E285" s="76">
        <f t="shared" si="111"/>
        <v>37.794792286452605</v>
      </c>
      <c r="F285" s="76">
        <f t="shared" si="111"/>
        <v>36.635085108763384</v>
      </c>
      <c r="G285" s="76">
        <f t="shared" si="111"/>
        <v>35.475476748921196</v>
      </c>
      <c r="H285" s="76">
        <f t="shared" si="111"/>
        <v>34.316154874620182</v>
      </c>
      <c r="I285" s="76">
        <f t="shared" si="111"/>
        <v>33.157446499043509</v>
      </c>
      <c r="J285" s="76">
        <f t="shared" si="111"/>
        <v>32.980374592799777</v>
      </c>
      <c r="K285" s="76">
        <f t="shared" si="111"/>
        <v>32.803056233824123</v>
      </c>
      <c r="L285" s="76">
        <f t="shared" si="111"/>
        <v>32.625496712625015</v>
      </c>
      <c r="M285" s="76">
        <f t="shared" si="111"/>
        <v>32.447751676261802</v>
      </c>
      <c r="N285" s="76">
        <f t="shared" si="111"/>
        <v>32.269960929854406</v>
      </c>
      <c r="O285" s="76">
        <f t="shared" si="111"/>
        <v>32.092386794324128</v>
      </c>
      <c r="P285" s="76">
        <f t="shared" si="111"/>
        <v>31.915440871494408</v>
      </c>
      <c r="Q285" s="76">
        <f t="shared" si="111"/>
        <v>31.739669621990323</v>
      </c>
      <c r="R285" s="76">
        <f t="shared" si="111"/>
        <v>31.565667773221232</v>
      </c>
      <c r="S285" s="76">
        <f t="shared" si="111"/>
        <v>31.393920332344607</v>
      </c>
      <c r="T285" s="76">
        <f t="shared" si="111"/>
        <v>31.224636021215549</v>
      </c>
      <c r="U285" s="76">
        <f t="shared" si="111"/>
        <v>31.057671625795901</v>
      </c>
      <c r="V285" s="76">
        <f t="shared" si="111"/>
        <v>30.892598494727736</v>
      </c>
      <c r="W285" s="76">
        <f t="shared" si="111"/>
        <v>30.728862694910653</v>
      </c>
      <c r="X285" s="76">
        <f t="shared" si="111"/>
        <v>30.565940718744983</v>
      </c>
      <c r="Y285" s="76">
        <f t="shared" si="111"/>
        <v>30.403427535609211</v>
      </c>
      <c r="Z285" s="76">
        <f t="shared" si="111"/>
        <v>30.241054699997111</v>
      </c>
      <c r="AA285" s="76">
        <f t="shared" si="111"/>
        <v>30.078667886036026</v>
      </c>
      <c r="AB285" s="76">
        <f t="shared" si="111"/>
        <v>29.916192364834004</v>
      </c>
      <c r="AC285" s="76">
        <f t="shared" si="111"/>
        <v>29.75360211829646</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1.7783083301043669E-3</v>
      </c>
      <c r="C295" s="66">
        <f t="shared" ref="C295:AC295" si="120">C253*C254*C261/C261/(C258)</f>
        <v>1.6555520808608313E-3</v>
      </c>
      <c r="D295" s="66">
        <f t="shared" si="120"/>
        <v>1.5327671013699688E-3</v>
      </c>
      <c r="E295" s="66">
        <f t="shared" si="120"/>
        <v>1.4099463508718156E-3</v>
      </c>
      <c r="F295" s="66">
        <f t="shared" si="120"/>
        <v>1.2870821381867775E-3</v>
      </c>
      <c r="G295" s="66">
        <f t="shared" si="120"/>
        <v>1.1641669160917494E-3</v>
      </c>
      <c r="H295" s="66">
        <f t="shared" si="120"/>
        <v>1.0411948942263343E-3</v>
      </c>
      <c r="I295" s="66">
        <f t="shared" si="120"/>
        <v>9.1816500223741845E-4</v>
      </c>
      <c r="J295" s="66">
        <f t="shared" si="120"/>
        <v>8.9884031972232309E-4</v>
      </c>
      <c r="K295" s="66">
        <f t="shared" si="120"/>
        <v>8.7925245461979165E-4</v>
      </c>
      <c r="L295" s="66">
        <f t="shared" si="120"/>
        <v>8.5931740371677264E-4</v>
      </c>
      <c r="M295" s="66">
        <f t="shared" si="120"/>
        <v>8.3893771583125115E-4</v>
      </c>
      <c r="N295" s="66">
        <f t="shared" si="120"/>
        <v>8.1801304208325249E-4</v>
      </c>
      <c r="O295" s="66">
        <f t="shared" si="120"/>
        <v>7.9646285502540785E-4</v>
      </c>
      <c r="P295" s="66">
        <f t="shared" si="120"/>
        <v>7.7426358047261656E-4</v>
      </c>
      <c r="Q295" s="66">
        <f t="shared" si="120"/>
        <v>7.5149374206579401E-4</v>
      </c>
      <c r="R295" s="66">
        <f t="shared" si="120"/>
        <v>7.2836585411811946E-4</v>
      </c>
      <c r="S295" s="66">
        <f t="shared" si="120"/>
        <v>7.0521392203719919E-4</v>
      </c>
      <c r="T295" s="66">
        <f t="shared" si="120"/>
        <v>6.8242058845882875E-4</v>
      </c>
      <c r="U295" s="66">
        <f t="shared" si="120"/>
        <v>6.6031035275831561E-4</v>
      </c>
      <c r="V295" s="66">
        <f t="shared" si="120"/>
        <v>6.3906719026743505E-4</v>
      </c>
      <c r="W295" s="66">
        <f t="shared" si="120"/>
        <v>6.1871746654663853E-4</v>
      </c>
      <c r="X295" s="66">
        <f t="shared" si="120"/>
        <v>5.991702221739239E-4</v>
      </c>
      <c r="Y295" s="66">
        <f t="shared" si="120"/>
        <v>5.8027735957319753E-4</v>
      </c>
      <c r="Z295" s="66">
        <f t="shared" si="120"/>
        <v>5.6188264769718417E-4</v>
      </c>
      <c r="AA295" s="66">
        <f t="shared" si="120"/>
        <v>5.4384914364533239E-4</v>
      </c>
      <c r="AB295" s="66">
        <f t="shared" si="120"/>
        <v>5.260687620486826E-4</v>
      </c>
      <c r="AC295" s="66">
        <f t="shared" si="120"/>
        <v>5.0846159148288761E-4</v>
      </c>
    </row>
    <row r="296" spans="1:29" x14ac:dyDescent="0.25">
      <c r="A296" s="59" t="str">
        <f>A259</f>
        <v>Market failure (av. utilization)</v>
      </c>
      <c r="B296" s="66">
        <f t="shared" ref="B296:AC296" si="121">B285/B259-B285/B258</f>
        <v>4.0316221878138464E-3</v>
      </c>
      <c r="C296" s="66">
        <f t="shared" si="121"/>
        <v>3.9183541038325352E-3</v>
      </c>
      <c r="D296" s="66">
        <f t="shared" si="121"/>
        <v>3.8050790787268413E-3</v>
      </c>
      <c r="E296" s="66">
        <f t="shared" si="121"/>
        <v>3.6917990023396926E-3</v>
      </c>
      <c r="F296" s="66">
        <f t="shared" si="121"/>
        <v>3.578518691942699E-3</v>
      </c>
      <c r="G296" s="66">
        <f t="shared" si="121"/>
        <v>3.4652480340826566E-3</v>
      </c>
      <c r="H296" s="66">
        <f t="shared" si="121"/>
        <v>3.3520053601582595E-3</v>
      </c>
      <c r="I296" s="66">
        <f t="shared" si="121"/>
        <v>3.2388226128491826E-3</v>
      </c>
      <c r="J296" s="66">
        <f t="shared" si="121"/>
        <v>3.2215262117508939E-3</v>
      </c>
      <c r="K296" s="66">
        <f t="shared" si="121"/>
        <v>3.2042057371256772E-3</v>
      </c>
      <c r="L296" s="66">
        <f t="shared" si="121"/>
        <v>3.1868617057509169E-3</v>
      </c>
      <c r="M296" s="66">
        <f t="shared" si="121"/>
        <v>3.1694995532368067E-3</v>
      </c>
      <c r="N296" s="66">
        <f t="shared" si="121"/>
        <v>3.1521329357611142E-3</v>
      </c>
      <c r="O296" s="66">
        <f t="shared" si="121"/>
        <v>3.1347874768570573E-3</v>
      </c>
      <c r="P296" s="66">
        <f t="shared" si="121"/>
        <v>3.1175033818309551E-3</v>
      </c>
      <c r="Q296" s="66">
        <f t="shared" si="121"/>
        <v>3.1003340290100437E-3</v>
      </c>
      <c r="R296" s="66">
        <f t="shared" si="121"/>
        <v>3.0833375114257618E-3</v>
      </c>
      <c r="S296" s="66">
        <f t="shared" si="121"/>
        <v>3.066561204624626E-3</v>
      </c>
      <c r="T296" s="66">
        <f t="shared" si="121"/>
        <v>3.050025496577831E-3</v>
      </c>
      <c r="U296" s="66">
        <f t="shared" si="121"/>
        <v>3.0337163981241418E-3</v>
      </c>
      <c r="V296" s="66">
        <f t="shared" si="121"/>
        <v>3.0175920385570433E-3</v>
      </c>
      <c r="W296" s="66">
        <f t="shared" si="121"/>
        <v>3.0015983096371821E-3</v>
      </c>
      <c r="X296" s="66">
        <f t="shared" si="121"/>
        <v>2.9856840750910846E-3</v>
      </c>
      <c r="Y296" s="66">
        <f t="shared" si="121"/>
        <v>2.9698097714880791E-3</v>
      </c>
      <c r="Z296" s="66">
        <f t="shared" si="121"/>
        <v>2.9539491770448952E-3</v>
      </c>
      <c r="AA296" s="66">
        <f t="shared" si="121"/>
        <v>2.9380872171952165E-3</v>
      </c>
      <c r="AB296" s="66">
        <f t="shared" si="121"/>
        <v>2.9222165924135774E-3</v>
      </c>
      <c r="AC296" s="66">
        <f t="shared" si="121"/>
        <v>2.9063347612499593E-3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505</v>
      </c>
      <c r="B299" s="77">
        <f>B288+B289+B290+B291+B292+B293+B294+B295+B296+B297+B298</f>
        <v>8.3854162919468761E-3</v>
      </c>
      <c r="C299" s="67">
        <f t="shared" ref="C299:AC299" si="124">C288+C289+C290+C291+C292+C293+C294+C295+C296+C297+C298</f>
        <v>8.149441116985812E-3</v>
      </c>
      <c r="D299" s="67">
        <f t="shared" si="124"/>
        <v>7.9134514813489487E-3</v>
      </c>
      <c r="E299" s="67">
        <f t="shared" si="124"/>
        <v>7.6774513222090555E-3</v>
      </c>
      <c r="F299" s="67">
        <f t="shared" si="124"/>
        <v>7.4414506755486522E-3</v>
      </c>
      <c r="G299" s="67">
        <f t="shared" si="124"/>
        <v>7.205470138340231E-3</v>
      </c>
      <c r="H299" s="67">
        <f t="shared" si="124"/>
        <v>6.969547900997736E-3</v>
      </c>
      <c r="I299" s="67">
        <f t="shared" si="124"/>
        <v>6.7337505107704929E-3</v>
      </c>
      <c r="J299" s="67">
        <f t="shared" si="124"/>
        <v>6.6977163418157253E-3</v>
      </c>
      <c r="K299" s="67">
        <f t="shared" si="124"/>
        <v>6.6616320196798574E-3</v>
      </c>
      <c r="L299" s="67">
        <f t="shared" si="124"/>
        <v>6.6254986209824396E-3</v>
      </c>
      <c r="M299" s="67">
        <f t="shared" si="124"/>
        <v>6.5893274699113762E-3</v>
      </c>
      <c r="N299" s="67">
        <f t="shared" si="124"/>
        <v>6.5531470168370166E-3</v>
      </c>
      <c r="O299" s="67">
        <f t="shared" si="124"/>
        <v>6.5170106441202321E-3</v>
      </c>
      <c r="P299" s="67">
        <f t="shared" si="124"/>
        <v>6.4810021128158526E-3</v>
      </c>
      <c r="Q299" s="67">
        <f t="shared" si="124"/>
        <v>6.4452326277722877E-3</v>
      </c>
      <c r="R299" s="67">
        <f t="shared" si="124"/>
        <v>6.4098232161383661E-3</v>
      </c>
      <c r="S299" s="67">
        <f t="shared" si="124"/>
        <v>6.3748725769693336E-3</v>
      </c>
      <c r="T299" s="67">
        <f t="shared" si="124"/>
        <v>6.3404231852051771E-3</v>
      </c>
      <c r="U299" s="67">
        <f t="shared" si="124"/>
        <v>6.3064458967599917E-3</v>
      </c>
      <c r="V299" s="67">
        <f t="shared" si="124"/>
        <v>6.2728534809952038E-3</v>
      </c>
      <c r="W299" s="67">
        <f t="shared" si="124"/>
        <v>6.2395332124121593E-3</v>
      </c>
      <c r="X299" s="67">
        <f t="shared" si="124"/>
        <v>6.206378557107789E-3</v>
      </c>
      <c r="Y299" s="67">
        <f t="shared" si="124"/>
        <v>6.1733070912681938E-3</v>
      </c>
      <c r="Z299" s="67">
        <f t="shared" si="124"/>
        <v>6.1402641861782268E-3</v>
      </c>
      <c r="AA299" s="67">
        <f t="shared" si="124"/>
        <v>6.107218436491397E-3</v>
      </c>
      <c r="AB299" s="67">
        <f t="shared" si="124"/>
        <v>6.0741546348629834E-3</v>
      </c>
      <c r="AC299" s="67">
        <f t="shared" si="124"/>
        <v>6.0410674866054441E-3</v>
      </c>
    </row>
    <row r="301" spans="1:29" x14ac:dyDescent="0.25">
      <c r="B301" s="40"/>
    </row>
    <row r="324" spans="1:44" s="3" customFormat="1" ht="21" x14ac:dyDescent="0.35">
      <c r="A324" s="2" t="str">
        <f>'Parameter Input'!A248</f>
        <v>Short-sea:  Neo bulk</v>
      </c>
    </row>
    <row r="325" spans="1:44" s="3" customFormat="1" ht="21" x14ac:dyDescent="0.35">
      <c r="A325" s="2" t="s">
        <v>102</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Input'!$L$224</f>
        <v>15000000</v>
      </c>
      <c r="C334" s="42">
        <f>'Parameter Input'!$M$224</f>
        <v>15000000</v>
      </c>
      <c r="D334" s="1" t="s">
        <v>138</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151</v>
      </c>
      <c r="B335" s="60">
        <f>'Parameter Input'!$L$225</f>
        <v>-1500000</v>
      </c>
      <c r="C335" s="61">
        <f>'Parameter Input'!$M$225</f>
        <v>-750000</v>
      </c>
      <c r="D335" s="1" t="s">
        <v>138</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203</v>
      </c>
      <c r="B338" s="92">
        <f>'Parameter Input'!$L$231</f>
        <v>0.06</v>
      </c>
      <c r="C338" s="91">
        <f>'Parameter Input'!$M$231</f>
        <v>0.06</v>
      </c>
      <c r="D338" s="1" t="s">
        <v>180</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175</v>
      </c>
      <c r="B340" s="60">
        <f>'Parameter Input'!$L$227</f>
        <v>488235.29411764705</v>
      </c>
      <c r="C340" s="61">
        <f>'Parameter Input'!$M$227</f>
        <v>488235.29411764705</v>
      </c>
      <c r="D340" s="1" t="s">
        <v>161</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183</v>
      </c>
      <c r="B342" s="60">
        <f>'Parameter Input'!$L$228</f>
        <v>647</v>
      </c>
      <c r="C342" s="61">
        <f>'Parameter Input'!$M$228</f>
        <v>600</v>
      </c>
      <c r="D342" s="1" t="s">
        <v>184</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191</v>
      </c>
      <c r="B343" s="78">
        <f>'Parameter Input'!$L$229</f>
        <v>3.1399999999999997E-2</v>
      </c>
      <c r="C343" s="61">
        <f>'Parameter Input'!$M$229</f>
        <v>3.1399999999999997E-2</v>
      </c>
      <c r="D343" s="1" t="s">
        <v>94</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458</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164</v>
      </c>
      <c r="B345" s="60">
        <f>'Parameter Input'!$L$226</f>
        <v>25</v>
      </c>
      <c r="C345" s="61">
        <f>'Parameter Input'!$M$226</f>
        <v>25</v>
      </c>
      <c r="D345" s="1" t="s">
        <v>165</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197</v>
      </c>
      <c r="B349" s="45">
        <f>'Parameter Input'!$L$230</f>
        <v>0</v>
      </c>
      <c r="C349" s="46">
        <f>'Parameter Input'!$M$230</f>
        <v>0</v>
      </c>
      <c r="D349" s="1" t="s">
        <v>180</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2.5977890665149557E-2</v>
      </c>
      <c r="C363" s="62">
        <f>'Parameter Input'!K10</f>
        <v>2.418631199858752E-2</v>
      </c>
      <c r="D363" s="62">
        <f>'Parameter Input'!L10</f>
        <v>2.2394733332025477E-2</v>
      </c>
      <c r="E363" s="62">
        <f>'Parameter Input'!M10</f>
        <v>2.060315466546344E-2</v>
      </c>
      <c r="F363" s="62">
        <f>'Parameter Input'!N10</f>
        <v>1.8811575998901403E-2</v>
      </c>
      <c r="G363" s="62">
        <f>'Parameter Input'!O10</f>
        <v>1.7019997332339366E-2</v>
      </c>
      <c r="H363" s="62">
        <f>'Parameter Input'!P10</f>
        <v>1.5228418665777328E-2</v>
      </c>
      <c r="I363" s="62">
        <f>'Parameter Input'!Q10</f>
        <v>1.3436839999215288E-2</v>
      </c>
      <c r="J363" s="62">
        <f>'Parameter Input'!R10</f>
        <v>1.3164903951612121E-2</v>
      </c>
      <c r="K363" s="62">
        <f>'Parameter Input'!S10</f>
        <v>1.2892967904008954E-2</v>
      </c>
      <c r="L363" s="62">
        <f>'Parameter Input'!T10</f>
        <v>1.2621031856405788E-2</v>
      </c>
      <c r="M363" s="62">
        <f>'Parameter Input'!U10</f>
        <v>1.2349095808802621E-2</v>
      </c>
      <c r="N363" s="62">
        <f>'Parameter Input'!V10</f>
        <v>1.2077159761199453E-2</v>
      </c>
      <c r="O363" s="62">
        <f>'Parameter Input'!W10</f>
        <v>1.1805223713596286E-2</v>
      </c>
      <c r="P363" s="62">
        <f>'Parameter Input'!X10</f>
        <v>1.153328766599312E-2</v>
      </c>
      <c r="Q363" s="62">
        <f>'Parameter Input'!Y10</f>
        <v>1.1261351618389953E-2</v>
      </c>
      <c r="R363" s="62">
        <f>'Parameter Input'!Z10</f>
        <v>1.0989415570786787E-2</v>
      </c>
      <c r="S363" s="62">
        <f>'Parameter Input'!AA10</f>
        <v>1.0717479523183622E-2</v>
      </c>
      <c r="T363" s="62">
        <f>'Parameter Input'!AB10</f>
        <v>1.0445543475580455E-2</v>
      </c>
      <c r="U363" s="62">
        <f>'Parameter Input'!AC10</f>
        <v>1.0173607427977288E-2</v>
      </c>
      <c r="V363" s="62">
        <f>'Parameter Input'!AD10</f>
        <v>9.9016713803741219E-3</v>
      </c>
      <c r="W363" s="62">
        <f>'Parameter Input'!AE10</f>
        <v>9.6297353327709553E-3</v>
      </c>
      <c r="X363" s="62">
        <f>'Parameter Input'!AF10</f>
        <v>9.3577992851677887E-3</v>
      </c>
      <c r="Y363" s="62">
        <f>'Parameter Input'!AG10</f>
        <v>9.0858632375646221E-3</v>
      </c>
      <c r="Z363" s="62">
        <f>'Parameter Input'!AH10</f>
        <v>8.8139271899614555E-3</v>
      </c>
      <c r="AA363" s="62">
        <f>'Parameter Input'!AI10</f>
        <v>8.5419911423582889E-3</v>
      </c>
      <c r="AB363" s="62">
        <f>'Parameter Input'!AJ10</f>
        <v>8.2700550947551223E-3</v>
      </c>
      <c r="AC363" s="62">
        <f>'Parameter Input'!AK10</f>
        <v>7.9981190471519557E-3</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197</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2016601.6463383522</v>
      </c>
      <c r="C380" s="62">
        <f t="shared" ref="C380:AC380" si="140">C362*C363*C370</f>
        <v>1877396.0596961828</v>
      </c>
      <c r="D380" s="62">
        <f t="shared" si="140"/>
        <v>1738157.8929535446</v>
      </c>
      <c r="E380" s="62">
        <f t="shared" si="140"/>
        <v>1598879.1618886387</v>
      </c>
      <c r="F380" s="62">
        <f t="shared" si="140"/>
        <v>1459551.1447038057</v>
      </c>
      <c r="G380" s="62">
        <f t="shared" si="140"/>
        <v>1320165.2828480438</v>
      </c>
      <c r="H380" s="62">
        <f t="shared" si="140"/>
        <v>1180715.010052663</v>
      </c>
      <c r="I380" s="62">
        <f t="shared" si="140"/>
        <v>1041199.1125372326</v>
      </c>
      <c r="J380" s="62">
        <f t="shared" si="140"/>
        <v>1019284.9225651143</v>
      </c>
      <c r="K380" s="62">
        <f t="shared" si="140"/>
        <v>997072.28353884362</v>
      </c>
      <c r="L380" s="62">
        <f t="shared" si="140"/>
        <v>974465.93581482011</v>
      </c>
      <c r="M380" s="62">
        <f t="shared" si="140"/>
        <v>951355.36975263874</v>
      </c>
      <c r="N380" s="62">
        <f t="shared" si="140"/>
        <v>927626.7897224084</v>
      </c>
      <c r="O380" s="62">
        <f t="shared" si="140"/>
        <v>903188.87759881245</v>
      </c>
      <c r="P380" s="62">
        <f t="shared" si="140"/>
        <v>878014.90025594714</v>
      </c>
      <c r="Q380" s="62">
        <f t="shared" si="140"/>
        <v>852193.9035026104</v>
      </c>
      <c r="R380" s="62">
        <f t="shared" si="140"/>
        <v>825966.87856994744</v>
      </c>
      <c r="S380" s="62">
        <f t="shared" si="140"/>
        <v>799712.58759018383</v>
      </c>
      <c r="T380" s="62">
        <f t="shared" si="140"/>
        <v>773864.94731231174</v>
      </c>
      <c r="U380" s="62">
        <f t="shared" si="140"/>
        <v>748791.94002792984</v>
      </c>
      <c r="V380" s="62">
        <f t="shared" si="140"/>
        <v>724702.19376327144</v>
      </c>
      <c r="W380" s="62">
        <f t="shared" si="140"/>
        <v>701625.60706388811</v>
      </c>
      <c r="X380" s="62">
        <f t="shared" si="140"/>
        <v>679459.03194522974</v>
      </c>
      <c r="Y380" s="62">
        <f t="shared" si="140"/>
        <v>658034.5257560059</v>
      </c>
      <c r="Z380" s="62">
        <f t="shared" si="140"/>
        <v>637174.92248860688</v>
      </c>
      <c r="AA380" s="62">
        <f t="shared" si="140"/>
        <v>616724.92889380688</v>
      </c>
      <c r="AB380" s="62">
        <f t="shared" si="140"/>
        <v>596561.97616320604</v>
      </c>
      <c r="AC380" s="62">
        <f t="shared" si="140"/>
        <v>576595.44474159461</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504</v>
      </c>
      <c r="B382" s="64">
        <f>B373+B374+B375+B376+B377+B378+B379+B380+B381</f>
        <v>4937202.5140868565</v>
      </c>
      <c r="C382" s="64">
        <f t="shared" ref="C382:AC382" si="142">C373+C374+C375+C376+C377+C378+C379+C380+C381</f>
        <v>4798052.6729158163</v>
      </c>
      <c r="D382" s="64">
        <f t="shared" si="142"/>
        <v>4658894.3045734707</v>
      </c>
      <c r="E382" s="64">
        <f t="shared" si="142"/>
        <v>4519729.7307318579</v>
      </c>
      <c r="F382" s="64">
        <f t="shared" si="142"/>
        <v>4380564.8694091523</v>
      </c>
      <c r="G382" s="64">
        <f t="shared" si="142"/>
        <v>4241411.8662280897</v>
      </c>
      <c r="H382" s="64">
        <f t="shared" si="142"/>
        <v>4102293.2413119664</v>
      </c>
      <c r="I382" s="64">
        <f t="shared" si="142"/>
        <v>3963248.2362427665</v>
      </c>
      <c r="J382" s="64">
        <f t="shared" si="142"/>
        <v>3941999.6074935189</v>
      </c>
      <c r="K382" s="64">
        <f t="shared" si="142"/>
        <v>3920721.4044164405</v>
      </c>
      <c r="L382" s="64">
        <f t="shared" si="142"/>
        <v>3899414.2618725472</v>
      </c>
      <c r="M382" s="64">
        <f t="shared" si="142"/>
        <v>3878084.857508962</v>
      </c>
      <c r="N382" s="64">
        <f t="shared" si="142"/>
        <v>3856749.9679400744</v>
      </c>
      <c r="O382" s="64">
        <f t="shared" si="142"/>
        <v>3835441.0716764405</v>
      </c>
      <c r="P382" s="64">
        <f t="shared" si="142"/>
        <v>3814207.5609368738</v>
      </c>
      <c r="Q382" s="64">
        <f t="shared" si="142"/>
        <v>3793115.0109963841</v>
      </c>
      <c r="R382" s="64">
        <f t="shared" si="142"/>
        <v>3772234.7891440936</v>
      </c>
      <c r="S382" s="64">
        <f t="shared" si="142"/>
        <v>3751625.0962388981</v>
      </c>
      <c r="T382" s="64">
        <f t="shared" si="142"/>
        <v>3731310.9789034114</v>
      </c>
      <c r="U382" s="64">
        <f t="shared" si="142"/>
        <v>3711275.2514530537</v>
      </c>
      <c r="V382" s="64">
        <f t="shared" si="142"/>
        <v>3691466.4757248731</v>
      </c>
      <c r="W382" s="64">
        <f t="shared" si="142"/>
        <v>3671818.1797468239</v>
      </c>
      <c r="X382" s="64">
        <f t="shared" si="142"/>
        <v>3652267.5426069442</v>
      </c>
      <c r="Y382" s="64">
        <f t="shared" si="142"/>
        <v>3632765.9606306506</v>
      </c>
      <c r="Z382" s="64">
        <f t="shared" si="142"/>
        <v>3613281.2203571983</v>
      </c>
      <c r="AA382" s="64">
        <f t="shared" si="142"/>
        <v>3593794.8026818684</v>
      </c>
      <c r="AB382" s="64">
        <f t="shared" si="142"/>
        <v>3574297.7401376264</v>
      </c>
      <c r="AC382" s="64">
        <f t="shared" si="142"/>
        <v>3554786.9105531205</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16.805013719486269</v>
      </c>
      <c r="C392" s="66">
        <f t="shared" ref="C392:AC392" si="151">C362*C363*C370/C370</f>
        <v>15.644967164134856</v>
      </c>
      <c r="D392" s="66">
        <f t="shared" si="151"/>
        <v>14.484649107946206</v>
      </c>
      <c r="E392" s="66">
        <f t="shared" si="151"/>
        <v>13.323993015738656</v>
      </c>
      <c r="F392" s="66">
        <f t="shared" si="151"/>
        <v>12.162926205865046</v>
      </c>
      <c r="G392" s="66">
        <f t="shared" si="151"/>
        <v>11.001377357067032</v>
      </c>
      <c r="H392" s="66">
        <f t="shared" si="151"/>
        <v>9.8392917504388588</v>
      </c>
      <c r="I392" s="66">
        <f t="shared" si="151"/>
        <v>8.6766592711436044</v>
      </c>
      <c r="J392" s="66">
        <f t="shared" si="151"/>
        <v>8.4940410213759527</v>
      </c>
      <c r="K392" s="66">
        <f t="shared" si="151"/>
        <v>8.3089356961570306</v>
      </c>
      <c r="L392" s="66">
        <f t="shared" si="151"/>
        <v>8.1205494651235011</v>
      </c>
      <c r="M392" s="66">
        <f t="shared" si="151"/>
        <v>7.9279614146053232</v>
      </c>
      <c r="N392" s="66">
        <f t="shared" si="151"/>
        <v>7.7302232476867365</v>
      </c>
      <c r="O392" s="66">
        <f t="shared" si="151"/>
        <v>7.5265739799901041</v>
      </c>
      <c r="P392" s="66">
        <f t="shared" si="151"/>
        <v>7.3167908354662261</v>
      </c>
      <c r="Q392" s="66">
        <f t="shared" si="151"/>
        <v>7.1016158625217534</v>
      </c>
      <c r="R392" s="66">
        <f t="shared" si="151"/>
        <v>6.8830573214162287</v>
      </c>
      <c r="S392" s="66">
        <f t="shared" si="151"/>
        <v>6.6642715632515319</v>
      </c>
      <c r="T392" s="66">
        <f t="shared" si="151"/>
        <v>6.4488745609359315</v>
      </c>
      <c r="U392" s="66">
        <f t="shared" si="151"/>
        <v>6.2399328335660824</v>
      </c>
      <c r="V392" s="66">
        <f t="shared" si="151"/>
        <v>6.0391849480272617</v>
      </c>
      <c r="W392" s="66">
        <f t="shared" si="151"/>
        <v>5.8468800588657341</v>
      </c>
      <c r="X392" s="66">
        <f t="shared" si="151"/>
        <v>5.6621585995435808</v>
      </c>
      <c r="Y392" s="66">
        <f t="shared" si="151"/>
        <v>5.4836210479667162</v>
      </c>
      <c r="Z392" s="66">
        <f t="shared" si="151"/>
        <v>5.3097910207383903</v>
      </c>
      <c r="AA392" s="66">
        <f t="shared" si="151"/>
        <v>5.1393744074483907</v>
      </c>
      <c r="AB392" s="66">
        <f t="shared" si="151"/>
        <v>4.9713498013600503</v>
      </c>
      <c r="AC392" s="66">
        <f t="shared" si="151"/>
        <v>4.8049620395132884</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187</v>
      </c>
      <c r="B394" s="76">
        <f>B385+B386+B387-B388+B389+B390+B391+B392+B393</f>
        <v>41.273732147744255</v>
      </c>
      <c r="C394" s="76">
        <f t="shared" ref="C394:AC394" si="153">C385+C386+C387-C388+C389+C390+C391+C392+C393</f>
        <v>40.11415013798559</v>
      </c>
      <c r="D394" s="76">
        <f t="shared" si="153"/>
        <v>38.95449706846604</v>
      </c>
      <c r="E394" s="76">
        <f t="shared" si="153"/>
        <v>37.794792286452605</v>
      </c>
      <c r="F394" s="76">
        <f t="shared" si="153"/>
        <v>36.635085108763384</v>
      </c>
      <c r="G394" s="76">
        <f t="shared" si="153"/>
        <v>35.475476748921196</v>
      </c>
      <c r="H394" s="76">
        <f t="shared" si="153"/>
        <v>34.316154874620182</v>
      </c>
      <c r="I394" s="76">
        <f t="shared" si="153"/>
        <v>33.157446499043509</v>
      </c>
      <c r="J394" s="76">
        <f t="shared" si="153"/>
        <v>32.980374592799777</v>
      </c>
      <c r="K394" s="76">
        <f t="shared" si="153"/>
        <v>32.803056233824123</v>
      </c>
      <c r="L394" s="76">
        <f t="shared" si="153"/>
        <v>32.625496712625015</v>
      </c>
      <c r="M394" s="76">
        <f t="shared" si="153"/>
        <v>32.447751676261802</v>
      </c>
      <c r="N394" s="76">
        <f t="shared" si="153"/>
        <v>32.269960929854406</v>
      </c>
      <c r="O394" s="76">
        <f t="shared" si="153"/>
        <v>32.092386794324128</v>
      </c>
      <c r="P394" s="76">
        <f t="shared" si="153"/>
        <v>31.915440871494408</v>
      </c>
      <c r="Q394" s="76">
        <f t="shared" si="153"/>
        <v>31.739669621990323</v>
      </c>
      <c r="R394" s="76">
        <f t="shared" si="153"/>
        <v>31.565667773221232</v>
      </c>
      <c r="S394" s="76">
        <f t="shared" si="153"/>
        <v>31.393920332344607</v>
      </c>
      <c r="T394" s="76">
        <f t="shared" si="153"/>
        <v>31.224636021215549</v>
      </c>
      <c r="U394" s="76">
        <f t="shared" si="153"/>
        <v>31.057671625795901</v>
      </c>
      <c r="V394" s="76">
        <f t="shared" si="153"/>
        <v>30.892598494727736</v>
      </c>
      <c r="W394" s="76">
        <f t="shared" si="153"/>
        <v>30.728862694910653</v>
      </c>
      <c r="X394" s="76">
        <f t="shared" si="153"/>
        <v>30.565940718744983</v>
      </c>
      <c r="Y394" s="76">
        <f t="shared" si="153"/>
        <v>30.403427535609211</v>
      </c>
      <c r="Z394" s="76">
        <f t="shared" si="153"/>
        <v>30.241054699997111</v>
      </c>
      <c r="AA394" s="76">
        <f t="shared" si="153"/>
        <v>30.078667886036026</v>
      </c>
      <c r="AB394" s="76">
        <f t="shared" si="153"/>
        <v>29.916192364834004</v>
      </c>
      <c r="AC394" s="76">
        <f t="shared" si="153"/>
        <v>29.75360211829646</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1.7783083301043669E-3</v>
      </c>
      <c r="C404" s="66">
        <f t="shared" ref="C404:AC404" si="162">C362*C363*C370/C370/(C367)</f>
        <v>1.6555520808608313E-3</v>
      </c>
      <c r="D404" s="66">
        <f t="shared" si="162"/>
        <v>1.5327671013699688E-3</v>
      </c>
      <c r="E404" s="66">
        <f t="shared" si="162"/>
        <v>1.4099463508718156E-3</v>
      </c>
      <c r="F404" s="66">
        <f t="shared" si="162"/>
        <v>1.2870821381867775E-3</v>
      </c>
      <c r="G404" s="66">
        <f t="shared" si="162"/>
        <v>1.1641669160917494E-3</v>
      </c>
      <c r="H404" s="66">
        <f t="shared" si="162"/>
        <v>1.0411948942263343E-3</v>
      </c>
      <c r="I404" s="66">
        <f t="shared" si="162"/>
        <v>9.1816500223741845E-4</v>
      </c>
      <c r="J404" s="66">
        <f t="shared" si="162"/>
        <v>8.9884031972232309E-4</v>
      </c>
      <c r="K404" s="66">
        <f t="shared" si="162"/>
        <v>8.7925245461979165E-4</v>
      </c>
      <c r="L404" s="66">
        <f t="shared" si="162"/>
        <v>8.5931740371677264E-4</v>
      </c>
      <c r="M404" s="66">
        <f t="shared" si="162"/>
        <v>8.3893771583125115E-4</v>
      </c>
      <c r="N404" s="66">
        <f t="shared" si="162"/>
        <v>8.1801304208325249E-4</v>
      </c>
      <c r="O404" s="66">
        <f t="shared" si="162"/>
        <v>7.9646285502540785E-4</v>
      </c>
      <c r="P404" s="66">
        <f t="shared" si="162"/>
        <v>7.7426358047261656E-4</v>
      </c>
      <c r="Q404" s="66">
        <f t="shared" si="162"/>
        <v>7.5149374206579401E-4</v>
      </c>
      <c r="R404" s="66">
        <f t="shared" si="162"/>
        <v>7.2836585411811946E-4</v>
      </c>
      <c r="S404" s="66">
        <f t="shared" si="162"/>
        <v>7.0521392203719919E-4</v>
      </c>
      <c r="T404" s="66">
        <f t="shared" si="162"/>
        <v>6.8242058845882875E-4</v>
      </c>
      <c r="U404" s="66">
        <f t="shared" si="162"/>
        <v>6.6031035275831561E-4</v>
      </c>
      <c r="V404" s="66">
        <f t="shared" si="162"/>
        <v>6.3906719026743505E-4</v>
      </c>
      <c r="W404" s="66">
        <f t="shared" si="162"/>
        <v>6.1871746654663853E-4</v>
      </c>
      <c r="X404" s="66">
        <f t="shared" si="162"/>
        <v>5.991702221739239E-4</v>
      </c>
      <c r="Y404" s="66">
        <f t="shared" si="162"/>
        <v>5.8027735957319753E-4</v>
      </c>
      <c r="Z404" s="66">
        <f t="shared" si="162"/>
        <v>5.6188264769718417E-4</v>
      </c>
      <c r="AA404" s="66">
        <f t="shared" si="162"/>
        <v>5.4384914364533239E-4</v>
      </c>
      <c r="AB404" s="66">
        <f t="shared" si="162"/>
        <v>5.260687620486826E-4</v>
      </c>
      <c r="AC404" s="66">
        <f t="shared" si="162"/>
        <v>5.0846159148288761E-4</v>
      </c>
    </row>
    <row r="405" spans="1:29" x14ac:dyDescent="0.25">
      <c r="A405" s="59" t="str">
        <f>A368</f>
        <v>Market failure (av. utilization)</v>
      </c>
      <c r="B405" s="66">
        <f t="shared" ref="B405:AC405" si="163">B394/B368-B394/B367</f>
        <v>2.0553368016305871E-3</v>
      </c>
      <c r="C405" s="66">
        <f t="shared" si="163"/>
        <v>1.9975922882283503E-3</v>
      </c>
      <c r="D405" s="66">
        <f t="shared" si="163"/>
        <v>1.9398442362136828E-3</v>
      </c>
      <c r="E405" s="66">
        <f t="shared" si="163"/>
        <v>1.8820936090359211E-3</v>
      </c>
      <c r="F405" s="66">
        <f t="shared" si="163"/>
        <v>1.8243428625590225E-3</v>
      </c>
      <c r="G405" s="66">
        <f t="shared" si="163"/>
        <v>1.7665970369833139E-3</v>
      </c>
      <c r="H405" s="66">
        <f t="shared" si="163"/>
        <v>1.7088654777277393E-3</v>
      </c>
      <c r="I405" s="66">
        <f t="shared" si="163"/>
        <v>1.6511644692956606E-3</v>
      </c>
      <c r="J405" s="66">
        <f t="shared" si="163"/>
        <v>1.6423466961867296E-3</v>
      </c>
      <c r="K405" s="66">
        <f t="shared" si="163"/>
        <v>1.6335166502993645E-3</v>
      </c>
      <c r="L405" s="66">
        <f t="shared" si="163"/>
        <v>1.6246745950887018E-3</v>
      </c>
      <c r="M405" s="66">
        <f t="shared" si="163"/>
        <v>1.6158233016501356E-3</v>
      </c>
      <c r="N405" s="66">
        <f t="shared" si="163"/>
        <v>1.6069697319566457E-3</v>
      </c>
      <c r="O405" s="66">
        <f t="shared" si="163"/>
        <v>1.5981269489859498E-3</v>
      </c>
      <c r="P405" s="66">
        <f t="shared" si="163"/>
        <v>1.5893154495608785E-3</v>
      </c>
      <c r="Q405" s="66">
        <f t="shared" si="163"/>
        <v>1.5805624461619826E-3</v>
      </c>
      <c r="R405" s="66">
        <f t="shared" si="163"/>
        <v>1.571897554844505E-3</v>
      </c>
      <c r="S405" s="66">
        <f t="shared" si="163"/>
        <v>1.5633449278478475E-3</v>
      </c>
      <c r="T405" s="66">
        <f t="shared" si="163"/>
        <v>1.5549149590396781E-3</v>
      </c>
      <c r="U405" s="66">
        <f t="shared" si="163"/>
        <v>1.5466005166907383E-3</v>
      </c>
      <c r="V405" s="66">
        <f t="shared" si="163"/>
        <v>1.5383802549506489E-3</v>
      </c>
      <c r="W405" s="66">
        <f t="shared" si="163"/>
        <v>1.530226589226798E-3</v>
      </c>
      <c r="X405" s="66">
        <f t="shared" si="163"/>
        <v>1.5221134500464349E-3</v>
      </c>
      <c r="Y405" s="66">
        <f t="shared" si="163"/>
        <v>1.5140206678174515E-3</v>
      </c>
      <c r="Z405" s="66">
        <f t="shared" si="163"/>
        <v>1.5059348745719067E-3</v>
      </c>
      <c r="AA405" s="66">
        <f t="shared" si="163"/>
        <v>1.497848385236776E-3</v>
      </c>
      <c r="AB405" s="66">
        <f t="shared" si="163"/>
        <v>1.4897574784853524E-3</v>
      </c>
      <c r="AC405" s="66">
        <f t="shared" si="163"/>
        <v>1.4816608586764491E-3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505</v>
      </c>
      <c r="B408" s="76">
        <f>B397+B398+B399+B400+B401+B402+B403+B404+B405+B406+B407</f>
        <v>6.4091309057636167E-3</v>
      </c>
      <c r="C408" s="67">
        <f t="shared" ref="C408:AC408" si="166">C397+C398+C399+C400+C401+C402+C403+C404+C405+C406+C407</f>
        <v>6.2286793013816271E-3</v>
      </c>
      <c r="D408" s="67">
        <f t="shared" si="166"/>
        <v>6.048216638835791E-3</v>
      </c>
      <c r="E408" s="67">
        <f t="shared" si="166"/>
        <v>5.867745928905284E-3</v>
      </c>
      <c r="F408" s="67">
        <f t="shared" si="166"/>
        <v>5.6872748461649757E-3</v>
      </c>
      <c r="G408" s="67">
        <f t="shared" si="166"/>
        <v>5.5068191412408884E-3</v>
      </c>
      <c r="H408" s="67">
        <f t="shared" si="166"/>
        <v>5.326408018567215E-3</v>
      </c>
      <c r="I408" s="67">
        <f t="shared" si="166"/>
        <v>5.1460923672169709E-3</v>
      </c>
      <c r="J408" s="67">
        <f t="shared" si="166"/>
        <v>5.118536826251561E-3</v>
      </c>
      <c r="K408" s="67">
        <f t="shared" si="166"/>
        <v>5.0909429328535438E-3</v>
      </c>
      <c r="L408" s="67">
        <f t="shared" si="166"/>
        <v>5.0633115103202245E-3</v>
      </c>
      <c r="M408" s="67">
        <f t="shared" si="166"/>
        <v>5.035651218324705E-3</v>
      </c>
      <c r="N408" s="67">
        <f t="shared" si="166"/>
        <v>5.0079838130325481E-3</v>
      </c>
      <c r="O408" s="67">
        <f t="shared" si="166"/>
        <v>4.9803501162491246E-3</v>
      </c>
      <c r="P408" s="67">
        <f t="shared" si="166"/>
        <v>4.9528141805457761E-3</v>
      </c>
      <c r="Q408" s="67">
        <f t="shared" si="166"/>
        <v>4.9254610449242266E-3</v>
      </c>
      <c r="R408" s="67">
        <f t="shared" si="166"/>
        <v>4.8983832595571094E-3</v>
      </c>
      <c r="S408" s="67">
        <f t="shared" si="166"/>
        <v>4.8716563001925551E-3</v>
      </c>
      <c r="T408" s="67">
        <f t="shared" si="166"/>
        <v>4.8453126476670251E-3</v>
      </c>
      <c r="U408" s="67">
        <f t="shared" si="166"/>
        <v>4.8193300153265882E-3</v>
      </c>
      <c r="V408" s="67">
        <f t="shared" si="166"/>
        <v>4.7936416973888094E-3</v>
      </c>
      <c r="W408" s="67">
        <f t="shared" si="166"/>
        <v>4.7681614920017743E-3</v>
      </c>
      <c r="X408" s="67">
        <f t="shared" si="166"/>
        <v>4.7428079320631401E-3</v>
      </c>
      <c r="Y408" s="67">
        <f t="shared" si="166"/>
        <v>4.7175179875975672E-3</v>
      </c>
      <c r="Z408" s="67">
        <f t="shared" si="166"/>
        <v>4.6922498837052382E-3</v>
      </c>
      <c r="AA408" s="67">
        <f t="shared" si="166"/>
        <v>4.6669796045329566E-3</v>
      </c>
      <c r="AB408" s="67">
        <f t="shared" si="166"/>
        <v>4.6416955209347584E-3</v>
      </c>
      <c r="AC408" s="67">
        <f t="shared" si="166"/>
        <v>4.6163935840319338E-3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101</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Input'!$L$212</f>
        <v>15000000</v>
      </c>
      <c r="C11" s="42">
        <f>'Parameter Input'!$M$212</f>
        <v>15000000</v>
      </c>
      <c r="D11" s="1" t="s">
        <v>138</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Input'!$L$213</f>
        <v>-1500000</v>
      </c>
      <c r="C12" s="61">
        <f>'Parameter Input'!$M$213</f>
        <v>-750000</v>
      </c>
      <c r="D12" s="1" t="s">
        <v>138</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Input'!$L$219</f>
        <v>0.06</v>
      </c>
      <c r="C15" s="91">
        <f>'Parameter Input'!$M$219</f>
        <v>0.06</v>
      </c>
      <c r="D15" s="1" t="s">
        <v>180</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Input'!$L$215</f>
        <v>488235.29411764705</v>
      </c>
      <c r="C17" s="61">
        <f>'Parameter Input'!$M$215</f>
        <v>488235.29411764705</v>
      </c>
      <c r="D17" s="1" t="s">
        <v>161</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Input'!$L$216</f>
        <v>647</v>
      </c>
      <c r="C19" s="61">
        <f>'Parameter Input'!$M$216</f>
        <v>600</v>
      </c>
      <c r="D19" s="1" t="s">
        <v>184</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Input'!$L$217</f>
        <v>0.06</v>
      </c>
      <c r="C20" s="61">
        <f>'Parameter Input'!$M$217</f>
        <v>0.06</v>
      </c>
      <c r="D20" s="1" t="s">
        <v>94</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Input'!$L$214</f>
        <v>25</v>
      </c>
      <c r="C22" s="61">
        <f>'Parameter Input'!$M$214</f>
        <v>25</v>
      </c>
      <c r="D22" s="1" t="s">
        <v>165</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Input'!$L$218</f>
        <v>0</v>
      </c>
      <c r="C26" s="46">
        <f>'Parameter Input'!$M$218</f>
        <v>0</v>
      </c>
      <c r="D26" s="1" t="s">
        <v>180</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5.7951260504201685E-2</v>
      </c>
      <c r="C40" s="62">
        <f>'Parameter Input'!K9</f>
        <v>5.3954621848739497E-2</v>
      </c>
      <c r="D40" s="62">
        <f>'Parameter Input'!L9</f>
        <v>4.9957983193277315E-2</v>
      </c>
      <c r="E40" s="62">
        <f>'Parameter Input'!M9</f>
        <v>4.5961344537815127E-2</v>
      </c>
      <c r="F40" s="62">
        <f>'Parameter Input'!N9</f>
        <v>4.1964705882352946E-2</v>
      </c>
      <c r="G40" s="62">
        <f>'Parameter Input'!O9</f>
        <v>3.7968067226890764E-2</v>
      </c>
      <c r="H40" s="62">
        <f>'Parameter Input'!P9</f>
        <v>3.3971428571428583E-2</v>
      </c>
      <c r="I40" s="62">
        <f>'Parameter Input'!Q9</f>
        <v>2.9974789915966391E-2</v>
      </c>
      <c r="J40" s="62">
        <f>'Parameter Input'!R9</f>
        <v>2.9368157262905165E-2</v>
      </c>
      <c r="K40" s="62">
        <f>'Parameter Input'!S9</f>
        <v>2.8761524609843939E-2</v>
      </c>
      <c r="L40" s="62">
        <f>'Parameter Input'!T9</f>
        <v>2.8154891956782713E-2</v>
      </c>
      <c r="M40" s="62">
        <f>'Parameter Input'!U9</f>
        <v>2.7548259303721487E-2</v>
      </c>
      <c r="N40" s="62">
        <f>'Parameter Input'!V9</f>
        <v>2.6941626650660268E-2</v>
      </c>
      <c r="O40" s="62">
        <f>'Parameter Input'!W9</f>
        <v>2.6334993997599043E-2</v>
      </c>
      <c r="P40" s="62">
        <f>'Parameter Input'!X9</f>
        <v>2.5728361344537817E-2</v>
      </c>
      <c r="Q40" s="62">
        <f>'Parameter Input'!Y9</f>
        <v>2.5121728691476591E-2</v>
      </c>
      <c r="R40" s="62">
        <f>'Parameter Input'!Z9</f>
        <v>2.4515096038415365E-2</v>
      </c>
      <c r="S40" s="62">
        <f>'Parameter Input'!AA9</f>
        <v>2.3908463385354146E-2</v>
      </c>
      <c r="T40" s="62">
        <f>'Parameter Input'!AB9</f>
        <v>2.330183073229292E-2</v>
      </c>
      <c r="U40" s="62">
        <f>'Parameter Input'!AC9</f>
        <v>2.2695198079231694E-2</v>
      </c>
      <c r="V40" s="62">
        <f>'Parameter Input'!AD9</f>
        <v>2.2088565426170468E-2</v>
      </c>
      <c r="W40" s="62">
        <f>'Parameter Input'!AE9</f>
        <v>2.1481932773109242E-2</v>
      </c>
      <c r="X40" s="62">
        <f>'Parameter Input'!AF9</f>
        <v>2.0875300120048023E-2</v>
      </c>
      <c r="Y40" s="62">
        <f>'Parameter Input'!AG9</f>
        <v>2.0268667466986797E-2</v>
      </c>
      <c r="Z40" s="62">
        <f>'Parameter Input'!AH9</f>
        <v>1.9662034813925571E-2</v>
      </c>
      <c r="AA40" s="62">
        <f>'Parameter Input'!AI9</f>
        <v>1.9055402160864345E-2</v>
      </c>
      <c r="AB40" s="62">
        <f>'Parameter Input'!AJ9</f>
        <v>1.8448769507803119E-2</v>
      </c>
      <c r="AC40" s="62">
        <f>'Parameter Input'!AK9</f>
        <v>1.78421368547419E-2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197</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4498618.0304829236</v>
      </c>
      <c r="C57" s="62">
        <f t="shared" ref="C57:AC57" si="48">C39*C40*C47</f>
        <v>4188079.3759353086</v>
      </c>
      <c r="D57" s="62">
        <f t="shared" si="48"/>
        <v>3877468.0419729641</v>
      </c>
      <c r="E57" s="62">
        <f t="shared" si="48"/>
        <v>3566766.217460895</v>
      </c>
      <c r="F57" s="62">
        <f t="shared" si="48"/>
        <v>3255954.4458860727</v>
      </c>
      <c r="G57" s="62">
        <f t="shared" si="48"/>
        <v>2945013.6349047427</v>
      </c>
      <c r="H57" s="62">
        <f t="shared" si="48"/>
        <v>2633929.1365398113</v>
      </c>
      <c r="I57" s="62">
        <f t="shared" si="48"/>
        <v>2322698.2431000774</v>
      </c>
      <c r="J57" s="62">
        <f t="shared" si="48"/>
        <v>2273812.2520016357</v>
      </c>
      <c r="K57" s="62">
        <f t="shared" si="48"/>
        <v>2224260.4832576048</v>
      </c>
      <c r="L57" s="62">
        <f t="shared" si="48"/>
        <v>2173830.4324544049</v>
      </c>
      <c r="M57" s="62">
        <f t="shared" si="48"/>
        <v>2122275.575613555</v>
      </c>
      <c r="N57" s="62">
        <f t="shared" si="48"/>
        <v>2069342.0583988025</v>
      </c>
      <c r="O57" s="62">
        <f t="shared" si="48"/>
        <v>2014826.1691024788</v>
      </c>
      <c r="P57" s="62">
        <f t="shared" si="48"/>
        <v>1958668.2716916476</v>
      </c>
      <c r="Q57" s="62">
        <f t="shared" si="48"/>
        <v>1901067.0088093535</v>
      </c>
      <c r="R57" s="62">
        <f t="shared" si="48"/>
        <v>1842559.9816717752</v>
      </c>
      <c r="S57" s="62">
        <f t="shared" si="48"/>
        <v>1783992.1296651261</v>
      </c>
      <c r="T57" s="62">
        <f t="shared" si="48"/>
        <v>1726331.4306318762</v>
      </c>
      <c r="U57" s="62">
        <f t="shared" si="48"/>
        <v>1670398.7763802267</v>
      </c>
      <c r="V57" s="62">
        <f t="shared" si="48"/>
        <v>1616659.5725604114</v>
      </c>
      <c r="W57" s="62">
        <f t="shared" si="48"/>
        <v>1565180.5165969562</v>
      </c>
      <c r="X57" s="62">
        <f t="shared" si="48"/>
        <v>1515731.5068314851</v>
      </c>
      <c r="Y57" s="62">
        <f t="shared" si="48"/>
        <v>1467937.8982067783</v>
      </c>
      <c r="Z57" s="62">
        <f t="shared" si="48"/>
        <v>1421404.470279735</v>
      </c>
      <c r="AA57" s="62">
        <f t="shared" si="48"/>
        <v>1375784.7961731155</v>
      </c>
      <c r="AB57" s="62">
        <f t="shared" si="48"/>
        <v>1330805.4504176688</v>
      </c>
      <c r="AC57" s="62">
        <f t="shared" si="48"/>
        <v>1286264.2796700606</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504</v>
      </c>
      <c r="B59" s="64">
        <f>B50+B51+B52+B53+B54+B55+B56+B57+B58</f>
        <v>7423178.438809894</v>
      </c>
      <c r="C59" s="64">
        <f t="shared" ref="C59:AC59" si="50">C50+C51+C52+C53+C54+C55+C56+C57+C58</f>
        <v>7112695.5297334082</v>
      </c>
      <c r="D59" s="64">
        <f t="shared" si="50"/>
        <v>6802163.9941713568</v>
      </c>
      <c r="E59" s="64">
        <f t="shared" si="50"/>
        <v>6491576.3268825803</v>
      </c>
      <c r="F59" s="64">
        <f t="shared" si="50"/>
        <v>6180927.7111698855</v>
      </c>
      <c r="G59" s="64">
        <f t="shared" si="50"/>
        <v>5870219.7588632554</v>
      </c>
      <c r="H59" s="64">
        <f t="shared" si="50"/>
        <v>5559466.9083775813</v>
      </c>
      <c r="I59" s="64">
        <f t="shared" si="50"/>
        <v>5248706.9073840771</v>
      </c>
      <c r="J59" s="64">
        <f t="shared" si="50"/>
        <v>5200486.4775085067</v>
      </c>
      <c r="K59" s="64">
        <f t="shared" si="50"/>
        <v>5151869.1447136682</v>
      </c>
      <c r="L59" s="64">
        <f t="shared" si="50"/>
        <v>5102738.2990905978</v>
      </c>
      <c r="M59" s="64">
        <f t="shared" si="50"/>
        <v>5052964.6039483454</v>
      </c>
      <c r="N59" s="64">
        <f t="shared" si="50"/>
        <v>5002424.7771949349</v>
      </c>
      <c r="O59" s="64">
        <f t="shared" si="50"/>
        <v>4951037.9037585733</v>
      </c>
      <c r="P59" s="64">
        <f t="shared" si="50"/>
        <v>4898820.4729510406</v>
      </c>
      <c r="Q59" s="64">
        <f t="shared" si="50"/>
        <v>4845947.6568815932</v>
      </c>
      <c r="R59" s="64">
        <f t="shared" si="50"/>
        <v>4792787.4328243881</v>
      </c>
      <c r="S59" s="64">
        <f t="shared" si="50"/>
        <v>4739864.178892307</v>
      </c>
      <c r="T59" s="64">
        <f t="shared" si="50"/>
        <v>4687737.0028014425</v>
      </c>
      <c r="U59" s="64">
        <f t="shared" si="50"/>
        <v>4636841.6283838172</v>
      </c>
      <c r="V59" s="64">
        <f t="shared" si="50"/>
        <v>4587383.3951004799</v>
      </c>
      <c r="W59" s="64">
        <f t="shared" si="50"/>
        <v>4539332.6298583578</v>
      </c>
      <c r="X59" s="64">
        <f t="shared" si="50"/>
        <v>4492499.5580716655</v>
      </c>
      <c r="Y59" s="64">
        <f t="shared" si="50"/>
        <v>4446628.8736598901</v>
      </c>
      <c r="Z59" s="64">
        <f t="shared" si="50"/>
        <v>4401470.3087267932</v>
      </c>
      <c r="AA59" s="64">
        <f t="shared" si="50"/>
        <v>4356814.2105396437</v>
      </c>
      <c r="AB59" s="64">
        <f t="shared" si="50"/>
        <v>4312500.7549705552</v>
      </c>
      <c r="AC59" s="64">
        <f t="shared" si="50"/>
        <v>4268415.2860600529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37.488483587357699</v>
      </c>
      <c r="C69" s="66">
        <f t="shared" ref="C69:AC69" si="59">C39*C40*C47/C47</f>
        <v>34.900661466127573</v>
      </c>
      <c r="D69" s="66">
        <f t="shared" si="59"/>
        <v>32.312233683108033</v>
      </c>
      <c r="E69" s="66">
        <f t="shared" si="59"/>
        <v>29.723051812174123</v>
      </c>
      <c r="F69" s="66">
        <f t="shared" si="59"/>
        <v>27.132953715717271</v>
      </c>
      <c r="G69" s="66">
        <f t="shared" si="59"/>
        <v>24.541780290872858</v>
      </c>
      <c r="H69" s="66">
        <f t="shared" si="59"/>
        <v>21.949409471165094</v>
      </c>
      <c r="I69" s="66">
        <f t="shared" si="59"/>
        <v>19.355818692500645</v>
      </c>
      <c r="J69" s="66">
        <f t="shared" si="59"/>
        <v>18.948435433346965</v>
      </c>
      <c r="K69" s="66">
        <f t="shared" si="59"/>
        <v>18.535504027146708</v>
      </c>
      <c r="L69" s="66">
        <f t="shared" si="59"/>
        <v>18.115253603786709</v>
      </c>
      <c r="M69" s="66">
        <f t="shared" si="59"/>
        <v>17.685629796779626</v>
      </c>
      <c r="N69" s="66">
        <f t="shared" si="59"/>
        <v>17.244517153323354</v>
      </c>
      <c r="O69" s="66">
        <f t="shared" si="59"/>
        <v>16.790218075853989</v>
      </c>
      <c r="P69" s="66">
        <f t="shared" si="59"/>
        <v>16.322235597430396</v>
      </c>
      <c r="Q69" s="66">
        <f t="shared" si="59"/>
        <v>15.842225073411278</v>
      </c>
      <c r="R69" s="66">
        <f t="shared" si="59"/>
        <v>15.354666513931461</v>
      </c>
      <c r="S69" s="66">
        <f t="shared" si="59"/>
        <v>14.866601080542717</v>
      </c>
      <c r="T69" s="66">
        <f t="shared" si="59"/>
        <v>14.386095255265635</v>
      </c>
      <c r="U69" s="66">
        <f t="shared" si="59"/>
        <v>13.919989803168557</v>
      </c>
      <c r="V69" s="66">
        <f t="shared" si="59"/>
        <v>13.472163104670095</v>
      </c>
      <c r="W69" s="66">
        <f t="shared" si="59"/>
        <v>13.043170971641301</v>
      </c>
      <c r="X69" s="66">
        <f t="shared" si="59"/>
        <v>12.631095890262376</v>
      </c>
      <c r="Y69" s="66">
        <f t="shared" si="59"/>
        <v>12.23281581838982</v>
      </c>
      <c r="Z69" s="66">
        <f t="shared" si="59"/>
        <v>11.845037252331126</v>
      </c>
      <c r="AA69" s="66">
        <f t="shared" si="59"/>
        <v>11.46487330144263</v>
      </c>
      <c r="AB69" s="66">
        <f t="shared" si="59"/>
        <v>11.09004542014724</v>
      </c>
      <c r="AC69" s="66">
        <f t="shared" si="59"/>
        <v>10.718868997250505</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187</v>
      </c>
      <c r="B71" s="76">
        <f>B62+B63+B64-B65+B66+B67+B68+B69+B70</f>
        <v>61.990198187102905</v>
      </c>
      <c r="C71" s="76">
        <f t="shared" ref="C71:AC71" si="61">C62+C63+C64-C65+C66+C67+C68+C69+C70</f>
        <v>59.402840611465528</v>
      </c>
      <c r="D71" s="76">
        <f t="shared" si="61"/>
        <v>56.815077815115089</v>
      </c>
      <c r="E71" s="76">
        <f t="shared" si="61"/>
        <v>54.226847254375286</v>
      </c>
      <c r="F71" s="76">
        <f t="shared" si="61"/>
        <v>51.638108790102827</v>
      </c>
      <c r="G71" s="76">
        <f t="shared" si="61"/>
        <v>49.048875854214245</v>
      </c>
      <c r="H71" s="76">
        <f t="shared" si="61"/>
        <v>46.459268766833631</v>
      </c>
      <c r="I71" s="76">
        <f t="shared" si="61"/>
        <v>43.869602091887771</v>
      </c>
      <c r="J71" s="76">
        <f t="shared" si="61"/>
        <v>43.467765176258013</v>
      </c>
      <c r="K71" s="76">
        <f t="shared" si="61"/>
        <v>43.062620736301021</v>
      </c>
      <c r="L71" s="76">
        <f t="shared" si="61"/>
        <v>42.653197022775444</v>
      </c>
      <c r="M71" s="76">
        <f t="shared" si="61"/>
        <v>42.238416229923331</v>
      </c>
      <c r="N71" s="76">
        <f t="shared" si="61"/>
        <v>41.817251006978239</v>
      </c>
      <c r="O71" s="76">
        <f t="shared" si="61"/>
        <v>41.389027061675236</v>
      </c>
      <c r="P71" s="76">
        <f t="shared" si="61"/>
        <v>40.953881804945794</v>
      </c>
      <c r="Q71" s="76">
        <f t="shared" si="61"/>
        <v>40.513275004367067</v>
      </c>
      <c r="R71" s="76">
        <f t="shared" si="61"/>
        <v>40.070273137223687</v>
      </c>
      <c r="S71" s="76">
        <f t="shared" si="61"/>
        <v>39.629246021123009</v>
      </c>
      <c r="T71" s="76">
        <f t="shared" si="61"/>
        <v>39.194852887032475</v>
      </c>
      <c r="U71" s="76">
        <f t="shared" si="61"/>
        <v>38.770724766885593</v>
      </c>
      <c r="V71" s="76">
        <f t="shared" si="61"/>
        <v>38.358572822857788</v>
      </c>
      <c r="W71" s="76">
        <f t="shared" si="61"/>
        <v>37.958149779173439</v>
      </c>
      <c r="X71" s="76">
        <f t="shared" si="61"/>
        <v>37.567874180950994</v>
      </c>
      <c r="Y71" s="76">
        <f t="shared" si="61"/>
        <v>37.18561847751954</v>
      </c>
      <c r="Z71" s="76">
        <f t="shared" si="61"/>
        <v>36.809297103077064</v>
      </c>
      <c r="AA71" s="76">
        <f t="shared" si="61"/>
        <v>36.437162951517486</v>
      </c>
      <c r="AB71" s="76">
        <f t="shared" si="61"/>
        <v>36.067884155108416</v>
      </c>
      <c r="AC71" s="76">
        <f t="shared" si="61"/>
        <v>35.700505247520894</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3.9670353002494918E-3</v>
      </c>
      <c r="C81" s="66">
        <f t="shared" ref="C81:AC81" si="70">C39*C40*C47/C47/(C44)</f>
        <v>3.6931916895373094E-3</v>
      </c>
      <c r="D81" s="66">
        <f t="shared" si="70"/>
        <v>3.4192839876304795E-3</v>
      </c>
      <c r="E81" s="66">
        <f t="shared" si="70"/>
        <v>3.1452964880607538E-3</v>
      </c>
      <c r="F81" s="66">
        <f t="shared" si="70"/>
        <v>2.8712120334092352E-3</v>
      </c>
      <c r="G81" s="66">
        <f t="shared" si="70"/>
        <v>2.597013787393953E-3</v>
      </c>
      <c r="H81" s="66">
        <f t="shared" si="70"/>
        <v>2.3226888329275232E-3</v>
      </c>
      <c r="I81" s="66">
        <f t="shared" si="70"/>
        <v>2.0482347822752007E-3</v>
      </c>
      <c r="J81" s="66">
        <f t="shared" si="70"/>
        <v>2.0051254426822185E-3</v>
      </c>
      <c r="K81" s="66">
        <f t="shared" si="70"/>
        <v>1.9614289975816621E-3</v>
      </c>
      <c r="L81" s="66">
        <f t="shared" si="70"/>
        <v>1.9169580533107628E-3</v>
      </c>
      <c r="M81" s="66">
        <f t="shared" si="70"/>
        <v>1.8714952165904367E-3</v>
      </c>
      <c r="N81" s="66">
        <f t="shared" si="70"/>
        <v>1.8248166299813073E-3</v>
      </c>
      <c r="O81" s="66">
        <f t="shared" si="70"/>
        <v>1.7767426535295226E-3</v>
      </c>
      <c r="P81" s="66">
        <f t="shared" si="70"/>
        <v>1.7272206981407826E-3</v>
      </c>
      <c r="Q81" s="66">
        <f t="shared" si="70"/>
        <v>1.6764259336943151E-3</v>
      </c>
      <c r="R81" s="66">
        <f t="shared" si="70"/>
        <v>1.6248324353366624E-3</v>
      </c>
      <c r="S81" s="66">
        <f t="shared" si="70"/>
        <v>1.5731852995283298E-3</v>
      </c>
      <c r="T81" s="66">
        <f t="shared" si="70"/>
        <v>1.5223381222503319E-3</v>
      </c>
      <c r="U81" s="66">
        <f t="shared" si="70"/>
        <v>1.4730147939860906E-3</v>
      </c>
      <c r="V81" s="66">
        <f t="shared" si="70"/>
        <v>1.4256257253619149E-3</v>
      </c>
      <c r="W81" s="66">
        <f t="shared" si="70"/>
        <v>1.3802297324488149E-3</v>
      </c>
      <c r="X81" s="66">
        <f t="shared" si="70"/>
        <v>1.3366239037314685E-3</v>
      </c>
      <c r="Y81" s="66">
        <f t="shared" si="70"/>
        <v>1.2944778643798752E-3</v>
      </c>
      <c r="Z81" s="66">
        <f t="shared" si="70"/>
        <v>1.2534430954847752E-3</v>
      </c>
      <c r="AA81" s="66">
        <f t="shared" si="70"/>
        <v>1.2132141059727651E-3</v>
      </c>
      <c r="AB81" s="66">
        <f t="shared" si="70"/>
        <v>1.1735497799097608E-3</v>
      </c>
      <c r="AC81" s="66">
        <f t="shared" si="70"/>
        <v>1.1342718515609E-3</v>
      </c>
    </row>
    <row r="82" spans="1:29" x14ac:dyDescent="0.25">
      <c r="A82" s="59" t="str">
        <f>A45</f>
        <v>Market failure (av. utilization)</v>
      </c>
      <c r="B82" s="66">
        <f t="shared" ref="B82:AC82" si="71">B71/B45-B71/B44</f>
        <v>3.0869690973969691E-3</v>
      </c>
      <c r="C82" s="66">
        <f t="shared" si="71"/>
        <v>2.9581246491859571E-3</v>
      </c>
      <c r="D82" s="66">
        <f t="shared" si="71"/>
        <v>2.8292600219167168E-3</v>
      </c>
      <c r="E82" s="66">
        <f t="shared" si="71"/>
        <v>2.7003721010582142E-3</v>
      </c>
      <c r="F82" s="66">
        <f t="shared" si="71"/>
        <v>2.5714588877735608E-3</v>
      </c>
      <c r="G82" s="66">
        <f t="shared" si="71"/>
        <v>2.4425210509412629E-3</v>
      </c>
      <c r="H82" s="66">
        <f t="shared" si="71"/>
        <v>2.3135645822263858E-3</v>
      </c>
      <c r="I82" s="66">
        <f t="shared" si="71"/>
        <v>2.1846051461879993E-3</v>
      </c>
      <c r="J82" s="66">
        <f t="shared" si="71"/>
        <v>2.1645945932777088E-3</v>
      </c>
      <c r="K82" s="66">
        <f t="shared" si="71"/>
        <v>2.1444193332736264E-3</v>
      </c>
      <c r="L82" s="66">
        <f t="shared" si="71"/>
        <v>2.1240309753016084E-3</v>
      </c>
      <c r="M82" s="66">
        <f t="shared" si="71"/>
        <v>2.1033758471172516E-3</v>
      </c>
      <c r="N82" s="66">
        <f t="shared" si="71"/>
        <v>2.0824027890185238E-3</v>
      </c>
      <c r="O82" s="66">
        <f t="shared" si="71"/>
        <v>2.0610782228036211E-3</v>
      </c>
      <c r="P82" s="66">
        <f t="shared" si="71"/>
        <v>2.0394089912204559E-3</v>
      </c>
      <c r="Q82" s="66">
        <f t="shared" si="71"/>
        <v>2.017467787332315E-3</v>
      </c>
      <c r="R82" s="66">
        <f t="shared" si="71"/>
        <v>1.9954073146454367E-3</v>
      </c>
      <c r="S82" s="66">
        <f t="shared" si="71"/>
        <v>1.9734451800123495E-3</v>
      </c>
      <c r="T82" s="66">
        <f t="shared" si="71"/>
        <v>1.9518134024043548E-3</v>
      </c>
      <c r="U82" s="66">
        <f t="shared" si="71"/>
        <v>1.9306927988489552E-3</v>
      </c>
      <c r="V82" s="66">
        <f t="shared" si="71"/>
        <v>1.910168581281433E-3</v>
      </c>
      <c r="W82" s="66">
        <f t="shared" si="71"/>
        <v>1.8902284359376739E-3</v>
      </c>
      <c r="X82" s="66">
        <f t="shared" si="71"/>
        <v>1.8707936100068956E-3</v>
      </c>
      <c r="Y82" s="66">
        <f t="shared" si="71"/>
        <v>1.85175815636574E-3</v>
      </c>
      <c r="Z82" s="66">
        <f t="shared" si="71"/>
        <v>1.8330182186406252E-3</v>
      </c>
      <c r="AA82" s="66">
        <f t="shared" si="71"/>
        <v>1.8144867949713025E-3</v>
      </c>
      <c r="AB82" s="66">
        <f t="shared" si="71"/>
        <v>1.7960975614121828E-3</v>
      </c>
      <c r="AC82" s="66">
        <f t="shared" si="71"/>
        <v>1.7778029379406598E-3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505</v>
      </c>
      <c r="B85" s="77">
        <f>B74+B75+B76+B77+B78+B79+B80+B81+B82+B83+B84</f>
        <v>9.6329818300335598E-3</v>
      </c>
      <c r="C85" s="77">
        <f t="shared" ref="C85:AC85" si="74">C74+C75+C76+C77+C78+C79+C80+C81+C82+C83+C84</f>
        <v>9.2303429293741478E-3</v>
      </c>
      <c r="D85" s="77">
        <f t="shared" si="74"/>
        <v>8.8276409691577726E-3</v>
      </c>
      <c r="E85" s="77">
        <f t="shared" si="74"/>
        <v>8.4248662164749522E-3</v>
      </c>
      <c r="F85" s="77">
        <f t="shared" si="74"/>
        <v>8.0220124249604091E-3</v>
      </c>
      <c r="G85" s="77">
        <f t="shared" si="74"/>
        <v>7.6190816848594762E-3</v>
      </c>
      <c r="H85" s="77">
        <f t="shared" si="74"/>
        <v>7.2160927201254874E-3</v>
      </c>
      <c r="I85" s="77">
        <f t="shared" si="74"/>
        <v>6.8130944825055282E-3</v>
      </c>
      <c r="J85" s="77">
        <f t="shared" si="74"/>
        <v>6.7505615046608717E-3</v>
      </c>
      <c r="K85" s="77">
        <f t="shared" si="74"/>
        <v>6.687513817148113E-3</v>
      </c>
      <c r="L85" s="77">
        <f t="shared" si="74"/>
        <v>6.6238001984855579E-3</v>
      </c>
      <c r="M85" s="77">
        <f t="shared" si="74"/>
        <v>6.5592529229094422E-3</v>
      </c>
      <c r="N85" s="77">
        <f t="shared" si="74"/>
        <v>6.4937121163509172E-3</v>
      </c>
      <c r="O85" s="77">
        <f t="shared" si="74"/>
        <v>6.4270728469293468E-3</v>
      </c>
      <c r="P85" s="77">
        <f t="shared" si="74"/>
        <v>6.3593564982319557E-3</v>
      </c>
      <c r="Q85" s="77">
        <f t="shared" si="74"/>
        <v>6.2907902360815155E-3</v>
      </c>
      <c r="R85" s="77">
        <f t="shared" si="74"/>
        <v>6.2218512589350197E-3</v>
      </c>
      <c r="S85" s="77">
        <f t="shared" si="74"/>
        <v>6.1532195882066229E-3</v>
      </c>
      <c r="T85" s="77">
        <f t="shared" si="74"/>
        <v>6.0856202831816404E-3</v>
      </c>
      <c r="U85" s="77">
        <f t="shared" si="74"/>
        <v>6.0196183970710158E-3</v>
      </c>
      <c r="V85" s="77">
        <f t="shared" si="74"/>
        <v>5.9554802171725083E-3</v>
      </c>
      <c r="W85" s="77">
        <f t="shared" si="74"/>
        <v>5.8931672629732625E-3</v>
      </c>
      <c r="X85" s="77">
        <f t="shared" si="74"/>
        <v>5.832433431939581E-3</v>
      </c>
      <c r="Y85" s="77">
        <f t="shared" si="74"/>
        <v>5.7729476393109692E-3</v>
      </c>
      <c r="Z85" s="77">
        <f t="shared" si="74"/>
        <v>5.7143853339199843E-3</v>
      </c>
      <c r="AA85" s="77">
        <f t="shared" si="74"/>
        <v>5.6564746349533519E-3</v>
      </c>
      <c r="AB85" s="77">
        <f t="shared" si="74"/>
        <v>5.5990082800811023E-3</v>
      </c>
      <c r="AC85" s="77">
        <f t="shared" si="74"/>
        <v>5.5418375817325935E-3</v>
      </c>
    </row>
    <row r="87" spans="1:29" x14ac:dyDescent="0.25">
      <c r="B87" s="40"/>
    </row>
    <row r="107" spans="1:2" s="3" customFormat="1" ht="21" x14ac:dyDescent="0.35">
      <c r="A107" s="2" t="str">
        <f>'Parameter Input'!A223</f>
        <v>Short-sea: Container</v>
      </c>
    </row>
    <row r="108" spans="1:2" s="3" customFormat="1" ht="21" x14ac:dyDescent="0.35">
      <c r="A108" s="2" t="s">
        <v>101</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Input'!$L$212</f>
        <v>15000000</v>
      </c>
      <c r="C117" s="42">
        <f>'Parameter Input'!$M$212</f>
        <v>15000000</v>
      </c>
      <c r="D117" s="1" t="s">
        <v>138</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151</v>
      </c>
      <c r="B118" s="60">
        <f>'Parameter Input'!$L$213</f>
        <v>-1500000</v>
      </c>
      <c r="C118" s="61">
        <f>'Parameter Input'!$M$213</f>
        <v>-750000</v>
      </c>
      <c r="D118" s="1" t="s">
        <v>138</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203</v>
      </c>
      <c r="B121" s="92">
        <f>'Parameter Input'!$L$219</f>
        <v>0.06</v>
      </c>
      <c r="C121" s="91">
        <f>'Parameter Input'!$M$219</f>
        <v>0.06</v>
      </c>
      <c r="D121" s="1" t="s">
        <v>180</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175</v>
      </c>
      <c r="B123" s="60">
        <f>'Parameter Input'!$L$215</f>
        <v>488235.29411764705</v>
      </c>
      <c r="C123" s="61">
        <f>'Parameter Input'!$M$215</f>
        <v>488235.29411764705</v>
      </c>
      <c r="D123" s="1" t="s">
        <v>161</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183</v>
      </c>
      <c r="B125" s="60">
        <f>'Parameter Input'!$L$216</f>
        <v>647</v>
      </c>
      <c r="C125" s="61">
        <f>'Parameter Input'!$M$216</f>
        <v>600</v>
      </c>
      <c r="D125" s="1" t="s">
        <v>184</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191</v>
      </c>
      <c r="B126" s="78">
        <f>'Parameter Input'!$L$217</f>
        <v>0.06</v>
      </c>
      <c r="C126" s="61">
        <f>'Parameter Input'!$M$217</f>
        <v>0.06</v>
      </c>
      <c r="D126" s="1" t="s">
        <v>94</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458</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164</v>
      </c>
      <c r="B128" s="60">
        <f>'Parameter Input'!$L$214</f>
        <v>25</v>
      </c>
      <c r="C128" s="61">
        <f>'Parameter Input'!$M$214</f>
        <v>25</v>
      </c>
      <c r="D128" s="1" t="s">
        <v>165</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197</v>
      </c>
      <c r="B132" s="45">
        <f>'Parameter Input'!$L$218</f>
        <v>0</v>
      </c>
      <c r="C132" s="46">
        <f>'Parameter Input'!$M$218</f>
        <v>0</v>
      </c>
      <c r="D132" s="1" t="s">
        <v>180</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5.7951260504201685E-2</v>
      </c>
      <c r="C146" s="62">
        <f>'Parameter Input'!K9</f>
        <v>5.3954621848739497E-2</v>
      </c>
      <c r="D146" s="62">
        <f>'Parameter Input'!L9</f>
        <v>4.9957983193277315E-2</v>
      </c>
      <c r="E146" s="62">
        <f>'Parameter Input'!M9</f>
        <v>4.5961344537815127E-2</v>
      </c>
      <c r="F146" s="62">
        <f>'Parameter Input'!N9</f>
        <v>4.1964705882352946E-2</v>
      </c>
      <c r="G146" s="62">
        <f>'Parameter Input'!O9</f>
        <v>3.7968067226890764E-2</v>
      </c>
      <c r="H146" s="62">
        <f>'Parameter Input'!P9</f>
        <v>3.3971428571428583E-2</v>
      </c>
      <c r="I146" s="62">
        <f>'Parameter Input'!Q9</f>
        <v>2.9974789915966391E-2</v>
      </c>
      <c r="J146" s="62">
        <f>'Parameter Input'!R9</f>
        <v>2.9368157262905165E-2</v>
      </c>
      <c r="K146" s="62">
        <f>'Parameter Input'!S9</f>
        <v>2.8761524609843939E-2</v>
      </c>
      <c r="L146" s="62">
        <f>'Parameter Input'!T9</f>
        <v>2.8154891956782713E-2</v>
      </c>
      <c r="M146" s="62">
        <f>'Parameter Input'!U9</f>
        <v>2.7548259303721487E-2</v>
      </c>
      <c r="N146" s="62">
        <f>'Parameter Input'!V9</f>
        <v>2.6941626650660268E-2</v>
      </c>
      <c r="O146" s="62">
        <f>'Parameter Input'!W9</f>
        <v>2.6334993997599043E-2</v>
      </c>
      <c r="P146" s="62">
        <f>'Parameter Input'!X9</f>
        <v>2.5728361344537817E-2</v>
      </c>
      <c r="Q146" s="62">
        <f>'Parameter Input'!Y9</f>
        <v>2.5121728691476591E-2</v>
      </c>
      <c r="R146" s="62">
        <f>'Parameter Input'!Z9</f>
        <v>2.4515096038415365E-2</v>
      </c>
      <c r="S146" s="62">
        <f>'Parameter Input'!AA9</f>
        <v>2.3908463385354146E-2</v>
      </c>
      <c r="T146" s="62">
        <f>'Parameter Input'!AB9</f>
        <v>2.330183073229292E-2</v>
      </c>
      <c r="U146" s="62">
        <f>'Parameter Input'!AC9</f>
        <v>2.2695198079231694E-2</v>
      </c>
      <c r="V146" s="62">
        <f>'Parameter Input'!AD9</f>
        <v>2.2088565426170468E-2</v>
      </c>
      <c r="W146" s="62">
        <f>'Parameter Input'!AE9</f>
        <v>2.1481932773109242E-2</v>
      </c>
      <c r="X146" s="62">
        <f>'Parameter Input'!AF9</f>
        <v>2.0875300120048023E-2</v>
      </c>
      <c r="Y146" s="62">
        <f>'Parameter Input'!AG9</f>
        <v>2.0268667466986797E-2</v>
      </c>
      <c r="Z146" s="62">
        <f>'Parameter Input'!AH9</f>
        <v>1.9662034813925571E-2</v>
      </c>
      <c r="AA146" s="62">
        <f>'Parameter Input'!AI9</f>
        <v>1.9055402160864345E-2</v>
      </c>
      <c r="AB146" s="62">
        <f>'Parameter Input'!AJ9</f>
        <v>1.8448769507803119E-2</v>
      </c>
      <c r="AC146" s="62">
        <f>'Parameter Input'!AK9</f>
        <v>1.78421368547419E-2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197</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4498618.0304829236</v>
      </c>
      <c r="C163" s="62">
        <f t="shared" ref="C163:AC163" si="124">C145*C146*C153</f>
        <v>4188079.3759353086</v>
      </c>
      <c r="D163" s="62">
        <f t="shared" si="124"/>
        <v>3877468.0419729641</v>
      </c>
      <c r="E163" s="62">
        <f t="shared" si="124"/>
        <v>3566766.217460895</v>
      </c>
      <c r="F163" s="62">
        <f t="shared" si="124"/>
        <v>3255954.4458860727</v>
      </c>
      <c r="G163" s="62">
        <f t="shared" si="124"/>
        <v>2945013.6349047427</v>
      </c>
      <c r="H163" s="62">
        <f t="shared" si="124"/>
        <v>2633929.1365398113</v>
      </c>
      <c r="I163" s="62">
        <f t="shared" si="124"/>
        <v>2322698.2431000774</v>
      </c>
      <c r="J163" s="62">
        <f t="shared" si="124"/>
        <v>2273812.2520016357</v>
      </c>
      <c r="K163" s="62">
        <f t="shared" si="124"/>
        <v>2224260.4832576048</v>
      </c>
      <c r="L163" s="62">
        <f t="shared" si="124"/>
        <v>2173830.4324544049</v>
      </c>
      <c r="M163" s="62">
        <f t="shared" si="124"/>
        <v>2122275.575613555</v>
      </c>
      <c r="N163" s="62">
        <f t="shared" si="124"/>
        <v>2069342.0583988025</v>
      </c>
      <c r="O163" s="62">
        <f t="shared" si="124"/>
        <v>2014826.1691024788</v>
      </c>
      <c r="P163" s="62">
        <f t="shared" si="124"/>
        <v>1958668.2716916476</v>
      </c>
      <c r="Q163" s="62">
        <f t="shared" si="124"/>
        <v>1901067.0088093535</v>
      </c>
      <c r="R163" s="62">
        <f t="shared" si="124"/>
        <v>1842559.9816717752</v>
      </c>
      <c r="S163" s="62">
        <f t="shared" si="124"/>
        <v>1783992.1296651261</v>
      </c>
      <c r="T163" s="62">
        <f t="shared" si="124"/>
        <v>1726331.4306318762</v>
      </c>
      <c r="U163" s="62">
        <f t="shared" si="124"/>
        <v>1670398.7763802267</v>
      </c>
      <c r="V163" s="62">
        <f t="shared" si="124"/>
        <v>1616659.5725604114</v>
      </c>
      <c r="W163" s="62">
        <f t="shared" si="124"/>
        <v>1565180.5165969562</v>
      </c>
      <c r="X163" s="62">
        <f t="shared" si="124"/>
        <v>1515731.5068314851</v>
      </c>
      <c r="Y163" s="62">
        <f t="shared" si="124"/>
        <v>1467937.8982067783</v>
      </c>
      <c r="Z163" s="62">
        <f t="shared" si="124"/>
        <v>1421404.470279735</v>
      </c>
      <c r="AA163" s="62">
        <f t="shared" si="124"/>
        <v>1375784.7961731155</v>
      </c>
      <c r="AB163" s="62">
        <f t="shared" si="124"/>
        <v>1330805.4504176688</v>
      </c>
      <c r="AC163" s="62">
        <f t="shared" si="124"/>
        <v>1286264.2796700606</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504</v>
      </c>
      <c r="B165" s="64">
        <f>B156+B157+B158+B159+B160+B161+B162+B163+B164</f>
        <v>7805941.0884509999</v>
      </c>
      <c r="C165" s="64">
        <f t="shared" ref="C165:AC165" si="126">C156+C157+C158+C159+C160+C161+C162+C163+C164</f>
        <v>7495458.1793745141</v>
      </c>
      <c r="D165" s="64">
        <f t="shared" si="126"/>
        <v>7184926.6438124627</v>
      </c>
      <c r="E165" s="64">
        <f t="shared" si="126"/>
        <v>6874338.9765236862</v>
      </c>
      <c r="F165" s="64">
        <f t="shared" si="126"/>
        <v>6563690.3608109914</v>
      </c>
      <c r="G165" s="64">
        <f t="shared" si="126"/>
        <v>6252982.4085043604</v>
      </c>
      <c r="H165" s="64">
        <f t="shared" si="126"/>
        <v>5942229.5580186872</v>
      </c>
      <c r="I165" s="64">
        <f t="shared" si="126"/>
        <v>5631469.557025183</v>
      </c>
      <c r="J165" s="64">
        <f t="shared" si="126"/>
        <v>5583249.1271496126</v>
      </c>
      <c r="K165" s="64">
        <f t="shared" si="126"/>
        <v>5534631.7943547741</v>
      </c>
      <c r="L165" s="64">
        <f t="shared" si="126"/>
        <v>5485500.9487317037</v>
      </c>
      <c r="M165" s="64">
        <f t="shared" si="126"/>
        <v>5435727.2535894513</v>
      </c>
      <c r="N165" s="64">
        <f t="shared" si="126"/>
        <v>5385187.4268360399</v>
      </c>
      <c r="O165" s="64">
        <f t="shared" si="126"/>
        <v>5333800.5533996793</v>
      </c>
      <c r="P165" s="64">
        <f t="shared" si="126"/>
        <v>5281583.1225921465</v>
      </c>
      <c r="Q165" s="64">
        <f t="shared" si="126"/>
        <v>5228710.3065226991</v>
      </c>
      <c r="R165" s="64">
        <f t="shared" si="126"/>
        <v>5175550.0824654941</v>
      </c>
      <c r="S165" s="64">
        <f t="shared" si="126"/>
        <v>5122626.8285334129</v>
      </c>
      <c r="T165" s="64">
        <f t="shared" si="126"/>
        <v>5070499.6524425475</v>
      </c>
      <c r="U165" s="64">
        <f t="shared" si="126"/>
        <v>5019604.2780249231</v>
      </c>
      <c r="V165" s="64">
        <f t="shared" si="126"/>
        <v>4970146.0447415859</v>
      </c>
      <c r="W165" s="64">
        <f t="shared" si="126"/>
        <v>4922095.2794994637</v>
      </c>
      <c r="X165" s="64">
        <f t="shared" si="126"/>
        <v>4875262.2077127714</v>
      </c>
      <c r="Y165" s="64">
        <f t="shared" si="126"/>
        <v>4829391.5233009961</v>
      </c>
      <c r="Z165" s="64">
        <f t="shared" si="126"/>
        <v>4784232.9583678991</v>
      </c>
      <c r="AA165" s="64">
        <f t="shared" si="126"/>
        <v>4739576.8601807486</v>
      </c>
      <c r="AB165" s="64">
        <f t="shared" si="126"/>
        <v>4695263.4046116611</v>
      </c>
      <c r="AC165" s="64">
        <f t="shared" si="126"/>
        <v>4651177.9357011588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37.488483587357699</v>
      </c>
      <c r="C175" s="66">
        <f t="shared" ref="C175:AC175" si="135">C145*C146*C153/C153</f>
        <v>34.900661466127573</v>
      </c>
      <c r="D175" s="66">
        <f t="shared" si="135"/>
        <v>32.312233683108033</v>
      </c>
      <c r="E175" s="66">
        <f t="shared" si="135"/>
        <v>29.723051812174123</v>
      </c>
      <c r="F175" s="66">
        <f t="shared" si="135"/>
        <v>27.132953715717271</v>
      </c>
      <c r="G175" s="66">
        <f t="shared" si="135"/>
        <v>24.541780290872858</v>
      </c>
      <c r="H175" s="66">
        <f t="shared" si="135"/>
        <v>21.949409471165094</v>
      </c>
      <c r="I175" s="66">
        <f t="shared" si="135"/>
        <v>19.355818692500645</v>
      </c>
      <c r="J175" s="66">
        <f t="shared" si="135"/>
        <v>18.948435433346965</v>
      </c>
      <c r="K175" s="66">
        <f t="shared" si="135"/>
        <v>18.535504027146708</v>
      </c>
      <c r="L175" s="66">
        <f t="shared" si="135"/>
        <v>18.115253603786709</v>
      </c>
      <c r="M175" s="66">
        <f t="shared" si="135"/>
        <v>17.685629796779626</v>
      </c>
      <c r="N175" s="66">
        <f t="shared" si="135"/>
        <v>17.244517153323354</v>
      </c>
      <c r="O175" s="66">
        <f t="shared" si="135"/>
        <v>16.790218075853989</v>
      </c>
      <c r="P175" s="66">
        <f t="shared" si="135"/>
        <v>16.322235597430396</v>
      </c>
      <c r="Q175" s="66">
        <f t="shared" si="135"/>
        <v>15.842225073411278</v>
      </c>
      <c r="R175" s="66">
        <f t="shared" si="135"/>
        <v>15.354666513931461</v>
      </c>
      <c r="S175" s="66">
        <f t="shared" si="135"/>
        <v>14.866601080542717</v>
      </c>
      <c r="T175" s="66">
        <f t="shared" si="135"/>
        <v>14.386095255265635</v>
      </c>
      <c r="U175" s="66">
        <f t="shared" si="135"/>
        <v>13.919989803168557</v>
      </c>
      <c r="V175" s="66">
        <f t="shared" si="135"/>
        <v>13.472163104670095</v>
      </c>
      <c r="W175" s="66">
        <f t="shared" si="135"/>
        <v>13.043170971641301</v>
      </c>
      <c r="X175" s="66">
        <f t="shared" si="135"/>
        <v>12.631095890262376</v>
      </c>
      <c r="Y175" s="66">
        <f t="shared" si="135"/>
        <v>12.23281581838982</v>
      </c>
      <c r="Z175" s="66">
        <f t="shared" si="135"/>
        <v>11.845037252331126</v>
      </c>
      <c r="AA175" s="66">
        <f t="shared" si="135"/>
        <v>11.46487330144263</v>
      </c>
      <c r="AB175" s="66">
        <f t="shared" si="135"/>
        <v>11.09004542014724</v>
      </c>
      <c r="AC175" s="66">
        <f t="shared" si="135"/>
        <v>10.718868997250505</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187</v>
      </c>
      <c r="B177" s="76">
        <f>B168+B169+B170-B171+B172+B173+B174+B175+B176</f>
        <v>65.701398388860611</v>
      </c>
      <c r="C177" s="76">
        <f t="shared" ref="C177:AC177" si="137">C168+C169+C170-C171+C172+C173+C174+C175+C176</f>
        <v>63.114040813223241</v>
      </c>
      <c r="D177" s="76">
        <f t="shared" si="137"/>
        <v>60.526278016872809</v>
      </c>
      <c r="E177" s="76">
        <f t="shared" si="137"/>
        <v>57.938047456132999</v>
      </c>
      <c r="F177" s="76">
        <f t="shared" si="137"/>
        <v>55.349308991860539</v>
      </c>
      <c r="G177" s="76">
        <f t="shared" si="137"/>
        <v>52.76007605597195</v>
      </c>
      <c r="H177" s="76">
        <f t="shared" si="137"/>
        <v>50.170468968591344</v>
      </c>
      <c r="I177" s="76">
        <f t="shared" si="137"/>
        <v>47.580802293645476</v>
      </c>
      <c r="J177" s="76">
        <f t="shared" si="137"/>
        <v>47.178965378015718</v>
      </c>
      <c r="K177" s="76">
        <f t="shared" si="137"/>
        <v>46.773820938058734</v>
      </c>
      <c r="L177" s="76">
        <f t="shared" si="137"/>
        <v>46.364397224533157</v>
      </c>
      <c r="M177" s="76">
        <f t="shared" si="137"/>
        <v>45.949616431681044</v>
      </c>
      <c r="N177" s="76">
        <f t="shared" si="137"/>
        <v>45.528451208735952</v>
      </c>
      <c r="O177" s="76">
        <f t="shared" si="137"/>
        <v>45.100227263432942</v>
      </c>
      <c r="P177" s="76">
        <f t="shared" si="137"/>
        <v>44.665082006703507</v>
      </c>
      <c r="Q177" s="76">
        <f t="shared" si="137"/>
        <v>44.224475206124779</v>
      </c>
      <c r="R177" s="76">
        <f t="shared" si="137"/>
        <v>43.781473338981399</v>
      </c>
      <c r="S177" s="76">
        <f t="shared" si="137"/>
        <v>43.340446222880722</v>
      </c>
      <c r="T177" s="76">
        <f t="shared" si="137"/>
        <v>42.906053088790181</v>
      </c>
      <c r="U177" s="76">
        <f t="shared" si="137"/>
        <v>42.481924968643312</v>
      </c>
      <c r="V177" s="76">
        <f t="shared" si="137"/>
        <v>42.0697730246155</v>
      </c>
      <c r="W177" s="76">
        <f t="shared" si="137"/>
        <v>41.669349980931152</v>
      </c>
      <c r="X177" s="76">
        <f t="shared" si="137"/>
        <v>41.279074382708707</v>
      </c>
      <c r="Y177" s="76">
        <f t="shared" si="137"/>
        <v>40.896818679277246</v>
      </c>
      <c r="Z177" s="76">
        <f t="shared" si="137"/>
        <v>40.520497304834777</v>
      </c>
      <c r="AA177" s="76">
        <f t="shared" si="137"/>
        <v>40.148363153275199</v>
      </c>
      <c r="AB177" s="76">
        <f t="shared" si="137"/>
        <v>39.779084356866122</v>
      </c>
      <c r="AC177" s="76">
        <f t="shared" si="137"/>
        <v>39.411705449278607</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3.9670353002494918E-3</v>
      </c>
      <c r="C187" s="66">
        <f t="shared" ref="C187:AC187" si="146">C145*C146*C153/C153/(C150)</f>
        <v>3.6931916895373094E-3</v>
      </c>
      <c r="D187" s="66">
        <f t="shared" si="146"/>
        <v>3.4192839876304795E-3</v>
      </c>
      <c r="E187" s="66">
        <f t="shared" si="146"/>
        <v>3.1452964880607538E-3</v>
      </c>
      <c r="F187" s="66">
        <f t="shared" si="146"/>
        <v>2.8712120334092352E-3</v>
      </c>
      <c r="G187" s="66">
        <f t="shared" si="146"/>
        <v>2.597013787393953E-3</v>
      </c>
      <c r="H187" s="66">
        <f t="shared" si="146"/>
        <v>2.3226888329275232E-3</v>
      </c>
      <c r="I187" s="66">
        <f t="shared" si="146"/>
        <v>2.0482347822752007E-3</v>
      </c>
      <c r="J187" s="66">
        <f t="shared" si="146"/>
        <v>2.0051254426822185E-3</v>
      </c>
      <c r="K187" s="66">
        <f t="shared" si="146"/>
        <v>1.9614289975816621E-3</v>
      </c>
      <c r="L187" s="66">
        <f t="shared" si="146"/>
        <v>1.9169580533107628E-3</v>
      </c>
      <c r="M187" s="66">
        <f t="shared" si="146"/>
        <v>1.8714952165904367E-3</v>
      </c>
      <c r="N187" s="66">
        <f t="shared" si="146"/>
        <v>1.8248166299813073E-3</v>
      </c>
      <c r="O187" s="66">
        <f t="shared" si="146"/>
        <v>1.7767426535295226E-3</v>
      </c>
      <c r="P187" s="66">
        <f t="shared" si="146"/>
        <v>1.7272206981407826E-3</v>
      </c>
      <c r="Q187" s="66">
        <f t="shared" si="146"/>
        <v>1.6764259336943151E-3</v>
      </c>
      <c r="R187" s="66">
        <f t="shared" si="146"/>
        <v>1.6248324353366624E-3</v>
      </c>
      <c r="S187" s="66">
        <f t="shared" si="146"/>
        <v>1.5731852995283298E-3</v>
      </c>
      <c r="T187" s="66">
        <f t="shared" si="146"/>
        <v>1.5223381222503319E-3</v>
      </c>
      <c r="U187" s="66">
        <f t="shared" si="146"/>
        <v>1.4730147939860906E-3</v>
      </c>
      <c r="V187" s="66">
        <f t="shared" si="146"/>
        <v>1.4256257253619149E-3</v>
      </c>
      <c r="W187" s="66">
        <f t="shared" si="146"/>
        <v>1.3802297324488149E-3</v>
      </c>
      <c r="X187" s="66">
        <f t="shared" si="146"/>
        <v>1.3366239037314685E-3</v>
      </c>
      <c r="Y187" s="66">
        <f t="shared" si="146"/>
        <v>1.2944778643798752E-3</v>
      </c>
      <c r="Z187" s="66">
        <f t="shared" si="146"/>
        <v>1.2534430954847752E-3</v>
      </c>
      <c r="AA187" s="66">
        <f t="shared" si="146"/>
        <v>1.2132141059727651E-3</v>
      </c>
      <c r="AB187" s="66">
        <f t="shared" si="146"/>
        <v>1.1735497799097608E-3</v>
      </c>
      <c r="AC187" s="66">
        <f t="shared" si="146"/>
        <v>1.1342718515609E-3</v>
      </c>
    </row>
    <row r="188" spans="1:29" x14ac:dyDescent="0.25">
      <c r="A188" s="59" t="str">
        <f>A151</f>
        <v>Market failure (av. utilization)</v>
      </c>
      <c r="B188" s="66">
        <f t="shared" ref="B188:AC188" si="147">B177/B151-B177/B150</f>
        <v>5.1739750177028166E-3</v>
      </c>
      <c r="C188" s="66">
        <f t="shared" si="147"/>
        <v>4.9702210065784265E-3</v>
      </c>
      <c r="D188" s="66">
        <f t="shared" si="147"/>
        <v>4.7664350843852092E-3</v>
      </c>
      <c r="E188" s="66">
        <f t="shared" si="147"/>
        <v>4.562612325818274E-3</v>
      </c>
      <c r="F188" s="66">
        <f t="shared" si="147"/>
        <v>4.3587495699262636E-3</v>
      </c>
      <c r="G188" s="66">
        <f t="shared" si="147"/>
        <v>4.1548478744705356E-3</v>
      </c>
      <c r="H188" s="66">
        <f t="shared" si="147"/>
        <v>3.9509167146423597E-3</v>
      </c>
      <c r="I188" s="66">
        <f t="shared" si="147"/>
        <v>3.7469808623025848E-3</v>
      </c>
      <c r="J188" s="66">
        <f t="shared" si="147"/>
        <v>3.7153362670025915E-3</v>
      </c>
      <c r="K188" s="66">
        <f t="shared" si="147"/>
        <v>3.683431204670554E-3</v>
      </c>
      <c r="L188" s="66">
        <f t="shared" si="147"/>
        <v>3.6511891502031772E-3</v>
      </c>
      <c r="M188" s="66">
        <f t="shared" si="147"/>
        <v>3.6185252265627981E-3</v>
      </c>
      <c r="N188" s="66">
        <f t="shared" si="147"/>
        <v>3.5853585300345764E-3</v>
      </c>
      <c r="O188" s="66">
        <f t="shared" si="147"/>
        <v>3.5516359602063589E-3</v>
      </c>
      <c r="P188" s="66">
        <f t="shared" si="147"/>
        <v>3.5173683381678651E-3</v>
      </c>
      <c r="Q188" s="66">
        <f t="shared" si="147"/>
        <v>3.4826706203912716E-3</v>
      </c>
      <c r="R188" s="66">
        <f t="shared" si="147"/>
        <v>3.4477842914910906E-3</v>
      </c>
      <c r="S188" s="66">
        <f t="shared" si="147"/>
        <v>3.4130534739317915E-3</v>
      </c>
      <c r="T188" s="66">
        <f t="shared" si="147"/>
        <v>3.3788450814354271E-3</v>
      </c>
      <c r="U188" s="66">
        <f t="shared" si="147"/>
        <v>3.345445057208284E-3</v>
      </c>
      <c r="V188" s="66">
        <f t="shared" si="147"/>
        <v>3.3129881550084811E-3</v>
      </c>
      <c r="W188" s="66">
        <f t="shared" si="147"/>
        <v>3.2814549019067234E-3</v>
      </c>
      <c r="X188" s="66">
        <f t="shared" si="147"/>
        <v>3.2507207585743296E-3</v>
      </c>
      <c r="Y188" s="66">
        <f t="shared" si="147"/>
        <v>3.2206181807231992E-3</v>
      </c>
      <c r="Z188" s="66">
        <f t="shared" si="147"/>
        <v>3.1909829303672027E-3</v>
      </c>
      <c r="AA188" s="66">
        <f t="shared" si="147"/>
        <v>3.1616774231692044E-3</v>
      </c>
      <c r="AB188" s="66">
        <f t="shared" si="147"/>
        <v>3.1325967747501317E-3</v>
      </c>
      <c r="AC188" s="66">
        <f t="shared" si="147"/>
        <v>3.1036657422835378E-3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505</v>
      </c>
      <c r="B191" s="76">
        <f>B180+B181+B182+B183+B184+B185+B186+B187+B188+B189+B190</f>
        <v>1.2057520951081122E-2</v>
      </c>
      <c r="C191" s="67">
        <f t="shared" ref="C191:AC191" si="150">C180+C181+C182+C183+C184+C185+C186+C187+C188+C189+C190</f>
        <v>1.1579972487508333E-2</v>
      </c>
      <c r="D191" s="67">
        <f t="shared" si="150"/>
        <v>1.110234923236798E-2</v>
      </c>
      <c r="E191" s="67">
        <f t="shared" si="150"/>
        <v>1.0624639641976727E-2</v>
      </c>
      <c r="F191" s="67">
        <f t="shared" si="150"/>
        <v>1.0146836307854828E-2</v>
      </c>
      <c r="G191" s="67">
        <f t="shared" si="150"/>
        <v>9.6689417091304648E-3</v>
      </c>
      <c r="H191" s="67">
        <f t="shared" si="150"/>
        <v>9.1909780532831772E-3</v>
      </c>
      <c r="I191" s="67">
        <f t="shared" si="150"/>
        <v>8.7130033993618287E-3</v>
      </c>
      <c r="J191" s="67">
        <f t="shared" si="150"/>
        <v>8.6388363791274694E-3</v>
      </c>
      <c r="K191" s="67">
        <f t="shared" si="150"/>
        <v>8.5640588892867565E-3</v>
      </c>
      <c r="L191" s="67">
        <f t="shared" si="150"/>
        <v>8.4884915741288425E-3</v>
      </c>
      <c r="M191" s="67">
        <f t="shared" si="150"/>
        <v>8.4119355030967055E-3</v>
      </c>
      <c r="N191" s="67">
        <f t="shared" si="150"/>
        <v>8.3342010581086857E-3</v>
      </c>
      <c r="O191" s="67">
        <f t="shared" si="150"/>
        <v>8.2551637850738005E-3</v>
      </c>
      <c r="P191" s="67">
        <f t="shared" si="150"/>
        <v>8.1748490459210808E-3</v>
      </c>
      <c r="Q191" s="67">
        <f t="shared" si="150"/>
        <v>8.093526269882188E-3</v>
      </c>
      <c r="R191" s="67">
        <f t="shared" si="150"/>
        <v>8.0117614365223903E-3</v>
      </c>
      <c r="S191" s="67">
        <f t="shared" si="150"/>
        <v>7.9303610828677807E-3</v>
      </c>
      <c r="T191" s="67">
        <f t="shared" si="150"/>
        <v>7.8501851629544286E-3</v>
      </c>
      <c r="U191" s="67">
        <f t="shared" si="150"/>
        <v>7.7719038561720605E-3</v>
      </c>
      <c r="V191" s="67">
        <f t="shared" si="150"/>
        <v>7.6958329916412722E-3</v>
      </c>
      <c r="W191" s="67">
        <f t="shared" si="150"/>
        <v>7.6219269296840279E-3</v>
      </c>
      <c r="X191" s="67">
        <f t="shared" si="150"/>
        <v>7.5498937812487309E-3</v>
      </c>
      <c r="Y191" s="67">
        <f t="shared" si="150"/>
        <v>7.4793408644101434E-3</v>
      </c>
      <c r="Z191" s="67">
        <f t="shared" si="150"/>
        <v>7.4098832463882769E-3</v>
      </c>
      <c r="AA191" s="67">
        <f t="shared" si="150"/>
        <v>7.3411984638929693E-3</v>
      </c>
      <c r="AB191" s="67">
        <f t="shared" si="150"/>
        <v>7.2730406941607668E-3</v>
      </c>
      <c r="AC191" s="67">
        <f t="shared" si="150"/>
        <v>7.205233586817187E-3</v>
      </c>
    </row>
    <row r="193" spans="2:2" x14ac:dyDescent="0.25">
      <c r="B193" s="40"/>
    </row>
    <row r="215" spans="1:44" s="3" customFormat="1" ht="21" x14ac:dyDescent="0.35">
      <c r="A215" s="2" t="str">
        <f>'Parameter Input'!A235</f>
        <v>Short-sea: Break bulk</v>
      </c>
    </row>
    <row r="216" spans="1:44" s="3" customFormat="1" ht="21" x14ac:dyDescent="0.35">
      <c r="A216" s="2" t="s">
        <v>101</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Input'!$L$212</f>
        <v>15000000</v>
      </c>
      <c r="C225" s="42">
        <f>'Parameter Input'!$M$212</f>
        <v>15000000</v>
      </c>
      <c r="D225" s="1" t="s">
        <v>138</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151</v>
      </c>
      <c r="B226" s="60">
        <f>'Parameter Input'!$L$213</f>
        <v>-1500000</v>
      </c>
      <c r="C226" s="61">
        <f>'Parameter Input'!$M$213</f>
        <v>-750000</v>
      </c>
      <c r="D226" s="1" t="s">
        <v>138</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203</v>
      </c>
      <c r="B229" s="92">
        <f>'Parameter Input'!$L$219</f>
        <v>0.06</v>
      </c>
      <c r="C229" s="91">
        <f>'Parameter Input'!$M$219</f>
        <v>0.06</v>
      </c>
      <c r="D229" s="1" t="s">
        <v>180</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175</v>
      </c>
      <c r="B231" s="60">
        <f>'Parameter Input'!$L$215</f>
        <v>488235.29411764705</v>
      </c>
      <c r="C231" s="61">
        <f>'Parameter Input'!$M$215</f>
        <v>488235.29411764705</v>
      </c>
      <c r="D231" s="1" t="s">
        <v>161</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183</v>
      </c>
      <c r="B233" s="60">
        <f>'Parameter Input'!$L$216</f>
        <v>647</v>
      </c>
      <c r="C233" s="61">
        <f>'Parameter Input'!$M$216</f>
        <v>600</v>
      </c>
      <c r="D233" s="1" t="s">
        <v>184</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191</v>
      </c>
      <c r="B234" s="78">
        <f>'Parameter Input'!$L$217</f>
        <v>0.06</v>
      </c>
      <c r="C234" s="61">
        <f>'Parameter Input'!$M$217</f>
        <v>0.06</v>
      </c>
      <c r="D234" s="1" t="s">
        <v>94</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458</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164</v>
      </c>
      <c r="B236" s="60">
        <f>'Parameter Input'!$L$214</f>
        <v>25</v>
      </c>
      <c r="C236" s="61">
        <f>'Parameter Input'!$M$214</f>
        <v>25</v>
      </c>
      <c r="D236" s="1" t="s">
        <v>165</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197</v>
      </c>
      <c r="B240" s="45">
        <f>'Parameter Input'!$L$218</f>
        <v>0</v>
      </c>
      <c r="C240" s="46">
        <f>'Parameter Input'!$M$218</f>
        <v>0</v>
      </c>
      <c r="D240" s="1" t="s">
        <v>180</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5.7951260504201685E-2</v>
      </c>
      <c r="C254" s="62">
        <f>'Parameter Input'!K9</f>
        <v>5.3954621848739497E-2</v>
      </c>
      <c r="D254" s="62">
        <f>'Parameter Input'!L9</f>
        <v>4.9957983193277315E-2</v>
      </c>
      <c r="E254" s="62">
        <f>'Parameter Input'!M9</f>
        <v>4.5961344537815127E-2</v>
      </c>
      <c r="F254" s="62">
        <f>'Parameter Input'!N9</f>
        <v>4.1964705882352946E-2</v>
      </c>
      <c r="G254" s="62">
        <f>'Parameter Input'!O9</f>
        <v>3.7968067226890764E-2</v>
      </c>
      <c r="H254" s="62">
        <f>'Parameter Input'!P9</f>
        <v>3.3971428571428583E-2</v>
      </c>
      <c r="I254" s="62">
        <f>'Parameter Input'!Q9</f>
        <v>2.9974789915966391E-2</v>
      </c>
      <c r="J254" s="62">
        <f>'Parameter Input'!R9</f>
        <v>2.9368157262905165E-2</v>
      </c>
      <c r="K254" s="62">
        <f>'Parameter Input'!S9</f>
        <v>2.8761524609843939E-2</v>
      </c>
      <c r="L254" s="62">
        <f>'Parameter Input'!T9</f>
        <v>2.8154891956782713E-2</v>
      </c>
      <c r="M254" s="62">
        <f>'Parameter Input'!U9</f>
        <v>2.7548259303721487E-2</v>
      </c>
      <c r="N254" s="62">
        <f>'Parameter Input'!V9</f>
        <v>2.6941626650660268E-2</v>
      </c>
      <c r="O254" s="62">
        <f>'Parameter Input'!W9</f>
        <v>2.6334993997599043E-2</v>
      </c>
      <c r="P254" s="62">
        <f>'Parameter Input'!X9</f>
        <v>2.5728361344537817E-2</v>
      </c>
      <c r="Q254" s="62">
        <f>'Parameter Input'!Y9</f>
        <v>2.5121728691476591E-2</v>
      </c>
      <c r="R254" s="62">
        <f>'Parameter Input'!Z9</f>
        <v>2.4515096038415365E-2</v>
      </c>
      <c r="S254" s="62">
        <f>'Parameter Input'!AA9</f>
        <v>2.3908463385354146E-2</v>
      </c>
      <c r="T254" s="62">
        <f>'Parameter Input'!AB9</f>
        <v>2.330183073229292E-2</v>
      </c>
      <c r="U254" s="62">
        <f>'Parameter Input'!AC9</f>
        <v>2.2695198079231694E-2</v>
      </c>
      <c r="V254" s="62">
        <f>'Parameter Input'!AD9</f>
        <v>2.2088565426170468E-2</v>
      </c>
      <c r="W254" s="62">
        <f>'Parameter Input'!AE9</f>
        <v>2.1481932773109242E-2</v>
      </c>
      <c r="X254" s="62">
        <f>'Parameter Input'!AF9</f>
        <v>2.0875300120048023E-2</v>
      </c>
      <c r="Y254" s="62">
        <f>'Parameter Input'!AG9</f>
        <v>2.0268667466986797E-2</v>
      </c>
      <c r="Z254" s="62">
        <f>'Parameter Input'!AH9</f>
        <v>1.9662034813925571E-2</v>
      </c>
      <c r="AA254" s="62">
        <f>'Parameter Input'!AI9</f>
        <v>1.9055402160864345E-2</v>
      </c>
      <c r="AB254" s="62">
        <f>'Parameter Input'!AJ9</f>
        <v>1.8448769507803119E-2</v>
      </c>
      <c r="AC254" s="62">
        <f>'Parameter Input'!AK9</f>
        <v>1.78421368547419E-2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197</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4498618.0304829236</v>
      </c>
      <c r="C271" s="62">
        <f t="shared" ref="C271:AC271" si="200">C253*C254*C261</f>
        <v>4188079.3759353086</v>
      </c>
      <c r="D271" s="62">
        <f t="shared" si="200"/>
        <v>3877468.0419729641</v>
      </c>
      <c r="E271" s="62">
        <f t="shared" si="200"/>
        <v>3566766.217460895</v>
      </c>
      <c r="F271" s="62">
        <f t="shared" si="200"/>
        <v>3255954.4458860727</v>
      </c>
      <c r="G271" s="62">
        <f t="shared" si="200"/>
        <v>2945013.6349047427</v>
      </c>
      <c r="H271" s="62">
        <f t="shared" si="200"/>
        <v>2633929.1365398113</v>
      </c>
      <c r="I271" s="62">
        <f t="shared" si="200"/>
        <v>2322698.2431000774</v>
      </c>
      <c r="J271" s="62">
        <f t="shared" si="200"/>
        <v>2273812.2520016357</v>
      </c>
      <c r="K271" s="62">
        <f t="shared" si="200"/>
        <v>2224260.4832576048</v>
      </c>
      <c r="L271" s="62">
        <f t="shared" si="200"/>
        <v>2173830.4324544049</v>
      </c>
      <c r="M271" s="62">
        <f t="shared" si="200"/>
        <v>2122275.575613555</v>
      </c>
      <c r="N271" s="62">
        <f t="shared" si="200"/>
        <v>2069342.0583988025</v>
      </c>
      <c r="O271" s="62">
        <f t="shared" si="200"/>
        <v>2014826.1691024788</v>
      </c>
      <c r="P271" s="62">
        <f t="shared" si="200"/>
        <v>1958668.2716916476</v>
      </c>
      <c r="Q271" s="62">
        <f t="shared" si="200"/>
        <v>1901067.0088093535</v>
      </c>
      <c r="R271" s="62">
        <f t="shared" si="200"/>
        <v>1842559.9816717752</v>
      </c>
      <c r="S271" s="62">
        <f t="shared" si="200"/>
        <v>1783992.1296651261</v>
      </c>
      <c r="T271" s="62">
        <f t="shared" si="200"/>
        <v>1726331.4306318762</v>
      </c>
      <c r="U271" s="62">
        <f t="shared" si="200"/>
        <v>1670398.7763802267</v>
      </c>
      <c r="V271" s="62">
        <f t="shared" si="200"/>
        <v>1616659.5725604114</v>
      </c>
      <c r="W271" s="62">
        <f t="shared" si="200"/>
        <v>1565180.5165969562</v>
      </c>
      <c r="X271" s="62">
        <f t="shared" si="200"/>
        <v>1515731.5068314851</v>
      </c>
      <c r="Y271" s="62">
        <f t="shared" si="200"/>
        <v>1467937.8982067783</v>
      </c>
      <c r="Z271" s="62">
        <f t="shared" si="200"/>
        <v>1421404.470279735</v>
      </c>
      <c r="AA271" s="62">
        <f t="shared" si="200"/>
        <v>1375784.7961731155</v>
      </c>
      <c r="AB271" s="62">
        <f t="shared" si="200"/>
        <v>1330805.4504176688</v>
      </c>
      <c r="AC271" s="62">
        <f t="shared" si="200"/>
        <v>1286264.2796700606</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504</v>
      </c>
      <c r="B273" s="64">
        <f>B264+B265+B266+B267+B268+B269+B270+B271+B272</f>
        <v>7419218.8982314281</v>
      </c>
      <c r="C273" s="64">
        <f t="shared" ref="C273:AC273" si="202">C264+C265+C266+C267+C268+C269+C270+C271+C272</f>
        <v>7108735.9891549423</v>
      </c>
      <c r="D273" s="64">
        <f t="shared" si="202"/>
        <v>6798204.4535928909</v>
      </c>
      <c r="E273" s="64">
        <f t="shared" si="202"/>
        <v>6487616.7863041144</v>
      </c>
      <c r="F273" s="64">
        <f t="shared" si="202"/>
        <v>6176968.1705914196</v>
      </c>
      <c r="G273" s="64">
        <f t="shared" si="202"/>
        <v>5866260.2182847885</v>
      </c>
      <c r="H273" s="64">
        <f t="shared" si="202"/>
        <v>5555507.3677991144</v>
      </c>
      <c r="I273" s="64">
        <f t="shared" si="202"/>
        <v>5244747.3668056112</v>
      </c>
      <c r="J273" s="64">
        <f t="shared" si="202"/>
        <v>5196526.9369300399</v>
      </c>
      <c r="K273" s="64">
        <f t="shared" si="202"/>
        <v>5147909.6041352022</v>
      </c>
      <c r="L273" s="64">
        <f t="shared" si="202"/>
        <v>5098778.7585121319</v>
      </c>
      <c r="M273" s="64">
        <f t="shared" si="202"/>
        <v>5049005.0633698786</v>
      </c>
      <c r="N273" s="64">
        <f t="shared" si="202"/>
        <v>4998465.2366164681</v>
      </c>
      <c r="O273" s="64">
        <f t="shared" si="202"/>
        <v>4947078.3631801065</v>
      </c>
      <c r="P273" s="64">
        <f t="shared" si="202"/>
        <v>4894860.9323725747</v>
      </c>
      <c r="Q273" s="64">
        <f t="shared" si="202"/>
        <v>4841988.1163031273</v>
      </c>
      <c r="R273" s="64">
        <f t="shared" si="202"/>
        <v>4788827.8922459213</v>
      </c>
      <c r="S273" s="64">
        <f t="shared" si="202"/>
        <v>4735904.6383138411</v>
      </c>
      <c r="T273" s="64">
        <f t="shared" si="202"/>
        <v>4683777.4622229757</v>
      </c>
      <c r="U273" s="64">
        <f t="shared" si="202"/>
        <v>4632882.0878053503</v>
      </c>
      <c r="V273" s="64">
        <f t="shared" si="202"/>
        <v>4583423.8545220131</v>
      </c>
      <c r="W273" s="64">
        <f t="shared" si="202"/>
        <v>4535373.0892798919</v>
      </c>
      <c r="X273" s="64">
        <f t="shared" si="202"/>
        <v>4488540.0174931996</v>
      </c>
      <c r="Y273" s="64">
        <f t="shared" si="202"/>
        <v>4442669.3330814233</v>
      </c>
      <c r="Z273" s="64">
        <f t="shared" si="202"/>
        <v>4397510.7681483263</v>
      </c>
      <c r="AA273" s="64">
        <f t="shared" si="202"/>
        <v>4352854.6699611768</v>
      </c>
      <c r="AB273" s="64">
        <f t="shared" si="202"/>
        <v>4308541.2143920893</v>
      </c>
      <c r="AC273" s="64">
        <f t="shared" si="202"/>
        <v>4264455.7454815861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37.488483587357699</v>
      </c>
      <c r="C283" s="66">
        <f t="shared" ref="C283:AC283" si="211">C253*C254*C261/C261</f>
        <v>34.900661466127573</v>
      </c>
      <c r="D283" s="66">
        <f t="shared" si="211"/>
        <v>32.312233683108033</v>
      </c>
      <c r="E283" s="66">
        <f t="shared" si="211"/>
        <v>29.723051812174123</v>
      </c>
      <c r="F283" s="66">
        <f t="shared" si="211"/>
        <v>27.132953715717271</v>
      </c>
      <c r="G283" s="66">
        <f t="shared" si="211"/>
        <v>24.541780290872858</v>
      </c>
      <c r="H283" s="66">
        <f t="shared" si="211"/>
        <v>21.949409471165094</v>
      </c>
      <c r="I283" s="66">
        <f t="shared" si="211"/>
        <v>19.355818692500645</v>
      </c>
      <c r="J283" s="66">
        <f t="shared" si="211"/>
        <v>18.948435433346965</v>
      </c>
      <c r="K283" s="66">
        <f t="shared" si="211"/>
        <v>18.535504027146708</v>
      </c>
      <c r="L283" s="66">
        <f t="shared" si="211"/>
        <v>18.115253603786709</v>
      </c>
      <c r="M283" s="66">
        <f t="shared" si="211"/>
        <v>17.685629796779626</v>
      </c>
      <c r="N283" s="66">
        <f t="shared" si="211"/>
        <v>17.244517153323354</v>
      </c>
      <c r="O283" s="66">
        <f t="shared" si="211"/>
        <v>16.790218075853989</v>
      </c>
      <c r="P283" s="66">
        <f t="shared" si="211"/>
        <v>16.322235597430396</v>
      </c>
      <c r="Q283" s="66">
        <f t="shared" si="211"/>
        <v>15.842225073411278</v>
      </c>
      <c r="R283" s="66">
        <f t="shared" si="211"/>
        <v>15.354666513931461</v>
      </c>
      <c r="S283" s="66">
        <f t="shared" si="211"/>
        <v>14.866601080542717</v>
      </c>
      <c r="T283" s="66">
        <f t="shared" si="211"/>
        <v>14.386095255265635</v>
      </c>
      <c r="U283" s="66">
        <f t="shared" si="211"/>
        <v>13.919989803168557</v>
      </c>
      <c r="V283" s="66">
        <f t="shared" si="211"/>
        <v>13.472163104670095</v>
      </c>
      <c r="W283" s="66">
        <f t="shared" si="211"/>
        <v>13.043170971641301</v>
      </c>
      <c r="X283" s="66">
        <f t="shared" si="211"/>
        <v>12.631095890262376</v>
      </c>
      <c r="Y283" s="66">
        <f t="shared" si="211"/>
        <v>12.23281581838982</v>
      </c>
      <c r="Z283" s="66">
        <f t="shared" si="211"/>
        <v>11.845037252331126</v>
      </c>
      <c r="AA283" s="66">
        <f t="shared" si="211"/>
        <v>11.46487330144263</v>
      </c>
      <c r="AB283" s="66">
        <f t="shared" si="211"/>
        <v>11.09004542014724</v>
      </c>
      <c r="AC283" s="66">
        <f t="shared" si="211"/>
        <v>10.718868997250505</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187</v>
      </c>
      <c r="B285" s="76">
        <f>B276+B277+B278-B279+B280+B281+B282+B283+B284</f>
        <v>61.957202015615685</v>
      </c>
      <c r="C285" s="76">
        <f t="shared" ref="C285:AC285" si="213">C276+C277+C278-C279+C280+C281+C282+C283+C284</f>
        <v>59.369844439978309</v>
      </c>
      <c r="D285" s="76">
        <f t="shared" si="213"/>
        <v>56.782081643627869</v>
      </c>
      <c r="E285" s="76">
        <f t="shared" si="213"/>
        <v>54.193851082888074</v>
      </c>
      <c r="F285" s="76">
        <f t="shared" si="213"/>
        <v>51.605112618615607</v>
      </c>
      <c r="G285" s="76">
        <f t="shared" si="213"/>
        <v>49.015879682727025</v>
      </c>
      <c r="H285" s="76">
        <f t="shared" si="213"/>
        <v>46.426272595346418</v>
      </c>
      <c r="I285" s="76">
        <f t="shared" si="213"/>
        <v>43.836605920400544</v>
      </c>
      <c r="J285" s="76">
        <f t="shared" si="213"/>
        <v>43.434769004770793</v>
      </c>
      <c r="K285" s="76">
        <f t="shared" si="213"/>
        <v>43.029624564813801</v>
      </c>
      <c r="L285" s="76">
        <f t="shared" si="213"/>
        <v>42.620200851288217</v>
      </c>
      <c r="M285" s="76">
        <f t="shared" si="213"/>
        <v>42.205420058436104</v>
      </c>
      <c r="N285" s="76">
        <f t="shared" si="213"/>
        <v>41.784254835491026</v>
      </c>
      <c r="O285" s="76">
        <f t="shared" si="213"/>
        <v>41.356030890188009</v>
      </c>
      <c r="P285" s="76">
        <f t="shared" si="213"/>
        <v>40.920885633458582</v>
      </c>
      <c r="Q285" s="76">
        <f t="shared" si="213"/>
        <v>40.480278832879847</v>
      </c>
      <c r="R285" s="76">
        <f t="shared" si="213"/>
        <v>40.037276965736467</v>
      </c>
      <c r="S285" s="76">
        <f t="shared" si="213"/>
        <v>39.59624984963579</v>
      </c>
      <c r="T285" s="76">
        <f t="shared" si="213"/>
        <v>39.161856715545255</v>
      </c>
      <c r="U285" s="76">
        <f t="shared" si="213"/>
        <v>38.737728595398373</v>
      </c>
      <c r="V285" s="76">
        <f t="shared" si="213"/>
        <v>38.325576651370568</v>
      </c>
      <c r="W285" s="76">
        <f t="shared" si="213"/>
        <v>37.925153607686219</v>
      </c>
      <c r="X285" s="76">
        <f t="shared" si="213"/>
        <v>37.534878009463782</v>
      </c>
      <c r="Y285" s="76">
        <f t="shared" si="213"/>
        <v>37.152622306032313</v>
      </c>
      <c r="Z285" s="76">
        <f t="shared" si="213"/>
        <v>36.776300931589844</v>
      </c>
      <c r="AA285" s="76">
        <f t="shared" si="213"/>
        <v>36.404166780030266</v>
      </c>
      <c r="AB285" s="76">
        <f t="shared" si="213"/>
        <v>36.034887983621196</v>
      </c>
      <c r="AC285" s="76">
        <f t="shared" si="213"/>
        <v>35.667509076033674</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3.9670353002494918E-3</v>
      </c>
      <c r="C295" s="66">
        <f t="shared" ref="C295:AC295" si="222">C253*C254*C261/C261/(C258)</f>
        <v>3.6931916895373094E-3</v>
      </c>
      <c r="D295" s="66">
        <f t="shared" si="222"/>
        <v>3.4192839876304795E-3</v>
      </c>
      <c r="E295" s="66">
        <f t="shared" si="222"/>
        <v>3.1452964880607538E-3</v>
      </c>
      <c r="F295" s="66">
        <f t="shared" si="222"/>
        <v>2.8712120334092352E-3</v>
      </c>
      <c r="G295" s="66">
        <f t="shared" si="222"/>
        <v>2.597013787393953E-3</v>
      </c>
      <c r="H295" s="66">
        <f t="shared" si="222"/>
        <v>2.3226888329275232E-3</v>
      </c>
      <c r="I295" s="66">
        <f t="shared" si="222"/>
        <v>2.0482347822752007E-3</v>
      </c>
      <c r="J295" s="66">
        <f t="shared" si="222"/>
        <v>2.0051254426822185E-3</v>
      </c>
      <c r="K295" s="66">
        <f t="shared" si="222"/>
        <v>1.9614289975816621E-3</v>
      </c>
      <c r="L295" s="66">
        <f t="shared" si="222"/>
        <v>1.9169580533107628E-3</v>
      </c>
      <c r="M295" s="66">
        <f t="shared" si="222"/>
        <v>1.8714952165904367E-3</v>
      </c>
      <c r="N295" s="66">
        <f t="shared" si="222"/>
        <v>1.8248166299813073E-3</v>
      </c>
      <c r="O295" s="66">
        <f t="shared" si="222"/>
        <v>1.7767426535295226E-3</v>
      </c>
      <c r="P295" s="66">
        <f t="shared" si="222"/>
        <v>1.7272206981407826E-3</v>
      </c>
      <c r="Q295" s="66">
        <f t="shared" si="222"/>
        <v>1.6764259336943151E-3</v>
      </c>
      <c r="R295" s="66">
        <f t="shared" si="222"/>
        <v>1.6248324353366624E-3</v>
      </c>
      <c r="S295" s="66">
        <f t="shared" si="222"/>
        <v>1.5731852995283298E-3</v>
      </c>
      <c r="T295" s="66">
        <f t="shared" si="222"/>
        <v>1.5223381222503319E-3</v>
      </c>
      <c r="U295" s="66">
        <f t="shared" si="222"/>
        <v>1.4730147939860906E-3</v>
      </c>
      <c r="V295" s="66">
        <f t="shared" si="222"/>
        <v>1.4256257253619149E-3</v>
      </c>
      <c r="W295" s="66">
        <f t="shared" si="222"/>
        <v>1.3802297324488149E-3</v>
      </c>
      <c r="X295" s="66">
        <f t="shared" si="222"/>
        <v>1.3366239037314685E-3</v>
      </c>
      <c r="Y295" s="66">
        <f t="shared" si="222"/>
        <v>1.2944778643798752E-3</v>
      </c>
      <c r="Z295" s="66">
        <f t="shared" si="222"/>
        <v>1.2534430954847752E-3</v>
      </c>
      <c r="AA295" s="66">
        <f t="shared" si="222"/>
        <v>1.2132141059727651E-3</v>
      </c>
      <c r="AB295" s="66">
        <f t="shared" si="222"/>
        <v>1.1735497799097608E-3</v>
      </c>
      <c r="AC295" s="66">
        <f t="shared" si="222"/>
        <v>1.1342718515609E-3</v>
      </c>
    </row>
    <row r="296" spans="1:29" x14ac:dyDescent="0.25">
      <c r="A296" s="59" t="str">
        <f>A259</f>
        <v>Market failure (av. utilization)</v>
      </c>
      <c r="B296" s="66">
        <f t="shared" ref="B296:AC296" si="223">B285/B259-B285/B258</f>
        <v>6.0519855448708856E-3</v>
      </c>
      <c r="C296" s="66">
        <f t="shared" si="223"/>
        <v>5.7992522041492856E-3</v>
      </c>
      <c r="D296" s="66">
        <f t="shared" si="223"/>
        <v>5.5464792814288516E-3</v>
      </c>
      <c r="E296" s="66">
        <f t="shared" si="223"/>
        <v>5.2936606674371745E-3</v>
      </c>
      <c r="F296" s="66">
        <f t="shared" si="223"/>
        <v>5.0407924413788142E-3</v>
      </c>
      <c r="G296" s="66">
        <f t="shared" si="223"/>
        <v>4.7878759152846914E-3</v>
      </c>
      <c r="H296" s="66">
        <f t="shared" si="223"/>
        <v>4.5349228420362804E-3</v>
      </c>
      <c r="I296" s="66">
        <f t="shared" si="223"/>
        <v>4.2819639482686743E-3</v>
      </c>
      <c r="J296" s="66">
        <f t="shared" si="223"/>
        <v>4.2427124790984901E-3</v>
      </c>
      <c r="K296" s="66">
        <f t="shared" si="223"/>
        <v>4.2031379306289429E-3</v>
      </c>
      <c r="L296" s="66">
        <f t="shared" si="223"/>
        <v>4.1631453822992158E-3</v>
      </c>
      <c r="M296" s="66">
        <f t="shared" si="223"/>
        <v>4.1226295539375929E-3</v>
      </c>
      <c r="N296" s="66">
        <f t="shared" si="223"/>
        <v>4.0814900938208575E-3</v>
      </c>
      <c r="O296" s="66">
        <f t="shared" si="223"/>
        <v>4.0396611370147025E-3</v>
      </c>
      <c r="P296" s="66">
        <f t="shared" si="223"/>
        <v>3.9971561058323403E-3</v>
      </c>
      <c r="Q296" s="66">
        <f t="shared" si="223"/>
        <v>3.9541175905132946E-3</v>
      </c>
      <c r="R296" s="66">
        <f t="shared" si="223"/>
        <v>3.9108451248582622E-3</v>
      </c>
      <c r="S296" s="66">
        <f t="shared" si="223"/>
        <v>3.8677655530779762E-3</v>
      </c>
      <c r="T296" s="66">
        <f t="shared" si="223"/>
        <v>3.8253339893084496E-3</v>
      </c>
      <c r="U296" s="66">
        <f t="shared" si="223"/>
        <v>3.783905113103626E-3</v>
      </c>
      <c r="V296" s="66">
        <f t="shared" si="223"/>
        <v>3.7436460709519481E-3</v>
      </c>
      <c r="W296" s="66">
        <f t="shared" si="223"/>
        <v>3.7045327089314985E-3</v>
      </c>
      <c r="X296" s="66">
        <f t="shared" si="223"/>
        <v>3.6664105503749723E-3</v>
      </c>
      <c r="Y296" s="66">
        <f t="shared" si="223"/>
        <v>3.6290717759250119E-3</v>
      </c>
      <c r="Z296" s="66">
        <f t="shared" si="223"/>
        <v>3.5923126673103635E-3</v>
      </c>
      <c r="AA296" s="66">
        <f t="shared" si="223"/>
        <v>3.5559625670359232E-3</v>
      </c>
      <c r="AB296" s="66">
        <f t="shared" si="223"/>
        <v>3.5198913781314969E-3</v>
      </c>
      <c r="AC296" s="66">
        <f t="shared" si="223"/>
        <v>3.4840057705527402E-3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505</v>
      </c>
      <c r="B299" s="77">
        <f>B288+B289+B290+B291+B292+B293+B294+B295+B296+B297+B298</f>
        <v>1.2594506619149039E-2</v>
      </c>
      <c r="C299" s="67">
        <f t="shared" ref="C299:AC299" si="226">C288+C289+C290+C291+C292+C293+C294+C295+C296+C297+C298</f>
        <v>1.206797882597904E-2</v>
      </c>
      <c r="D299" s="67">
        <f t="shared" si="226"/>
        <v>1.1541368570311471E-2</v>
      </c>
      <c r="E299" s="67">
        <f t="shared" si="226"/>
        <v>1.1014663124495476E-2</v>
      </c>
      <c r="F299" s="67">
        <f t="shared" si="226"/>
        <v>1.0487854320207227E-2</v>
      </c>
      <c r="G299" s="67">
        <f t="shared" si="226"/>
        <v>9.9609448908444705E-3</v>
      </c>
      <c r="H299" s="67">
        <f t="shared" si="226"/>
        <v>9.4339593215769443E-3</v>
      </c>
      <c r="I299" s="67">
        <f t="shared" si="226"/>
        <v>8.9069616262277655E-3</v>
      </c>
      <c r="J299" s="67">
        <f t="shared" si="226"/>
        <v>8.8251877321232179E-3</v>
      </c>
      <c r="K299" s="67">
        <f t="shared" si="226"/>
        <v>8.7427407561449927E-3</v>
      </c>
      <c r="L299" s="67">
        <f t="shared" si="226"/>
        <v>8.6594229471247293E-3</v>
      </c>
      <c r="M299" s="67">
        <f t="shared" si="226"/>
        <v>8.5750149713713468E-3</v>
      </c>
      <c r="N299" s="67">
        <f t="shared" si="226"/>
        <v>8.4893077627948149E-3</v>
      </c>
      <c r="O299" s="67">
        <f t="shared" si="226"/>
        <v>8.4021641027819914E-3</v>
      </c>
      <c r="P299" s="67">
        <f t="shared" si="226"/>
        <v>8.3136119544854042E-3</v>
      </c>
      <c r="Q299" s="67">
        <f t="shared" si="226"/>
        <v>8.2239483809040601E-3</v>
      </c>
      <c r="R299" s="67">
        <f t="shared" si="226"/>
        <v>8.1337974107894093E-3</v>
      </c>
      <c r="S299" s="67">
        <f t="shared" si="226"/>
        <v>8.0440483029138136E-3</v>
      </c>
      <c r="T299" s="67">
        <f t="shared" si="226"/>
        <v>7.9556492117272993E-3</v>
      </c>
      <c r="U299" s="67">
        <f t="shared" si="226"/>
        <v>7.8693390529672516E-3</v>
      </c>
      <c r="V299" s="67">
        <f t="shared" si="226"/>
        <v>7.7854660484845883E-3</v>
      </c>
      <c r="W299" s="67">
        <f t="shared" si="226"/>
        <v>7.7039798776086521E-3</v>
      </c>
      <c r="X299" s="67">
        <f t="shared" si="226"/>
        <v>7.6245587139492218E-3</v>
      </c>
      <c r="Y299" s="67">
        <f t="shared" si="226"/>
        <v>7.5467696005118053E-3</v>
      </c>
      <c r="Z299" s="67">
        <f t="shared" si="226"/>
        <v>7.4701881242312867E-3</v>
      </c>
      <c r="AA299" s="67">
        <f t="shared" si="226"/>
        <v>7.3944587486595367E-3</v>
      </c>
      <c r="AB299" s="67">
        <f t="shared" si="226"/>
        <v>7.3193104384419805E-3</v>
      </c>
      <c r="AC299" s="67">
        <f t="shared" si="226"/>
        <v>7.2445487559862371E-3</v>
      </c>
    </row>
    <row r="301" spans="1:29" x14ac:dyDescent="0.25">
      <c r="B301" s="40"/>
    </row>
    <row r="324" spans="1:44" s="3" customFormat="1" ht="21" x14ac:dyDescent="0.35">
      <c r="A324" s="2" t="str">
        <f>'Parameter Input'!A248</f>
        <v>Short-sea:  Neo bulk</v>
      </c>
    </row>
    <row r="325" spans="1:44" s="3" customFormat="1" ht="21" x14ac:dyDescent="0.35">
      <c r="A325" s="2" t="s">
        <v>101</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Input'!$L$212</f>
        <v>15000000</v>
      </c>
      <c r="C334" s="42">
        <f>'Parameter Input'!$M$212</f>
        <v>15000000</v>
      </c>
      <c r="D334" s="1" t="s">
        <v>138</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151</v>
      </c>
      <c r="B335" s="60">
        <f>'Parameter Input'!$L$213</f>
        <v>-1500000</v>
      </c>
      <c r="C335" s="61">
        <f>'Parameter Input'!$M$213</f>
        <v>-750000</v>
      </c>
      <c r="D335" s="1" t="s">
        <v>138</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203</v>
      </c>
      <c r="B338" s="92">
        <f>'Parameter Input'!$L$219</f>
        <v>0.06</v>
      </c>
      <c r="C338" s="91">
        <f>'Parameter Input'!$M$219</f>
        <v>0.06</v>
      </c>
      <c r="D338" s="1" t="s">
        <v>180</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175</v>
      </c>
      <c r="B340" s="60">
        <f>'Parameter Input'!$L$215</f>
        <v>488235.29411764705</v>
      </c>
      <c r="C340" s="61">
        <f>'Parameter Input'!$M$215</f>
        <v>488235.29411764705</v>
      </c>
      <c r="D340" s="1" t="s">
        <v>161</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183</v>
      </c>
      <c r="B342" s="60">
        <f>'Parameter Input'!$L$216</f>
        <v>647</v>
      </c>
      <c r="C342" s="61">
        <f>'Parameter Input'!$M$216</f>
        <v>600</v>
      </c>
      <c r="D342" s="1" t="s">
        <v>184</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191</v>
      </c>
      <c r="B343" s="78">
        <f>'Parameter Input'!$L$217</f>
        <v>0.06</v>
      </c>
      <c r="C343" s="61">
        <f>'Parameter Input'!$M$217</f>
        <v>0.06</v>
      </c>
      <c r="D343" s="1" t="s">
        <v>94</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458</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164</v>
      </c>
      <c r="B345" s="60">
        <f>'Parameter Input'!$L$214</f>
        <v>25</v>
      </c>
      <c r="C345" s="61">
        <f>'Parameter Input'!$M$214</f>
        <v>25</v>
      </c>
      <c r="D345" s="1" t="s">
        <v>165</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197</v>
      </c>
      <c r="B349" s="45">
        <f>'Parameter Input'!$L$218</f>
        <v>0</v>
      </c>
      <c r="C349" s="46">
        <f>'Parameter Input'!$M$218</f>
        <v>0</v>
      </c>
      <c r="D349" s="1" t="s">
        <v>180</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5.7951260504201685E-2</v>
      </c>
      <c r="C363" s="62">
        <f>'Parameter Input'!K9</f>
        <v>5.3954621848739497E-2</v>
      </c>
      <c r="D363" s="62">
        <f>'Parameter Input'!L9</f>
        <v>4.9957983193277315E-2</v>
      </c>
      <c r="E363" s="62">
        <f>'Parameter Input'!M9</f>
        <v>4.5961344537815127E-2</v>
      </c>
      <c r="F363" s="62">
        <f>'Parameter Input'!N9</f>
        <v>4.1964705882352946E-2</v>
      </c>
      <c r="G363" s="62">
        <f>'Parameter Input'!O9</f>
        <v>3.7968067226890764E-2</v>
      </c>
      <c r="H363" s="62">
        <f>'Parameter Input'!P9</f>
        <v>3.3971428571428583E-2</v>
      </c>
      <c r="I363" s="62">
        <f>'Parameter Input'!Q9</f>
        <v>2.9974789915966391E-2</v>
      </c>
      <c r="J363" s="62">
        <f>'Parameter Input'!R9</f>
        <v>2.9368157262905165E-2</v>
      </c>
      <c r="K363" s="62">
        <f>'Parameter Input'!S9</f>
        <v>2.8761524609843939E-2</v>
      </c>
      <c r="L363" s="62">
        <f>'Parameter Input'!T9</f>
        <v>2.8154891956782713E-2</v>
      </c>
      <c r="M363" s="62">
        <f>'Parameter Input'!U9</f>
        <v>2.7548259303721487E-2</v>
      </c>
      <c r="N363" s="62">
        <f>'Parameter Input'!V9</f>
        <v>2.6941626650660268E-2</v>
      </c>
      <c r="O363" s="62">
        <f>'Parameter Input'!W9</f>
        <v>2.6334993997599043E-2</v>
      </c>
      <c r="P363" s="62">
        <f>'Parameter Input'!X9</f>
        <v>2.5728361344537817E-2</v>
      </c>
      <c r="Q363" s="62">
        <f>'Parameter Input'!Y9</f>
        <v>2.5121728691476591E-2</v>
      </c>
      <c r="R363" s="62">
        <f>'Parameter Input'!Z9</f>
        <v>2.4515096038415365E-2</v>
      </c>
      <c r="S363" s="62">
        <f>'Parameter Input'!AA9</f>
        <v>2.3908463385354146E-2</v>
      </c>
      <c r="T363" s="62">
        <f>'Parameter Input'!AB9</f>
        <v>2.330183073229292E-2</v>
      </c>
      <c r="U363" s="62">
        <f>'Parameter Input'!AC9</f>
        <v>2.2695198079231694E-2</v>
      </c>
      <c r="V363" s="62">
        <f>'Parameter Input'!AD9</f>
        <v>2.2088565426170468E-2</v>
      </c>
      <c r="W363" s="62">
        <f>'Parameter Input'!AE9</f>
        <v>2.1481932773109242E-2</v>
      </c>
      <c r="X363" s="62">
        <f>'Parameter Input'!AF9</f>
        <v>2.0875300120048023E-2</v>
      </c>
      <c r="Y363" s="62">
        <f>'Parameter Input'!AG9</f>
        <v>2.0268667466986797E-2</v>
      </c>
      <c r="Z363" s="62">
        <f>'Parameter Input'!AH9</f>
        <v>1.9662034813925571E-2</v>
      </c>
      <c r="AA363" s="62">
        <f>'Parameter Input'!AI9</f>
        <v>1.9055402160864345E-2</v>
      </c>
      <c r="AB363" s="62">
        <f>'Parameter Input'!AJ9</f>
        <v>1.8448769507803119E-2</v>
      </c>
      <c r="AC363" s="62">
        <f>'Parameter Input'!AK9</f>
        <v>1.78421368547419E-2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197</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4498618.0304829236</v>
      </c>
      <c r="C380" s="62">
        <f t="shared" ref="C380:AC380" si="276">C362*C363*C370</f>
        <v>4188079.3759353086</v>
      </c>
      <c r="D380" s="62">
        <f t="shared" si="276"/>
        <v>3877468.0419729641</v>
      </c>
      <c r="E380" s="62">
        <f t="shared" si="276"/>
        <v>3566766.217460895</v>
      </c>
      <c r="F380" s="62">
        <f t="shared" si="276"/>
        <v>3255954.4458860727</v>
      </c>
      <c r="G380" s="62">
        <f t="shared" si="276"/>
        <v>2945013.6349047427</v>
      </c>
      <c r="H380" s="62">
        <f t="shared" si="276"/>
        <v>2633929.1365398113</v>
      </c>
      <c r="I380" s="62">
        <f t="shared" si="276"/>
        <v>2322698.2431000774</v>
      </c>
      <c r="J380" s="62">
        <f t="shared" si="276"/>
        <v>2273812.2520016357</v>
      </c>
      <c r="K380" s="62">
        <f t="shared" si="276"/>
        <v>2224260.4832576048</v>
      </c>
      <c r="L380" s="62">
        <f t="shared" si="276"/>
        <v>2173830.4324544049</v>
      </c>
      <c r="M380" s="62">
        <f t="shared" si="276"/>
        <v>2122275.575613555</v>
      </c>
      <c r="N380" s="62">
        <f t="shared" si="276"/>
        <v>2069342.0583988025</v>
      </c>
      <c r="O380" s="62">
        <f t="shared" si="276"/>
        <v>2014826.1691024788</v>
      </c>
      <c r="P380" s="62">
        <f t="shared" si="276"/>
        <v>1958668.2716916476</v>
      </c>
      <c r="Q380" s="62">
        <f t="shared" si="276"/>
        <v>1901067.0088093535</v>
      </c>
      <c r="R380" s="62">
        <f t="shared" si="276"/>
        <v>1842559.9816717752</v>
      </c>
      <c r="S380" s="62">
        <f t="shared" si="276"/>
        <v>1783992.1296651261</v>
      </c>
      <c r="T380" s="62">
        <f t="shared" si="276"/>
        <v>1726331.4306318762</v>
      </c>
      <c r="U380" s="62">
        <f t="shared" si="276"/>
        <v>1670398.7763802267</v>
      </c>
      <c r="V380" s="62">
        <f t="shared" si="276"/>
        <v>1616659.5725604114</v>
      </c>
      <c r="W380" s="62">
        <f t="shared" si="276"/>
        <v>1565180.5165969562</v>
      </c>
      <c r="X380" s="62">
        <f t="shared" si="276"/>
        <v>1515731.5068314851</v>
      </c>
      <c r="Y380" s="62">
        <f t="shared" si="276"/>
        <v>1467937.8982067783</v>
      </c>
      <c r="Z380" s="62">
        <f t="shared" si="276"/>
        <v>1421404.470279735</v>
      </c>
      <c r="AA380" s="62">
        <f t="shared" si="276"/>
        <v>1375784.7961731155</v>
      </c>
      <c r="AB380" s="62">
        <f t="shared" si="276"/>
        <v>1330805.4504176688</v>
      </c>
      <c r="AC380" s="62">
        <f t="shared" si="276"/>
        <v>1286264.2796700606</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504</v>
      </c>
      <c r="B382" s="64">
        <f>B373+B374+B375+B376+B377+B378+B379+B380+B381</f>
        <v>7419218.8982314281</v>
      </c>
      <c r="C382" s="64">
        <f t="shared" ref="C382:AC382" si="278">C373+C374+C375+C376+C377+C378+C379+C380+C381</f>
        <v>7108735.9891549423</v>
      </c>
      <c r="D382" s="64">
        <f t="shared" si="278"/>
        <v>6798204.4535928909</v>
      </c>
      <c r="E382" s="64">
        <f t="shared" si="278"/>
        <v>6487616.7863041144</v>
      </c>
      <c r="F382" s="64">
        <f t="shared" si="278"/>
        <v>6176968.1705914196</v>
      </c>
      <c r="G382" s="64">
        <f t="shared" si="278"/>
        <v>5866260.2182847885</v>
      </c>
      <c r="H382" s="64">
        <f t="shared" si="278"/>
        <v>5555507.3677991144</v>
      </c>
      <c r="I382" s="64">
        <f t="shared" si="278"/>
        <v>5244747.3668056112</v>
      </c>
      <c r="J382" s="64">
        <f t="shared" si="278"/>
        <v>5196526.9369300399</v>
      </c>
      <c r="K382" s="64">
        <f t="shared" si="278"/>
        <v>5147909.6041352022</v>
      </c>
      <c r="L382" s="64">
        <f t="shared" si="278"/>
        <v>5098778.7585121319</v>
      </c>
      <c r="M382" s="64">
        <f t="shared" si="278"/>
        <v>5049005.0633698786</v>
      </c>
      <c r="N382" s="64">
        <f t="shared" si="278"/>
        <v>4998465.2366164681</v>
      </c>
      <c r="O382" s="64">
        <f t="shared" si="278"/>
        <v>4947078.3631801065</v>
      </c>
      <c r="P382" s="64">
        <f t="shared" si="278"/>
        <v>4894860.9323725747</v>
      </c>
      <c r="Q382" s="64">
        <f t="shared" si="278"/>
        <v>4841988.1163031273</v>
      </c>
      <c r="R382" s="64">
        <f t="shared" si="278"/>
        <v>4788827.8922459213</v>
      </c>
      <c r="S382" s="64">
        <f t="shared" si="278"/>
        <v>4735904.6383138411</v>
      </c>
      <c r="T382" s="64">
        <f t="shared" si="278"/>
        <v>4683777.4622229757</v>
      </c>
      <c r="U382" s="64">
        <f t="shared" si="278"/>
        <v>4632882.0878053503</v>
      </c>
      <c r="V382" s="64">
        <f t="shared" si="278"/>
        <v>4583423.8545220131</v>
      </c>
      <c r="W382" s="64">
        <f t="shared" si="278"/>
        <v>4535373.0892798919</v>
      </c>
      <c r="X382" s="64">
        <f t="shared" si="278"/>
        <v>4488540.0174931996</v>
      </c>
      <c r="Y382" s="64">
        <f t="shared" si="278"/>
        <v>4442669.3330814233</v>
      </c>
      <c r="Z382" s="64">
        <f t="shared" si="278"/>
        <v>4397510.7681483263</v>
      </c>
      <c r="AA382" s="64">
        <f t="shared" si="278"/>
        <v>4352854.6699611768</v>
      </c>
      <c r="AB382" s="64">
        <f t="shared" si="278"/>
        <v>4308541.2143920893</v>
      </c>
      <c r="AC382" s="64">
        <f t="shared" si="278"/>
        <v>4264455.7454815861</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37.488483587357699</v>
      </c>
      <c r="C392" s="66">
        <f t="shared" ref="C392:AC392" si="287">C362*C363*C370/C370</f>
        <v>34.900661466127573</v>
      </c>
      <c r="D392" s="66">
        <f t="shared" si="287"/>
        <v>32.312233683108033</v>
      </c>
      <c r="E392" s="66">
        <f t="shared" si="287"/>
        <v>29.723051812174123</v>
      </c>
      <c r="F392" s="66">
        <f t="shared" si="287"/>
        <v>27.132953715717271</v>
      </c>
      <c r="G392" s="66">
        <f t="shared" si="287"/>
        <v>24.541780290872858</v>
      </c>
      <c r="H392" s="66">
        <f t="shared" si="287"/>
        <v>21.949409471165094</v>
      </c>
      <c r="I392" s="66">
        <f t="shared" si="287"/>
        <v>19.355818692500645</v>
      </c>
      <c r="J392" s="66">
        <f t="shared" si="287"/>
        <v>18.948435433346965</v>
      </c>
      <c r="K392" s="66">
        <f t="shared" si="287"/>
        <v>18.535504027146708</v>
      </c>
      <c r="L392" s="66">
        <f t="shared" si="287"/>
        <v>18.115253603786709</v>
      </c>
      <c r="M392" s="66">
        <f t="shared" si="287"/>
        <v>17.685629796779626</v>
      </c>
      <c r="N392" s="66">
        <f t="shared" si="287"/>
        <v>17.244517153323354</v>
      </c>
      <c r="O392" s="66">
        <f t="shared" si="287"/>
        <v>16.790218075853989</v>
      </c>
      <c r="P392" s="66">
        <f t="shared" si="287"/>
        <v>16.322235597430396</v>
      </c>
      <c r="Q392" s="66">
        <f t="shared" si="287"/>
        <v>15.842225073411278</v>
      </c>
      <c r="R392" s="66">
        <f t="shared" si="287"/>
        <v>15.354666513931461</v>
      </c>
      <c r="S392" s="66">
        <f t="shared" si="287"/>
        <v>14.866601080542717</v>
      </c>
      <c r="T392" s="66">
        <f t="shared" si="287"/>
        <v>14.386095255265635</v>
      </c>
      <c r="U392" s="66">
        <f t="shared" si="287"/>
        <v>13.919989803168557</v>
      </c>
      <c r="V392" s="66">
        <f t="shared" si="287"/>
        <v>13.472163104670095</v>
      </c>
      <c r="W392" s="66">
        <f t="shared" si="287"/>
        <v>13.043170971641301</v>
      </c>
      <c r="X392" s="66">
        <f t="shared" si="287"/>
        <v>12.631095890262376</v>
      </c>
      <c r="Y392" s="66">
        <f t="shared" si="287"/>
        <v>12.23281581838982</v>
      </c>
      <c r="Z392" s="66">
        <f t="shared" si="287"/>
        <v>11.845037252331126</v>
      </c>
      <c r="AA392" s="66">
        <f t="shared" si="287"/>
        <v>11.46487330144263</v>
      </c>
      <c r="AB392" s="66">
        <f t="shared" si="287"/>
        <v>11.09004542014724</v>
      </c>
      <c r="AC392" s="66">
        <f t="shared" si="287"/>
        <v>10.718868997250505</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187</v>
      </c>
      <c r="B394" s="76">
        <f>B385+B386+B387-B388+B389+B390+B391+B392+B393</f>
        <v>61.957202015615685</v>
      </c>
      <c r="C394" s="76">
        <f t="shared" ref="C394:AC394" si="289">C385+C386+C387-C388+C389+C390+C391+C392+C393</f>
        <v>59.369844439978309</v>
      </c>
      <c r="D394" s="76">
        <f t="shared" si="289"/>
        <v>56.782081643627869</v>
      </c>
      <c r="E394" s="76">
        <f t="shared" si="289"/>
        <v>54.193851082888074</v>
      </c>
      <c r="F394" s="76">
        <f t="shared" si="289"/>
        <v>51.605112618615607</v>
      </c>
      <c r="G394" s="76">
        <f t="shared" si="289"/>
        <v>49.015879682727025</v>
      </c>
      <c r="H394" s="76">
        <f t="shared" si="289"/>
        <v>46.426272595346418</v>
      </c>
      <c r="I394" s="76">
        <f t="shared" si="289"/>
        <v>43.836605920400544</v>
      </c>
      <c r="J394" s="76">
        <f t="shared" si="289"/>
        <v>43.434769004770793</v>
      </c>
      <c r="K394" s="76">
        <f t="shared" si="289"/>
        <v>43.029624564813801</v>
      </c>
      <c r="L394" s="76">
        <f t="shared" si="289"/>
        <v>42.620200851288217</v>
      </c>
      <c r="M394" s="76">
        <f t="shared" si="289"/>
        <v>42.205420058436104</v>
      </c>
      <c r="N394" s="76">
        <f t="shared" si="289"/>
        <v>41.784254835491026</v>
      </c>
      <c r="O394" s="76">
        <f t="shared" si="289"/>
        <v>41.356030890188009</v>
      </c>
      <c r="P394" s="76">
        <f t="shared" si="289"/>
        <v>40.920885633458582</v>
      </c>
      <c r="Q394" s="76">
        <f t="shared" si="289"/>
        <v>40.480278832879847</v>
      </c>
      <c r="R394" s="76">
        <f t="shared" si="289"/>
        <v>40.037276965736467</v>
      </c>
      <c r="S394" s="76">
        <f t="shared" si="289"/>
        <v>39.59624984963579</v>
      </c>
      <c r="T394" s="76">
        <f t="shared" si="289"/>
        <v>39.161856715545255</v>
      </c>
      <c r="U394" s="76">
        <f t="shared" si="289"/>
        <v>38.737728595398373</v>
      </c>
      <c r="V394" s="76">
        <f t="shared" si="289"/>
        <v>38.325576651370568</v>
      </c>
      <c r="W394" s="76">
        <f t="shared" si="289"/>
        <v>37.925153607686219</v>
      </c>
      <c r="X394" s="76">
        <f t="shared" si="289"/>
        <v>37.534878009463782</v>
      </c>
      <c r="Y394" s="76">
        <f t="shared" si="289"/>
        <v>37.152622306032313</v>
      </c>
      <c r="Z394" s="76">
        <f t="shared" si="289"/>
        <v>36.776300931589844</v>
      </c>
      <c r="AA394" s="76">
        <f t="shared" si="289"/>
        <v>36.404166780030266</v>
      </c>
      <c r="AB394" s="76">
        <f t="shared" si="289"/>
        <v>36.034887983621196</v>
      </c>
      <c r="AC394" s="76">
        <f t="shared" si="289"/>
        <v>35.667509076033674</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3.9670353002494918E-3</v>
      </c>
      <c r="C404" s="66">
        <f t="shared" ref="C404:AC404" si="298">C362*C363*C370/C370/(C367)</f>
        <v>3.6931916895373094E-3</v>
      </c>
      <c r="D404" s="66">
        <f t="shared" si="298"/>
        <v>3.4192839876304795E-3</v>
      </c>
      <c r="E404" s="66">
        <f t="shared" si="298"/>
        <v>3.1452964880607538E-3</v>
      </c>
      <c r="F404" s="66">
        <f t="shared" si="298"/>
        <v>2.8712120334092352E-3</v>
      </c>
      <c r="G404" s="66">
        <f t="shared" si="298"/>
        <v>2.597013787393953E-3</v>
      </c>
      <c r="H404" s="66">
        <f t="shared" si="298"/>
        <v>2.3226888329275232E-3</v>
      </c>
      <c r="I404" s="66">
        <f t="shared" si="298"/>
        <v>2.0482347822752007E-3</v>
      </c>
      <c r="J404" s="66">
        <f t="shared" si="298"/>
        <v>2.0051254426822185E-3</v>
      </c>
      <c r="K404" s="66">
        <f t="shared" si="298"/>
        <v>1.9614289975816621E-3</v>
      </c>
      <c r="L404" s="66">
        <f t="shared" si="298"/>
        <v>1.9169580533107628E-3</v>
      </c>
      <c r="M404" s="66">
        <f t="shared" si="298"/>
        <v>1.8714952165904367E-3</v>
      </c>
      <c r="N404" s="66">
        <f t="shared" si="298"/>
        <v>1.8248166299813073E-3</v>
      </c>
      <c r="O404" s="66">
        <f t="shared" si="298"/>
        <v>1.7767426535295226E-3</v>
      </c>
      <c r="P404" s="66">
        <f t="shared" si="298"/>
        <v>1.7272206981407826E-3</v>
      </c>
      <c r="Q404" s="66">
        <f t="shared" si="298"/>
        <v>1.6764259336943151E-3</v>
      </c>
      <c r="R404" s="66">
        <f t="shared" si="298"/>
        <v>1.6248324353366624E-3</v>
      </c>
      <c r="S404" s="66">
        <f t="shared" si="298"/>
        <v>1.5731852995283298E-3</v>
      </c>
      <c r="T404" s="66">
        <f t="shared" si="298"/>
        <v>1.5223381222503319E-3</v>
      </c>
      <c r="U404" s="66">
        <f t="shared" si="298"/>
        <v>1.4730147939860906E-3</v>
      </c>
      <c r="V404" s="66">
        <f t="shared" si="298"/>
        <v>1.4256257253619149E-3</v>
      </c>
      <c r="W404" s="66">
        <f t="shared" si="298"/>
        <v>1.3802297324488149E-3</v>
      </c>
      <c r="X404" s="66">
        <f t="shared" si="298"/>
        <v>1.3366239037314685E-3</v>
      </c>
      <c r="Y404" s="66">
        <f t="shared" si="298"/>
        <v>1.2944778643798752E-3</v>
      </c>
      <c r="Z404" s="66">
        <f t="shared" si="298"/>
        <v>1.2534430954847752E-3</v>
      </c>
      <c r="AA404" s="66">
        <f t="shared" si="298"/>
        <v>1.2132141059727651E-3</v>
      </c>
      <c r="AB404" s="66">
        <f t="shared" si="298"/>
        <v>1.1735497799097608E-3</v>
      </c>
      <c r="AC404" s="66">
        <f t="shared" si="298"/>
        <v>1.1342718515609E-3</v>
      </c>
    </row>
    <row r="405" spans="1:29" x14ac:dyDescent="0.25">
      <c r="A405" s="59" t="str">
        <f>A368</f>
        <v>Market failure (av. utilization)</v>
      </c>
      <c r="B405" s="66">
        <f t="shared" ref="B405:AC405" si="299">B394/B368-B394/B367</f>
        <v>3.0853259640518226E-3</v>
      </c>
      <c r="C405" s="66">
        <f t="shared" si="299"/>
        <v>2.9564815158408114E-3</v>
      </c>
      <c r="D405" s="66">
        <f t="shared" si="299"/>
        <v>2.8276168885715694E-3</v>
      </c>
      <c r="E405" s="66">
        <f t="shared" si="299"/>
        <v>2.6987289677130677E-3</v>
      </c>
      <c r="F405" s="66">
        <f t="shared" si="299"/>
        <v>2.5698157544284134E-3</v>
      </c>
      <c r="G405" s="66">
        <f t="shared" si="299"/>
        <v>2.4408779175961164E-3</v>
      </c>
      <c r="H405" s="66">
        <f t="shared" si="299"/>
        <v>2.3119214488812401E-3</v>
      </c>
      <c r="I405" s="66">
        <f t="shared" si="299"/>
        <v>2.1829620128428527E-3</v>
      </c>
      <c r="J405" s="66">
        <f t="shared" si="299"/>
        <v>2.1629514599325632E-3</v>
      </c>
      <c r="K405" s="66">
        <f t="shared" si="299"/>
        <v>2.1427761999284799E-3</v>
      </c>
      <c r="L405" s="66">
        <f t="shared" si="299"/>
        <v>2.1223878419564619E-3</v>
      </c>
      <c r="M405" s="66">
        <f t="shared" si="299"/>
        <v>2.101732713772105E-3</v>
      </c>
      <c r="N405" s="66">
        <f t="shared" si="299"/>
        <v>2.0807596556733773E-3</v>
      </c>
      <c r="O405" s="66">
        <f t="shared" si="299"/>
        <v>2.0594350894584746E-3</v>
      </c>
      <c r="P405" s="66">
        <f t="shared" si="299"/>
        <v>2.0377658578753094E-3</v>
      </c>
      <c r="Q405" s="66">
        <f t="shared" si="299"/>
        <v>2.0158246539871685E-3</v>
      </c>
      <c r="R405" s="66">
        <f t="shared" si="299"/>
        <v>1.9937641813002902E-3</v>
      </c>
      <c r="S405" s="66">
        <f t="shared" si="299"/>
        <v>1.971802046667203E-3</v>
      </c>
      <c r="T405" s="66">
        <f t="shared" si="299"/>
        <v>1.9501702690592083E-3</v>
      </c>
      <c r="U405" s="66">
        <f t="shared" si="299"/>
        <v>1.9290496655038087E-3</v>
      </c>
      <c r="V405" s="66">
        <f t="shared" si="299"/>
        <v>1.9085254479362865E-3</v>
      </c>
      <c r="W405" s="66">
        <f t="shared" si="299"/>
        <v>1.8885853025925282E-3</v>
      </c>
      <c r="X405" s="66">
        <f t="shared" si="299"/>
        <v>1.8691504766617491E-3</v>
      </c>
      <c r="Y405" s="66">
        <f t="shared" si="299"/>
        <v>1.8501150230205935E-3</v>
      </c>
      <c r="Z405" s="66">
        <f t="shared" si="299"/>
        <v>1.8313750852954787E-3</v>
      </c>
      <c r="AA405" s="66">
        <f t="shared" si="299"/>
        <v>1.812843661626156E-3</v>
      </c>
      <c r="AB405" s="66">
        <f t="shared" si="299"/>
        <v>1.7944544280670363E-3</v>
      </c>
      <c r="AC405" s="66">
        <f t="shared" si="299"/>
        <v>1.7761598045955142E-3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505</v>
      </c>
      <c r="B408" s="76">
        <f>B397+B398+B399+B400+B401+B402+B403+B404+B405+B406+B407</f>
        <v>9.6278470383299765E-3</v>
      </c>
      <c r="C408" s="67">
        <f t="shared" ref="C408:AC408" si="302">C397+C398+C399+C400+C401+C402+C403+C404+C405+C406+C407</f>
        <v>9.2252081376705663E-3</v>
      </c>
      <c r="D408" s="67">
        <f t="shared" si="302"/>
        <v>8.8225061774541876E-3</v>
      </c>
      <c r="E408" s="67">
        <f t="shared" si="302"/>
        <v>8.4197314247713689E-3</v>
      </c>
      <c r="F408" s="67">
        <f t="shared" si="302"/>
        <v>8.0168776332568241E-3</v>
      </c>
      <c r="G408" s="67">
        <f t="shared" si="302"/>
        <v>7.6139468931558946E-3</v>
      </c>
      <c r="H408" s="67">
        <f t="shared" si="302"/>
        <v>7.2109579284219049E-3</v>
      </c>
      <c r="I408" s="67">
        <f t="shared" si="302"/>
        <v>6.8079596908019449E-3</v>
      </c>
      <c r="J408" s="67">
        <f t="shared" si="302"/>
        <v>6.7454267129572901E-3</v>
      </c>
      <c r="K408" s="67">
        <f t="shared" si="302"/>
        <v>6.6823790254445297E-3</v>
      </c>
      <c r="L408" s="67">
        <f t="shared" si="302"/>
        <v>6.6186654067819746E-3</v>
      </c>
      <c r="M408" s="67">
        <f t="shared" si="302"/>
        <v>6.5541181312058598E-3</v>
      </c>
      <c r="N408" s="67">
        <f t="shared" si="302"/>
        <v>6.4885773246473348E-3</v>
      </c>
      <c r="O408" s="67">
        <f t="shared" si="302"/>
        <v>6.4219380552257644E-3</v>
      </c>
      <c r="P408" s="67">
        <f t="shared" si="302"/>
        <v>6.3542217065283733E-3</v>
      </c>
      <c r="Q408" s="67">
        <f t="shared" si="302"/>
        <v>6.2856554443779331E-3</v>
      </c>
      <c r="R408" s="67">
        <f t="shared" si="302"/>
        <v>6.2167164672314373E-3</v>
      </c>
      <c r="S408" s="67">
        <f t="shared" si="302"/>
        <v>6.1480847965030404E-3</v>
      </c>
      <c r="T408" s="67">
        <f t="shared" si="302"/>
        <v>6.080485491478058E-3</v>
      </c>
      <c r="U408" s="67">
        <f t="shared" si="302"/>
        <v>6.0144836053674334E-3</v>
      </c>
      <c r="V408" s="67">
        <f t="shared" si="302"/>
        <v>5.9503454254689267E-3</v>
      </c>
      <c r="W408" s="67">
        <f t="shared" si="302"/>
        <v>5.8880324712696818E-3</v>
      </c>
      <c r="X408" s="67">
        <f t="shared" si="302"/>
        <v>5.8272986402359986E-3</v>
      </c>
      <c r="Y408" s="67">
        <f t="shared" si="302"/>
        <v>5.7678128476073868E-3</v>
      </c>
      <c r="Z408" s="67">
        <f t="shared" si="302"/>
        <v>5.7092505422164019E-3</v>
      </c>
      <c r="AA408" s="67">
        <f t="shared" si="302"/>
        <v>5.6513398432497686E-3</v>
      </c>
      <c r="AB408" s="67">
        <f t="shared" si="302"/>
        <v>5.5938734883775199E-3</v>
      </c>
      <c r="AC408" s="67">
        <f t="shared" si="302"/>
        <v>5.5367027900290119E-3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95</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Input'!$L$237</f>
        <v>30000000</v>
      </c>
      <c r="C11" s="42">
        <f>'Parameter Input'!$M$237</f>
        <v>19500000</v>
      </c>
      <c r="D11" s="1" t="s">
        <v>138</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Input'!$L$238</f>
        <v>-1500000</v>
      </c>
      <c r="C12" s="61">
        <f>'Parameter Input'!$M$238</f>
        <v>-1950000</v>
      </c>
      <c r="D12" s="1" t="s">
        <v>138</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Input'!$L$244</f>
        <v>0.06</v>
      </c>
      <c r="C15" s="91">
        <f>'Parameter Input'!$M$244</f>
        <v>0.06</v>
      </c>
      <c r="D15" s="1" t="s">
        <v>180</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Input'!$L$240</f>
        <v>338823.5294117647</v>
      </c>
      <c r="C17" s="61">
        <f>'Parameter Input'!$M$240</f>
        <v>338823.5294117647</v>
      </c>
      <c r="D17" s="1" t="s">
        <v>161</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Input'!$L$241</f>
        <v>589</v>
      </c>
      <c r="C19" s="61">
        <f>'Parameter Input'!$M$241</f>
        <v>519</v>
      </c>
      <c r="D19" s="1" t="s">
        <v>184</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Input'!$L$242</f>
        <v>0.2544561408768215</v>
      </c>
      <c r="C20" s="61">
        <f>'Parameter Input'!$M$242</f>
        <v>0.10949010032952979</v>
      </c>
      <c r="D20" s="1" t="s">
        <v>94</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458</v>
      </c>
      <c r="B21" s="115">
        <f>'Parameter Input'!$L$245</f>
        <v>0</v>
      </c>
      <c r="C21" s="116">
        <f>'Parameter Input'!$M$245</f>
        <v>0</v>
      </c>
      <c r="D21" s="1" t="s">
        <v>200</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Input'!$L$239</f>
        <v>25</v>
      </c>
      <c r="C22" s="61">
        <f>'Parameter Input'!$M$239</f>
        <v>25</v>
      </c>
      <c r="D22" s="1" t="s">
        <v>165</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Input'!$L$243</f>
        <v>0.1</v>
      </c>
      <c r="C26" s="46">
        <f>'Parameter Input'!$M$243</f>
        <v>0.08</v>
      </c>
      <c r="D26" s="1" t="s">
        <v>180</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0.19695917693522813</v>
      </c>
      <c r="C40" s="62">
        <f>'Parameter Input'!K5</f>
        <v>0.1918445490889919</v>
      </c>
      <c r="D40" s="62">
        <f>'Parameter Input'!L5</f>
        <v>0.1867299212427557</v>
      </c>
      <c r="E40" s="62">
        <f>'Parameter Input'!M5</f>
        <v>0.18316543121930073</v>
      </c>
      <c r="F40" s="62">
        <f>'Parameter Input'!N5</f>
        <v>0.1796009411958458</v>
      </c>
      <c r="G40" s="62">
        <f>'Parameter Input'!O5</f>
        <v>0.17603645117239083</v>
      </c>
      <c r="H40" s="62">
        <f>'Parameter Input'!P5</f>
        <v>0.17247196114893587</v>
      </c>
      <c r="I40" s="62">
        <f>'Parameter Input'!Q5</f>
        <v>0.16890747112548093</v>
      </c>
      <c r="J40" s="62">
        <f>'Parameter Input'!R5</f>
        <v>0.16876144856602932</v>
      </c>
      <c r="K40" s="62">
        <f>'Parameter Input'!S5</f>
        <v>0.16861542600657767</v>
      </c>
      <c r="L40" s="62">
        <f>'Parameter Input'!T5</f>
        <v>0.16846940344712602</v>
      </c>
      <c r="M40" s="62">
        <f>'Parameter Input'!U5</f>
        <v>0.1683233808876744</v>
      </c>
      <c r="N40" s="62">
        <f>'Parameter Input'!V5</f>
        <v>0.16817735832822278</v>
      </c>
      <c r="O40" s="62">
        <f>'Parameter Input'!W5</f>
        <v>0.16448316805908789</v>
      </c>
      <c r="P40" s="62">
        <f>'Parameter Input'!X5</f>
        <v>0.16078897778995299</v>
      </c>
      <c r="Q40" s="62">
        <f>'Parameter Input'!Y5</f>
        <v>0.15709478752081807</v>
      </c>
      <c r="R40" s="62">
        <f>'Parameter Input'!Z5</f>
        <v>0.15340059725168312</v>
      </c>
      <c r="S40" s="62">
        <f>'Parameter Input'!AA5</f>
        <v>0.1497064069825482</v>
      </c>
      <c r="T40" s="62">
        <f>'Parameter Input'!AB5</f>
        <v>0.14627718374621171</v>
      </c>
      <c r="U40" s="62">
        <f>'Parameter Input'!AC5</f>
        <v>0.14284796050987525</v>
      </c>
      <c r="V40" s="62">
        <f>'Parameter Input'!AD5</f>
        <v>0.13941873727353876</v>
      </c>
      <c r="W40" s="62">
        <f>'Parameter Input'!AE5</f>
        <v>0.13598951403720227</v>
      </c>
      <c r="X40" s="62">
        <f>'Parameter Input'!AF5</f>
        <v>0.13256029080086582</v>
      </c>
      <c r="Y40" s="62">
        <f>'Parameter Input'!AG5</f>
        <v>0.12972417970496936</v>
      </c>
      <c r="Z40" s="62">
        <f>'Parameter Input'!AH5</f>
        <v>0.12688806860907287</v>
      </c>
      <c r="AA40" s="62">
        <f>'Parameter Input'!AI5</f>
        <v>0.12405195751317638</v>
      </c>
      <c r="AB40" s="62">
        <f>'Parameter Input'!AJ5</f>
        <v>0.12121584641727991</v>
      </c>
      <c r="AC40" s="62">
        <f>'Parameter Input'!AK5</f>
        <v>0.11837973532138339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13917441.016853284</v>
      </c>
      <c r="C57" s="62">
        <f t="shared" ref="C57:AC57" si="49">C39*C40*C47</f>
        <v>13554502.313185614</v>
      </c>
      <c r="D57" s="62">
        <f t="shared" si="49"/>
        <v>13191002.201981308</v>
      </c>
      <c r="E57" s="62">
        <f t="shared" si="49"/>
        <v>12936205.269684833</v>
      </c>
      <c r="F57" s="62">
        <f t="shared" si="49"/>
        <v>12680264.89911822</v>
      </c>
      <c r="G57" s="62">
        <f t="shared" si="49"/>
        <v>12422734.285056066</v>
      </c>
      <c r="H57" s="62">
        <f t="shared" si="49"/>
        <v>12163001.901296917</v>
      </c>
      <c r="I57" s="62">
        <f t="shared" si="49"/>
        <v>11900240.66071108</v>
      </c>
      <c r="J57" s="62">
        <f t="shared" si="49"/>
        <v>11873871.346602231</v>
      </c>
      <c r="K57" s="62">
        <f t="shared" si="49"/>
        <v>11841038.882806974</v>
      </c>
      <c r="L57" s="62">
        <f t="shared" si="49"/>
        <v>11799447.122225013</v>
      </c>
      <c r="M57" s="62">
        <f t="shared" si="49"/>
        <v>11746294.792433945</v>
      </c>
      <c r="N57" s="62">
        <f t="shared" si="49"/>
        <v>11678468.130519712</v>
      </c>
      <c r="O57" s="62">
        <f t="shared" si="49"/>
        <v>11348251.239766695</v>
      </c>
      <c r="P57" s="62">
        <f t="shared" si="49"/>
        <v>11002664.095027352</v>
      </c>
      <c r="Q57" s="62">
        <f t="shared" si="49"/>
        <v>10643522.145833924</v>
      </c>
      <c r="R57" s="62">
        <f t="shared" si="49"/>
        <v>10275801.141218064</v>
      </c>
      <c r="S57" s="62">
        <f t="shared" si="49"/>
        <v>9907353.1579891834</v>
      </c>
      <c r="T57" s="62">
        <f t="shared" si="49"/>
        <v>9564523.398017589</v>
      </c>
      <c r="U57" s="62">
        <f t="shared" si="49"/>
        <v>9237276.4634616822</v>
      </c>
      <c r="V57" s="62">
        <f t="shared" si="49"/>
        <v>8930072.6288987473</v>
      </c>
      <c r="W57" s="62">
        <f t="shared" si="49"/>
        <v>8643674.253544854</v>
      </c>
      <c r="X57" s="62">
        <f t="shared" si="49"/>
        <v>8376060.0331768915</v>
      </c>
      <c r="Y57" s="62">
        <f t="shared" si="49"/>
        <v>8161140.6420521922</v>
      </c>
      <c r="Z57" s="62">
        <f t="shared" si="49"/>
        <v>7957739.5207671775</v>
      </c>
      <c r="AA57" s="62">
        <f t="shared" si="49"/>
        <v>7762759.7976934081</v>
      </c>
      <c r="AB57" s="62">
        <f t="shared" si="49"/>
        <v>7573728.9150236854</v>
      </c>
      <c r="AC57" s="62">
        <f t="shared" si="49"/>
        <v>7388801.2611698182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17863980.305950634</v>
      </c>
      <c r="C59" s="64">
        <f t="shared" ref="C59:AC59" si="51">C50+C51+C52+C53+C54+C55+C56+C57+C58</f>
        <v>17500227.718404464</v>
      </c>
      <c r="D59" s="64">
        <f t="shared" si="51"/>
        <v>17135562.550555889</v>
      </c>
      <c r="E59" s="64">
        <f t="shared" si="51"/>
        <v>16879098.922799341</v>
      </c>
      <c r="F59" s="64">
        <f t="shared" si="51"/>
        <v>16620776.476645671</v>
      </c>
      <c r="G59" s="64">
        <f t="shared" si="51"/>
        <v>16359846.125932904</v>
      </c>
      <c r="H59" s="64">
        <f t="shared" si="51"/>
        <v>16095271.683136586</v>
      </c>
      <c r="I59" s="64">
        <f t="shared" si="51"/>
        <v>15825635.412835792</v>
      </c>
      <c r="J59" s="64">
        <f t="shared" si="51"/>
        <v>15789548.904873025</v>
      </c>
      <c r="K59" s="64">
        <f t="shared" si="51"/>
        <v>15743073.676219564</v>
      </c>
      <c r="L59" s="64">
        <f t="shared" si="51"/>
        <v>15682513.5200077</v>
      </c>
      <c r="M59" s="64">
        <f t="shared" si="51"/>
        <v>15603356.229417127</v>
      </c>
      <c r="N59" s="64">
        <f t="shared" si="51"/>
        <v>15500581.686767299</v>
      </c>
      <c r="O59" s="64">
        <f t="shared" si="51"/>
        <v>15124681.164458826</v>
      </c>
      <c r="P59" s="64">
        <f t="shared" si="51"/>
        <v>14721563.207311321</v>
      </c>
      <c r="Q59" s="64">
        <f t="shared" si="51"/>
        <v>14293385.934650332</v>
      </c>
      <c r="R59" s="64">
        <f t="shared" si="51"/>
        <v>13847601.605061032</v>
      </c>
      <c r="S59" s="64">
        <f t="shared" si="51"/>
        <v>13396742.489943456</v>
      </c>
      <c r="T59" s="64">
        <f t="shared" si="51"/>
        <v>12973123.295013037</v>
      </c>
      <c r="U59" s="64">
        <f t="shared" si="51"/>
        <v>12572332.074880375</v>
      </c>
      <c r="V59" s="64">
        <f t="shared" si="51"/>
        <v>12202626.070484862</v>
      </c>
      <c r="W59" s="64">
        <f t="shared" si="51"/>
        <v>11866174.650599495</v>
      </c>
      <c r="X59" s="64">
        <f t="shared" si="51"/>
        <v>11560367.735741373</v>
      </c>
      <c r="Y59" s="64">
        <f t="shared" si="51"/>
        <v>11317373.651107879</v>
      </c>
      <c r="Z59" s="64">
        <f t="shared" si="51"/>
        <v>11093899.530111244</v>
      </c>
      <c r="AA59" s="64">
        <f t="shared" si="51"/>
        <v>10884851.598613212</v>
      </c>
      <c r="AB59" s="64">
        <f t="shared" si="51"/>
        <v>10686098.719222656</v>
      </c>
      <c r="AC59" s="64">
        <f t="shared" si="51"/>
        <v>10494517.818547044</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115.97867514044404</v>
      </c>
      <c r="C69" s="66">
        <f t="shared" ref="C69:AC69" si="60">C39*C40*C47/C47</f>
        <v>112.95418594321345</v>
      </c>
      <c r="D69" s="66">
        <f t="shared" si="60"/>
        <v>109.92501834984424</v>
      </c>
      <c r="E69" s="66">
        <f t="shared" si="60"/>
        <v>107.80171058070694</v>
      </c>
      <c r="F69" s="66">
        <f t="shared" si="60"/>
        <v>105.66887415931851</v>
      </c>
      <c r="G69" s="66">
        <f t="shared" si="60"/>
        <v>103.52278570880055</v>
      </c>
      <c r="H69" s="66">
        <f t="shared" si="60"/>
        <v>101.35834917747431</v>
      </c>
      <c r="I69" s="66">
        <f t="shared" si="60"/>
        <v>99.168672172592338</v>
      </c>
      <c r="J69" s="66">
        <f t="shared" si="60"/>
        <v>98.948927888351932</v>
      </c>
      <c r="K69" s="66">
        <f t="shared" si="60"/>
        <v>98.67532402339144</v>
      </c>
      <c r="L69" s="66">
        <f t="shared" si="60"/>
        <v>98.328726018541772</v>
      </c>
      <c r="M69" s="66">
        <f t="shared" si="60"/>
        <v>97.88578993694955</v>
      </c>
      <c r="N69" s="66">
        <f t="shared" si="60"/>
        <v>97.320567754330938</v>
      </c>
      <c r="O69" s="66">
        <f t="shared" si="60"/>
        <v>94.568760331389129</v>
      </c>
      <c r="P69" s="66">
        <f t="shared" si="60"/>
        <v>91.688867458561262</v>
      </c>
      <c r="Q69" s="66">
        <f t="shared" si="60"/>
        <v>88.696017881949373</v>
      </c>
      <c r="R69" s="66">
        <f t="shared" si="60"/>
        <v>85.631676176817209</v>
      </c>
      <c r="S69" s="66">
        <f t="shared" si="60"/>
        <v>82.561276316576524</v>
      </c>
      <c r="T69" s="66">
        <f t="shared" si="60"/>
        <v>79.704361650146581</v>
      </c>
      <c r="U69" s="66">
        <f t="shared" si="60"/>
        <v>76.97730386218069</v>
      </c>
      <c r="V69" s="66">
        <f t="shared" si="60"/>
        <v>74.417271907489564</v>
      </c>
      <c r="W69" s="66">
        <f t="shared" si="60"/>
        <v>72.030618779540447</v>
      </c>
      <c r="X69" s="66">
        <f t="shared" si="60"/>
        <v>69.800500276474096</v>
      </c>
      <c r="Y69" s="66">
        <f t="shared" si="60"/>
        <v>68.009505350434935</v>
      </c>
      <c r="Z69" s="66">
        <f t="shared" si="60"/>
        <v>66.314496006393142</v>
      </c>
      <c r="AA69" s="66">
        <f t="shared" si="60"/>
        <v>64.689664980778403</v>
      </c>
      <c r="AB69" s="66">
        <f t="shared" si="60"/>
        <v>63.11440762519738</v>
      </c>
      <c r="AC69" s="66">
        <f t="shared" si="60"/>
        <v>61.573343843081815</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148.99688041327573</v>
      </c>
      <c r="C71" s="76">
        <f t="shared" ref="C71:AC71" si="63">C62+C63+C64-C65+C66+C67+C68+C69+C70</f>
        <v>145.96560885039099</v>
      </c>
      <c r="D71" s="76">
        <f t="shared" si="63"/>
        <v>142.92673245165287</v>
      </c>
      <c r="E71" s="76">
        <f t="shared" si="63"/>
        <v>140.78953555368162</v>
      </c>
      <c r="F71" s="76">
        <f t="shared" si="63"/>
        <v>138.63684850240105</v>
      </c>
      <c r="G71" s="76">
        <f t="shared" si="63"/>
        <v>136.46242891312801</v>
      </c>
      <c r="H71" s="76">
        <f t="shared" si="63"/>
        <v>134.25764188982535</v>
      </c>
      <c r="I71" s="76">
        <f t="shared" si="63"/>
        <v>132.01067297065205</v>
      </c>
      <c r="J71" s="76">
        <f t="shared" si="63"/>
        <v>131.70995207096232</v>
      </c>
      <c r="K71" s="76">
        <f t="shared" si="63"/>
        <v>131.32265849885013</v>
      </c>
      <c r="L71" s="76">
        <f t="shared" si="63"/>
        <v>130.81799053041794</v>
      </c>
      <c r="M71" s="76">
        <f t="shared" si="63"/>
        <v>130.15834644216318</v>
      </c>
      <c r="N71" s="76">
        <f t="shared" si="63"/>
        <v>129.30189192008126</v>
      </c>
      <c r="O71" s="76">
        <f t="shared" si="63"/>
        <v>126.16938756751067</v>
      </c>
      <c r="P71" s="76">
        <f t="shared" si="63"/>
        <v>122.81007125794814</v>
      </c>
      <c r="Q71" s="76">
        <f t="shared" si="63"/>
        <v>119.24192731910655</v>
      </c>
      <c r="R71" s="76">
        <f t="shared" si="63"/>
        <v>115.52705790586239</v>
      </c>
      <c r="S71" s="76">
        <f t="shared" si="63"/>
        <v>111.76989861321591</v>
      </c>
      <c r="T71" s="76">
        <f t="shared" si="63"/>
        <v>108.23973865546242</v>
      </c>
      <c r="U71" s="76">
        <f t="shared" si="63"/>
        <v>104.89981182102358</v>
      </c>
      <c r="V71" s="76">
        <f t="shared" si="63"/>
        <v>101.81892845106097</v>
      </c>
      <c r="W71" s="76">
        <f t="shared" si="63"/>
        <v>99.015166618682912</v>
      </c>
      <c r="X71" s="76">
        <f t="shared" si="63"/>
        <v>96.466775661531898</v>
      </c>
      <c r="Y71" s="76">
        <f t="shared" si="63"/>
        <v>94.441824956252788</v>
      </c>
      <c r="Z71" s="76">
        <f t="shared" si="63"/>
        <v>92.57954061461416</v>
      </c>
      <c r="AA71" s="76">
        <f t="shared" si="63"/>
        <v>90.837474518797222</v>
      </c>
      <c r="AB71" s="76">
        <f t="shared" si="63"/>
        <v>89.181200523875916</v>
      </c>
      <c r="AC71" s="76">
        <f t="shared" si="63"/>
        <v>87.584693018245815</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1.2272875676237464E-2</v>
      </c>
      <c r="C81" s="66">
        <f t="shared" ref="C81:AC81" si="72">C39*C40*C47/C47/(C44)</f>
        <v>1.1952823909334756E-2</v>
      </c>
      <c r="D81" s="66">
        <f t="shared" si="72"/>
        <v>1.1632277074057592E-2</v>
      </c>
      <c r="E81" s="66">
        <f t="shared" si="72"/>
        <v>1.140758842123883E-2</v>
      </c>
      <c r="F81" s="66">
        <f t="shared" si="72"/>
        <v>1.118189144543053E-2</v>
      </c>
      <c r="G81" s="66">
        <f t="shared" si="72"/>
        <v>1.0954792138497413E-2</v>
      </c>
      <c r="H81" s="66">
        <f t="shared" si="72"/>
        <v>1.0725751235711567E-2</v>
      </c>
      <c r="I81" s="66">
        <f t="shared" si="72"/>
        <v>1.0494039383343104E-2</v>
      </c>
      <c r="J81" s="66">
        <f t="shared" si="72"/>
        <v>1.0470786019931422E-2</v>
      </c>
      <c r="K81" s="66">
        <f t="shared" si="72"/>
        <v>1.0441833229988512E-2</v>
      </c>
      <c r="L81" s="66">
        <f t="shared" si="72"/>
        <v>1.0405156192438283E-2</v>
      </c>
      <c r="M81" s="66">
        <f t="shared" si="72"/>
        <v>1.0358284649412651E-2</v>
      </c>
      <c r="N81" s="66">
        <f t="shared" si="72"/>
        <v>1.0298472778236077E-2</v>
      </c>
      <c r="O81" s="66">
        <f t="shared" si="72"/>
        <v>1.0007276225543824E-2</v>
      </c>
      <c r="P81" s="66">
        <f t="shared" si="72"/>
        <v>9.7025256569906095E-3</v>
      </c>
      <c r="Q81" s="66">
        <f t="shared" si="72"/>
        <v>9.3858219980898806E-3</v>
      </c>
      <c r="R81" s="66">
        <f t="shared" si="72"/>
        <v>9.0615530345838323E-3</v>
      </c>
      <c r="S81" s="66">
        <f t="shared" si="72"/>
        <v>8.7366429964631249E-3</v>
      </c>
      <c r="T81" s="66">
        <f t="shared" si="72"/>
        <v>8.4343239841424954E-3</v>
      </c>
      <c r="U81" s="66">
        <f t="shared" si="72"/>
        <v>8.1457464404424019E-3</v>
      </c>
      <c r="V81" s="66">
        <f t="shared" si="72"/>
        <v>7.8748435880941336E-3</v>
      </c>
      <c r="W81" s="66">
        <f t="shared" si="72"/>
        <v>7.6222877015386719E-3</v>
      </c>
      <c r="X81" s="66">
        <f t="shared" si="72"/>
        <v>7.3862963255528144E-3</v>
      </c>
      <c r="Y81" s="66">
        <f t="shared" si="72"/>
        <v>7.1967730529560779E-3</v>
      </c>
      <c r="Z81" s="66">
        <f t="shared" si="72"/>
        <v>7.0174069848035073E-3</v>
      </c>
      <c r="AA81" s="66">
        <f t="shared" si="72"/>
        <v>6.8454671937331641E-3</v>
      </c>
      <c r="AB81" s="66">
        <f t="shared" si="72"/>
        <v>6.6787732936716806E-3</v>
      </c>
      <c r="AC81" s="66">
        <f t="shared" si="72"/>
        <v>6.5156977611726787E-3</v>
      </c>
    </row>
    <row r="82" spans="1:29" x14ac:dyDescent="0.25">
      <c r="A82" s="59" t="str">
        <f>A45</f>
        <v>Market failure (av. utilization)</v>
      </c>
      <c r="B82" s="66">
        <f t="shared" ref="B82:AC82" si="73">B71/B45-B71/B44</f>
        <v>7.4197014833875218E-3</v>
      </c>
      <c r="C82" s="66">
        <f t="shared" si="73"/>
        <v>7.268751141009196E-3</v>
      </c>
      <c r="D82" s="66">
        <f t="shared" si="73"/>
        <v>7.1174220953204026E-3</v>
      </c>
      <c r="E82" s="66">
        <f t="shared" si="73"/>
        <v>7.0109946120725328E-3</v>
      </c>
      <c r="F82" s="66">
        <f t="shared" si="73"/>
        <v>6.9037957548659067E-3</v>
      </c>
      <c r="G82" s="66">
        <f t="shared" si="73"/>
        <v>6.795514667320408E-3</v>
      </c>
      <c r="H82" s="66">
        <f t="shared" si="73"/>
        <v>6.6857213515007941E-3</v>
      </c>
      <c r="I82" s="66">
        <f t="shared" si="73"/>
        <v>6.5738274744177767E-3</v>
      </c>
      <c r="J82" s="66">
        <f t="shared" si="73"/>
        <v>6.55885226621661E-3</v>
      </c>
      <c r="K82" s="66">
        <f t="shared" si="73"/>
        <v>6.5395659383180853E-3</v>
      </c>
      <c r="L82" s="66">
        <f t="shared" si="73"/>
        <v>6.5144346358129053E-3</v>
      </c>
      <c r="M82" s="66">
        <f t="shared" si="73"/>
        <v>6.4815858794727982E-3</v>
      </c>
      <c r="N82" s="66">
        <f t="shared" si="73"/>
        <v>6.4389364168107675E-3</v>
      </c>
      <c r="O82" s="66">
        <f t="shared" si="73"/>
        <v>6.2829449146597251E-3</v>
      </c>
      <c r="P82" s="66">
        <f t="shared" si="73"/>
        <v>6.1156586994309675E-3</v>
      </c>
      <c r="Q82" s="66">
        <f t="shared" si="73"/>
        <v>5.9379733492241019E-3</v>
      </c>
      <c r="R82" s="66">
        <f t="shared" si="73"/>
        <v>5.7529814083218094E-3</v>
      </c>
      <c r="S82" s="66">
        <f t="shared" si="73"/>
        <v>5.5658835288249411E-3</v>
      </c>
      <c r="T82" s="66">
        <f t="shared" si="73"/>
        <v>5.390089693393706E-3</v>
      </c>
      <c r="U82" s="66">
        <f t="shared" si="73"/>
        <v>5.2237690293693642E-3</v>
      </c>
      <c r="V82" s="66">
        <f t="shared" si="73"/>
        <v>5.0703481332616696E-3</v>
      </c>
      <c r="W82" s="66">
        <f t="shared" si="73"/>
        <v>4.9307272514750259E-3</v>
      </c>
      <c r="X82" s="66">
        <f t="shared" si="73"/>
        <v>4.803823251118923E-3</v>
      </c>
      <c r="Y82" s="66">
        <f t="shared" si="73"/>
        <v>4.7029853697480358E-3</v>
      </c>
      <c r="Z82" s="66">
        <f t="shared" si="73"/>
        <v>4.6102478986424708E-3</v>
      </c>
      <c r="AA82" s="66">
        <f t="shared" si="73"/>
        <v>4.5234970192989561E-3</v>
      </c>
      <c r="AB82" s="66">
        <f t="shared" si="73"/>
        <v>4.4410183889885269E-3</v>
      </c>
      <c r="AC82" s="66">
        <f t="shared" si="73"/>
        <v>4.3615159921940021E-3</v>
      </c>
    </row>
    <row r="83" spans="1:29" x14ac:dyDescent="0.25">
      <c r="A83" s="59" t="str">
        <f>A46</f>
        <v>Payload loss (fuel)</v>
      </c>
      <c r="B83" s="66">
        <f>B71/(B44-B46)-B71/B44</f>
        <v>1.7510189894861146E-3</v>
      </c>
      <c r="C83" s="66">
        <f t="shared" ref="C83:AC83" si="74">C71/(C44-C46)-C71/C44</f>
        <v>1.7150329995306527E-3</v>
      </c>
      <c r="D83" s="66">
        <f t="shared" si="74"/>
        <v>1.6788196671535353E-3</v>
      </c>
      <c r="E83" s="66">
        <f t="shared" si="74"/>
        <v>1.6530005275780229E-3</v>
      </c>
      <c r="F83" s="66">
        <f t="shared" si="74"/>
        <v>1.6267189790010669E-3</v>
      </c>
      <c r="G83" s="66">
        <f t="shared" si="74"/>
        <v>1.5997906137081314E-3</v>
      </c>
      <c r="H83" s="66">
        <f t="shared" si="74"/>
        <v>1.5719616800230398E-3</v>
      </c>
      <c r="I83" s="66">
        <f t="shared" si="74"/>
        <v>1.5428873623229717E-3</v>
      </c>
      <c r="J83" s="66">
        <f t="shared" si="74"/>
        <v>1.5354743577512733E-3</v>
      </c>
      <c r="K83" s="66">
        <f t="shared" si="74"/>
        <v>1.5255055436959944E-3</v>
      </c>
      <c r="L83" s="66">
        <f t="shared" si="74"/>
        <v>1.5120959165187235E-3</v>
      </c>
      <c r="M83" s="66">
        <f t="shared" si="74"/>
        <v>1.494188510107259E-3</v>
      </c>
      <c r="N83" s="66">
        <f t="shared" si="74"/>
        <v>1.4706502873132743E-3</v>
      </c>
      <c r="O83" s="66">
        <f t="shared" si="74"/>
        <v>1.4175755565033095E-3</v>
      </c>
      <c r="P83" s="66">
        <f t="shared" si="74"/>
        <v>1.3585031637831976E-3</v>
      </c>
      <c r="Q83" s="66">
        <f t="shared" si="74"/>
        <v>1.294263610028084E-3</v>
      </c>
      <c r="R83" s="66">
        <f t="shared" si="74"/>
        <v>1.2269086230121632E-3</v>
      </c>
      <c r="S83" s="66">
        <f t="shared" si="74"/>
        <v>1.1595098861748258E-3</v>
      </c>
      <c r="T83" s="66">
        <f t="shared" si="74"/>
        <v>1.0968918706937125E-3</v>
      </c>
      <c r="U83" s="66">
        <f t="shared" si="74"/>
        <v>1.0402013885822108E-3</v>
      </c>
      <c r="V83" s="66">
        <f t="shared" si="74"/>
        <v>9.9087234941482721E-4</v>
      </c>
      <c r="W83" s="66">
        <f t="shared" si="74"/>
        <v>9.4900470254512086E-4</v>
      </c>
      <c r="X83" s="66">
        <f t="shared" si="74"/>
        <v>9.1376361822187099E-4</v>
      </c>
      <c r="Y83" s="66">
        <f t="shared" si="74"/>
        <v>8.8681188996969293E-4</v>
      </c>
      <c r="Z83" s="66">
        <f t="shared" si="74"/>
        <v>8.6388521795660415E-4</v>
      </c>
      <c r="AA83" s="66">
        <f t="shared" si="74"/>
        <v>8.4389203339915904E-4</v>
      </c>
      <c r="AB83" s="66">
        <f t="shared" si="74"/>
        <v>8.2597082443253665E-4</v>
      </c>
      <c r="AC83" s="66">
        <f t="shared" si="74"/>
        <v>8.094818986598834E-4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2.4923789525740158E-2</v>
      </c>
      <c r="C85" s="67">
        <f t="shared" ref="C85:AC85" si="76">C74+C75+C76+C77+C78+C79+C80+C81+C82+C83+C84</f>
        <v>2.4416083715852424E-2</v>
      </c>
      <c r="D85" s="67">
        <f t="shared" si="76"/>
        <v>2.3906967115697828E-2</v>
      </c>
      <c r="E85" s="67">
        <f t="shared" si="76"/>
        <v>2.3548562090972724E-2</v>
      </c>
      <c r="F85" s="67">
        <f t="shared" si="76"/>
        <v>2.3187284113625063E-2</v>
      </c>
      <c r="G85" s="67">
        <f t="shared" si="76"/>
        <v>2.2821977349752443E-2</v>
      </c>
      <c r="H85" s="67">
        <f t="shared" si="76"/>
        <v>2.2451044304131057E-2</v>
      </c>
      <c r="I85" s="67">
        <f t="shared" si="76"/>
        <v>2.2072301620546561E-2</v>
      </c>
      <c r="J85" s="67">
        <f t="shared" si="76"/>
        <v>2.2018091090346213E-2</v>
      </c>
      <c r="K85" s="67">
        <f t="shared" si="76"/>
        <v>2.1947852501608051E-2</v>
      </c>
      <c r="L85" s="67">
        <f t="shared" si="76"/>
        <v>2.1855907554102088E-2</v>
      </c>
      <c r="M85" s="67">
        <f t="shared" si="76"/>
        <v>2.1735347784127789E-2</v>
      </c>
      <c r="N85" s="67">
        <f t="shared" si="76"/>
        <v>2.1578529990514954E-2</v>
      </c>
      <c r="O85" s="67">
        <f t="shared" si="76"/>
        <v>2.1037981815482987E-2</v>
      </c>
      <c r="P85" s="67">
        <f t="shared" si="76"/>
        <v>2.0456140000173005E-2</v>
      </c>
      <c r="Q85" s="67">
        <f t="shared" si="76"/>
        <v>1.9836633727021439E-2</v>
      </c>
      <c r="R85" s="67">
        <f t="shared" si="76"/>
        <v>1.9191178924685852E-2</v>
      </c>
      <c r="S85" s="67">
        <f t="shared" si="76"/>
        <v>1.8539099314420805E-2</v>
      </c>
      <c r="T85" s="67">
        <f t="shared" si="76"/>
        <v>1.7927125563217079E-2</v>
      </c>
      <c r="U85" s="67">
        <f t="shared" si="76"/>
        <v>1.7350683006029509E-2</v>
      </c>
      <c r="V85" s="67">
        <f t="shared" si="76"/>
        <v>1.6821913666525579E-2</v>
      </c>
      <c r="W85" s="67">
        <f t="shared" si="76"/>
        <v>1.6343730764072611E-2</v>
      </c>
      <c r="X85" s="67">
        <f t="shared" si="76"/>
        <v>1.5911914678636535E-2</v>
      </c>
      <c r="Y85" s="67">
        <f t="shared" si="76"/>
        <v>1.5569844571100338E-2</v>
      </c>
      <c r="Z85" s="67">
        <f t="shared" si="76"/>
        <v>1.5257113301882359E-2</v>
      </c>
      <c r="AA85" s="67">
        <f t="shared" si="76"/>
        <v>1.4966023619376432E-2</v>
      </c>
      <c r="AB85" s="67">
        <f t="shared" si="76"/>
        <v>1.4690356690689721E-2</v>
      </c>
      <c r="AC85" s="67">
        <f t="shared" si="76"/>
        <v>1.4425422774934169E-2</v>
      </c>
    </row>
    <row r="87" spans="1:29" x14ac:dyDescent="0.25">
      <c r="B87" s="40"/>
    </row>
    <row r="107" spans="1:2" s="3" customFormat="1" ht="21" x14ac:dyDescent="0.35">
      <c r="A107" s="2" t="str">
        <f>'Parameter Input'!A223</f>
        <v>Short-sea: Container</v>
      </c>
    </row>
    <row r="108" spans="1:2" s="3" customFormat="1" ht="21" x14ac:dyDescent="0.35">
      <c r="A108" s="2" t="s">
        <v>95</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Input'!$L$237</f>
        <v>30000000</v>
      </c>
      <c r="C117" s="42">
        <f>'Parameter Input'!$M$237</f>
        <v>19500000</v>
      </c>
      <c r="D117" s="1" t="s">
        <v>138</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Input'!$L$238</f>
        <v>-1500000</v>
      </c>
      <c r="C118" s="61">
        <f>'Parameter Input'!$M$238</f>
        <v>-1950000</v>
      </c>
      <c r="D118" s="1" t="s">
        <v>138</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Input'!$L$244</f>
        <v>0.06</v>
      </c>
      <c r="C121" s="91">
        <f>'Parameter Input'!$M$244</f>
        <v>0.06</v>
      </c>
      <c r="D121" s="1" t="s">
        <v>180</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Input'!$L$240</f>
        <v>338823.5294117647</v>
      </c>
      <c r="C123" s="61">
        <f>'Parameter Input'!$M$240</f>
        <v>338823.5294117647</v>
      </c>
      <c r="D123" s="1" t="s">
        <v>161</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Input'!$L$241</f>
        <v>589</v>
      </c>
      <c r="C125" s="61">
        <f>'Parameter Input'!$M$241</f>
        <v>519</v>
      </c>
      <c r="D125" s="1" t="s">
        <v>184</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Input'!$L$242</f>
        <v>0.2544561408768215</v>
      </c>
      <c r="C126" s="61">
        <f>'Parameter Input'!$M$242</f>
        <v>0.10949010032952979</v>
      </c>
      <c r="D126" s="1" t="s">
        <v>94</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458</v>
      </c>
      <c r="B127" s="115">
        <f>'Parameter Input'!$L$245</f>
        <v>0</v>
      </c>
      <c r="C127" s="116">
        <f>'Parameter Input'!$M$245</f>
        <v>0</v>
      </c>
      <c r="D127" s="1" t="s">
        <v>200</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Input'!$L$239</f>
        <v>25</v>
      </c>
      <c r="C128" s="61">
        <f>'Parameter Input'!$M$239</f>
        <v>25</v>
      </c>
      <c r="D128" s="1" t="s">
        <v>165</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Input'!$L$243</f>
        <v>0.1</v>
      </c>
      <c r="C132" s="46">
        <f>'Parameter Input'!$M$243</f>
        <v>0.08</v>
      </c>
      <c r="D132" s="1" t="s">
        <v>180</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0.19695917693522813</v>
      </c>
      <c r="C146" s="62">
        <f>'Parameter Input'!K5</f>
        <v>0.1918445490889919</v>
      </c>
      <c r="D146" s="62">
        <f>'Parameter Input'!L5</f>
        <v>0.1867299212427557</v>
      </c>
      <c r="E146" s="62">
        <f>'Parameter Input'!M5</f>
        <v>0.18316543121930073</v>
      </c>
      <c r="F146" s="62">
        <f>'Parameter Input'!N5</f>
        <v>0.1796009411958458</v>
      </c>
      <c r="G146" s="62">
        <f>'Parameter Input'!O5</f>
        <v>0.17603645117239083</v>
      </c>
      <c r="H146" s="62">
        <f>'Parameter Input'!P5</f>
        <v>0.17247196114893587</v>
      </c>
      <c r="I146" s="62">
        <f>'Parameter Input'!Q5</f>
        <v>0.16890747112548093</v>
      </c>
      <c r="J146" s="62">
        <f>'Parameter Input'!R5</f>
        <v>0.16876144856602932</v>
      </c>
      <c r="K146" s="62">
        <f>'Parameter Input'!S5</f>
        <v>0.16861542600657767</v>
      </c>
      <c r="L146" s="62">
        <f>'Parameter Input'!T5</f>
        <v>0.16846940344712602</v>
      </c>
      <c r="M146" s="62">
        <f>'Parameter Input'!U5</f>
        <v>0.1683233808876744</v>
      </c>
      <c r="N146" s="62">
        <f>'Parameter Input'!V5</f>
        <v>0.16817735832822278</v>
      </c>
      <c r="O146" s="62">
        <f>'Parameter Input'!W5</f>
        <v>0.16448316805908789</v>
      </c>
      <c r="P146" s="62">
        <f>'Parameter Input'!X5</f>
        <v>0.16078897778995299</v>
      </c>
      <c r="Q146" s="62">
        <f>'Parameter Input'!Y5</f>
        <v>0.15709478752081807</v>
      </c>
      <c r="R146" s="62">
        <f>'Parameter Input'!Z5</f>
        <v>0.15340059725168312</v>
      </c>
      <c r="S146" s="62">
        <f>'Parameter Input'!AA5</f>
        <v>0.1497064069825482</v>
      </c>
      <c r="T146" s="62">
        <f>'Parameter Input'!AB5</f>
        <v>0.14627718374621171</v>
      </c>
      <c r="U146" s="62">
        <f>'Parameter Input'!AC5</f>
        <v>0.14284796050987525</v>
      </c>
      <c r="V146" s="62">
        <f>'Parameter Input'!AD5</f>
        <v>0.13941873727353876</v>
      </c>
      <c r="W146" s="62">
        <f>'Parameter Input'!AE5</f>
        <v>0.13598951403720227</v>
      </c>
      <c r="X146" s="62">
        <f>'Parameter Input'!AF5</f>
        <v>0.13256029080086582</v>
      </c>
      <c r="Y146" s="62">
        <f>'Parameter Input'!AG5</f>
        <v>0.12972417970496936</v>
      </c>
      <c r="Z146" s="62">
        <f>'Parameter Input'!AH5</f>
        <v>0.12688806860907287</v>
      </c>
      <c r="AA146" s="62">
        <f>'Parameter Input'!AI5</f>
        <v>0.12405195751317638</v>
      </c>
      <c r="AB146" s="62">
        <f>'Parameter Input'!AJ5</f>
        <v>0.12121584641727991</v>
      </c>
      <c r="AC146" s="62">
        <f>'Parameter Input'!AK5</f>
        <v>0.11837973532138339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13917441.016853284</v>
      </c>
      <c r="C163" s="62">
        <f t="shared" ref="C163:AC163" si="127">C145*C146*C153</f>
        <v>13554502.313185614</v>
      </c>
      <c r="D163" s="62">
        <f t="shared" si="127"/>
        <v>13191002.201981308</v>
      </c>
      <c r="E163" s="62">
        <f t="shared" si="127"/>
        <v>12936205.269684833</v>
      </c>
      <c r="F163" s="62">
        <f t="shared" si="127"/>
        <v>12680264.89911822</v>
      </c>
      <c r="G163" s="62">
        <f t="shared" si="127"/>
        <v>12422734.285056066</v>
      </c>
      <c r="H163" s="62">
        <f t="shared" si="127"/>
        <v>12163001.901296917</v>
      </c>
      <c r="I163" s="62">
        <f t="shared" si="127"/>
        <v>11900240.66071108</v>
      </c>
      <c r="J163" s="62">
        <f t="shared" si="127"/>
        <v>11873871.346602231</v>
      </c>
      <c r="K163" s="62">
        <f t="shared" si="127"/>
        <v>11841038.882806974</v>
      </c>
      <c r="L163" s="62">
        <f t="shared" si="127"/>
        <v>11799447.122225013</v>
      </c>
      <c r="M163" s="62">
        <f t="shared" si="127"/>
        <v>11746294.792433945</v>
      </c>
      <c r="N163" s="62">
        <f t="shared" si="127"/>
        <v>11678468.130519712</v>
      </c>
      <c r="O163" s="62">
        <f t="shared" si="127"/>
        <v>11348251.239766695</v>
      </c>
      <c r="P163" s="62">
        <f t="shared" si="127"/>
        <v>11002664.095027352</v>
      </c>
      <c r="Q163" s="62">
        <f t="shared" si="127"/>
        <v>10643522.145833924</v>
      </c>
      <c r="R163" s="62">
        <f t="shared" si="127"/>
        <v>10275801.141218064</v>
      </c>
      <c r="S163" s="62">
        <f t="shared" si="127"/>
        <v>9907353.1579891834</v>
      </c>
      <c r="T163" s="62">
        <f t="shared" si="127"/>
        <v>9564523.398017589</v>
      </c>
      <c r="U163" s="62">
        <f t="shared" si="127"/>
        <v>9237276.4634616822</v>
      </c>
      <c r="V163" s="62">
        <f t="shared" si="127"/>
        <v>8930072.6288987473</v>
      </c>
      <c r="W163" s="62">
        <f t="shared" si="127"/>
        <v>8643674.253544854</v>
      </c>
      <c r="X163" s="62">
        <f t="shared" si="127"/>
        <v>8376060.0331768915</v>
      </c>
      <c r="Y163" s="62">
        <f t="shared" si="127"/>
        <v>8161140.6420521922</v>
      </c>
      <c r="Z163" s="62">
        <f t="shared" si="127"/>
        <v>7957739.5207671775</v>
      </c>
      <c r="AA163" s="62">
        <f t="shared" si="127"/>
        <v>7762759.7976934081</v>
      </c>
      <c r="AB163" s="62">
        <f t="shared" si="127"/>
        <v>7573728.9150236854</v>
      </c>
      <c r="AC163" s="62">
        <f t="shared" si="127"/>
        <v>7388801.2611698182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18246742.955591738</v>
      </c>
      <c r="C165" s="64">
        <f t="shared" ref="C165:AC165" si="129">C156+C157+C158+C159+C160+C161+C162+C163+C164</f>
        <v>17882990.368045568</v>
      </c>
      <c r="D165" s="64">
        <f t="shared" si="129"/>
        <v>17518325.200196996</v>
      </c>
      <c r="E165" s="64">
        <f t="shared" si="129"/>
        <v>17261861.572440445</v>
      </c>
      <c r="F165" s="64">
        <f t="shared" si="129"/>
        <v>17003539.126286775</v>
      </c>
      <c r="G165" s="64">
        <f t="shared" si="129"/>
        <v>16742608.77557401</v>
      </c>
      <c r="H165" s="64">
        <f t="shared" si="129"/>
        <v>16478034.332777694</v>
      </c>
      <c r="I165" s="64">
        <f t="shared" si="129"/>
        <v>16208398.062476896</v>
      </c>
      <c r="J165" s="64">
        <f t="shared" si="129"/>
        <v>16172311.554514129</v>
      </c>
      <c r="K165" s="64">
        <f t="shared" si="129"/>
        <v>16125836.325860668</v>
      </c>
      <c r="L165" s="64">
        <f t="shared" si="129"/>
        <v>16065276.169648804</v>
      </c>
      <c r="M165" s="64">
        <f t="shared" si="129"/>
        <v>15986118.879058231</v>
      </c>
      <c r="N165" s="64">
        <f t="shared" si="129"/>
        <v>15883344.336408403</v>
      </c>
      <c r="O165" s="64">
        <f t="shared" si="129"/>
        <v>15507443.81409993</v>
      </c>
      <c r="P165" s="64">
        <f t="shared" si="129"/>
        <v>15104325.856952429</v>
      </c>
      <c r="Q165" s="64">
        <f t="shared" si="129"/>
        <v>14676148.584291436</v>
      </c>
      <c r="R165" s="64">
        <f t="shared" si="129"/>
        <v>14230364.254702138</v>
      </c>
      <c r="S165" s="64">
        <f t="shared" si="129"/>
        <v>13779505.13958456</v>
      </c>
      <c r="T165" s="64">
        <f t="shared" si="129"/>
        <v>13355885.944654141</v>
      </c>
      <c r="U165" s="64">
        <f t="shared" si="129"/>
        <v>12955094.724521481</v>
      </c>
      <c r="V165" s="64">
        <f t="shared" si="129"/>
        <v>12585388.720125968</v>
      </c>
      <c r="W165" s="64">
        <f t="shared" si="129"/>
        <v>12248937.300240602</v>
      </c>
      <c r="X165" s="64">
        <f t="shared" si="129"/>
        <v>11943130.385382477</v>
      </c>
      <c r="Y165" s="64">
        <f t="shared" si="129"/>
        <v>11700136.300748985</v>
      </c>
      <c r="Z165" s="64">
        <f t="shared" si="129"/>
        <v>11476662.17975235</v>
      </c>
      <c r="AA165" s="64">
        <f t="shared" si="129"/>
        <v>11267614.248254318</v>
      </c>
      <c r="AB165" s="64">
        <f t="shared" si="129"/>
        <v>11068861.368863761</v>
      </c>
      <c r="AC165" s="64">
        <f t="shared" si="129"/>
        <v>10877280.468188148</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115.97867514044404</v>
      </c>
      <c r="C175" s="66">
        <f t="shared" ref="C175:AC175" si="138">C145*C146*C153/C153</f>
        <v>112.95418594321345</v>
      </c>
      <c r="D175" s="66">
        <f t="shared" si="138"/>
        <v>109.92501834984424</v>
      </c>
      <c r="E175" s="66">
        <f t="shared" si="138"/>
        <v>107.80171058070694</v>
      </c>
      <c r="F175" s="66">
        <f t="shared" si="138"/>
        <v>105.66887415931851</v>
      </c>
      <c r="G175" s="66">
        <f t="shared" si="138"/>
        <v>103.52278570880055</v>
      </c>
      <c r="H175" s="66">
        <f t="shared" si="138"/>
        <v>101.35834917747431</v>
      </c>
      <c r="I175" s="66">
        <f t="shared" si="138"/>
        <v>99.168672172592338</v>
      </c>
      <c r="J175" s="66">
        <f t="shared" si="138"/>
        <v>98.948927888351932</v>
      </c>
      <c r="K175" s="66">
        <f t="shared" si="138"/>
        <v>98.67532402339144</v>
      </c>
      <c r="L175" s="66">
        <f t="shared" si="138"/>
        <v>98.328726018541772</v>
      </c>
      <c r="M175" s="66">
        <f t="shared" si="138"/>
        <v>97.88578993694955</v>
      </c>
      <c r="N175" s="66">
        <f t="shared" si="138"/>
        <v>97.320567754330938</v>
      </c>
      <c r="O175" s="66">
        <f t="shared" si="138"/>
        <v>94.568760331389129</v>
      </c>
      <c r="P175" s="66">
        <f t="shared" si="138"/>
        <v>91.688867458561262</v>
      </c>
      <c r="Q175" s="66">
        <f t="shared" si="138"/>
        <v>88.696017881949373</v>
      </c>
      <c r="R175" s="66">
        <f t="shared" si="138"/>
        <v>85.631676176817209</v>
      </c>
      <c r="S175" s="66">
        <f t="shared" si="138"/>
        <v>82.561276316576524</v>
      </c>
      <c r="T175" s="66">
        <f t="shared" si="138"/>
        <v>79.704361650146581</v>
      </c>
      <c r="U175" s="66">
        <f t="shared" si="138"/>
        <v>76.97730386218069</v>
      </c>
      <c r="V175" s="66">
        <f t="shared" si="138"/>
        <v>74.417271907489564</v>
      </c>
      <c r="W175" s="66">
        <f t="shared" si="138"/>
        <v>72.030618779540447</v>
      </c>
      <c r="X175" s="66">
        <f t="shared" si="138"/>
        <v>69.800500276474096</v>
      </c>
      <c r="Y175" s="66">
        <f t="shared" si="138"/>
        <v>68.009505350434935</v>
      </c>
      <c r="Z175" s="66">
        <f t="shared" si="138"/>
        <v>66.314496006393142</v>
      </c>
      <c r="AA175" s="66">
        <f t="shared" si="138"/>
        <v>64.689664980778403</v>
      </c>
      <c r="AB175" s="66">
        <f t="shared" si="138"/>
        <v>63.11440762519738</v>
      </c>
      <c r="AC175" s="66">
        <f t="shared" si="138"/>
        <v>61.573343843081815</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152.70808061503345</v>
      </c>
      <c r="C177" s="76">
        <f t="shared" ref="C177:AC177" si="141">C168+C169+C170-C171+C172+C173+C174+C175+C176</f>
        <v>149.67680905214868</v>
      </c>
      <c r="D177" s="76">
        <f t="shared" si="141"/>
        <v>146.63793265341059</v>
      </c>
      <c r="E177" s="76">
        <f t="shared" si="141"/>
        <v>144.50073575543934</v>
      </c>
      <c r="F177" s="76">
        <f t="shared" si="141"/>
        <v>142.34804870415874</v>
      </c>
      <c r="G177" s="76">
        <f t="shared" si="141"/>
        <v>140.1736291148857</v>
      </c>
      <c r="H177" s="76">
        <f t="shared" si="141"/>
        <v>137.96884209158304</v>
      </c>
      <c r="I177" s="76">
        <f t="shared" si="141"/>
        <v>135.72187317240974</v>
      </c>
      <c r="J177" s="76">
        <f t="shared" si="141"/>
        <v>135.42115227272004</v>
      </c>
      <c r="K177" s="76">
        <f t="shared" si="141"/>
        <v>135.03385870060785</v>
      </c>
      <c r="L177" s="76">
        <f t="shared" si="141"/>
        <v>134.52919073217564</v>
      </c>
      <c r="M177" s="76">
        <f t="shared" si="141"/>
        <v>133.86954664392087</v>
      </c>
      <c r="N177" s="76">
        <f t="shared" si="141"/>
        <v>133.01309212183898</v>
      </c>
      <c r="O177" s="76">
        <f t="shared" si="141"/>
        <v>129.88058776926837</v>
      </c>
      <c r="P177" s="76">
        <f t="shared" si="141"/>
        <v>126.52127145970584</v>
      </c>
      <c r="Q177" s="76">
        <f t="shared" si="141"/>
        <v>122.95312752086426</v>
      </c>
      <c r="R177" s="76">
        <f t="shared" si="141"/>
        <v>119.23825810762011</v>
      </c>
      <c r="S177" s="76">
        <f t="shared" si="141"/>
        <v>115.48109881497362</v>
      </c>
      <c r="T177" s="76">
        <f t="shared" si="141"/>
        <v>111.95093885722014</v>
      </c>
      <c r="U177" s="76">
        <f t="shared" si="141"/>
        <v>108.6110120227813</v>
      </c>
      <c r="V177" s="76">
        <f t="shared" si="141"/>
        <v>105.53012865281869</v>
      </c>
      <c r="W177" s="76">
        <f t="shared" si="141"/>
        <v>102.72636682044063</v>
      </c>
      <c r="X177" s="76">
        <f t="shared" si="141"/>
        <v>100.1779758632896</v>
      </c>
      <c r="Y177" s="76">
        <f t="shared" si="141"/>
        <v>98.153025158010493</v>
      </c>
      <c r="Z177" s="76">
        <f t="shared" si="141"/>
        <v>96.290740816371866</v>
      </c>
      <c r="AA177" s="76">
        <f t="shared" si="141"/>
        <v>94.548674720554942</v>
      </c>
      <c r="AB177" s="76">
        <f t="shared" si="141"/>
        <v>92.892400725633621</v>
      </c>
      <c r="AC177" s="76">
        <f t="shared" si="141"/>
        <v>91.295893220003521</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1.2272875676237464E-2</v>
      </c>
      <c r="C187" s="66">
        <f t="shared" ref="C187:AC187" si="150">C145*C146*C153/C153/(C150)</f>
        <v>1.1952823909334756E-2</v>
      </c>
      <c r="D187" s="66">
        <f t="shared" si="150"/>
        <v>1.1632277074057592E-2</v>
      </c>
      <c r="E187" s="66">
        <f t="shared" si="150"/>
        <v>1.140758842123883E-2</v>
      </c>
      <c r="F187" s="66">
        <f t="shared" si="150"/>
        <v>1.118189144543053E-2</v>
      </c>
      <c r="G187" s="66">
        <f t="shared" si="150"/>
        <v>1.0954792138497413E-2</v>
      </c>
      <c r="H187" s="66">
        <f t="shared" si="150"/>
        <v>1.0725751235711567E-2</v>
      </c>
      <c r="I187" s="66">
        <f t="shared" si="150"/>
        <v>1.0494039383343104E-2</v>
      </c>
      <c r="J187" s="66">
        <f t="shared" si="150"/>
        <v>1.0470786019931422E-2</v>
      </c>
      <c r="K187" s="66">
        <f t="shared" si="150"/>
        <v>1.0441833229988512E-2</v>
      </c>
      <c r="L187" s="66">
        <f t="shared" si="150"/>
        <v>1.0405156192438283E-2</v>
      </c>
      <c r="M187" s="66">
        <f t="shared" si="150"/>
        <v>1.0358284649412651E-2</v>
      </c>
      <c r="N187" s="66">
        <f t="shared" si="150"/>
        <v>1.0298472778236077E-2</v>
      </c>
      <c r="O187" s="66">
        <f t="shared" si="150"/>
        <v>1.0007276225543824E-2</v>
      </c>
      <c r="P187" s="66">
        <f t="shared" si="150"/>
        <v>9.7025256569906095E-3</v>
      </c>
      <c r="Q187" s="66">
        <f t="shared" si="150"/>
        <v>9.3858219980898806E-3</v>
      </c>
      <c r="R187" s="66">
        <f t="shared" si="150"/>
        <v>9.0615530345838323E-3</v>
      </c>
      <c r="S187" s="66">
        <f t="shared" si="150"/>
        <v>8.7366429964631249E-3</v>
      </c>
      <c r="T187" s="66">
        <f t="shared" si="150"/>
        <v>8.4343239841424954E-3</v>
      </c>
      <c r="U187" s="66">
        <f t="shared" si="150"/>
        <v>8.1457464404424019E-3</v>
      </c>
      <c r="V187" s="66">
        <f t="shared" si="150"/>
        <v>7.8748435880941336E-3</v>
      </c>
      <c r="W187" s="66">
        <f t="shared" si="150"/>
        <v>7.6222877015386719E-3</v>
      </c>
      <c r="X187" s="66">
        <f t="shared" si="150"/>
        <v>7.3862963255528144E-3</v>
      </c>
      <c r="Y187" s="66">
        <f t="shared" si="150"/>
        <v>7.1967730529560779E-3</v>
      </c>
      <c r="Z187" s="66">
        <f t="shared" si="150"/>
        <v>7.0174069848035073E-3</v>
      </c>
      <c r="AA187" s="66">
        <f t="shared" si="150"/>
        <v>6.8454671937331641E-3</v>
      </c>
      <c r="AB187" s="66">
        <f t="shared" si="150"/>
        <v>6.6787732936716806E-3</v>
      </c>
      <c r="AC187" s="66">
        <f t="shared" si="150"/>
        <v>6.5156977611726787E-3</v>
      </c>
    </row>
    <row r="188" spans="1:29" x14ac:dyDescent="0.25">
      <c r="A188" s="59" t="str">
        <f>A151</f>
        <v>Market failure (av. utilization)</v>
      </c>
      <c r="B188" s="66">
        <f t="shared" ref="B188:AC188" si="151">B177/B151-B177/B150</f>
        <v>1.2025737860664625E-2</v>
      </c>
      <c r="C188" s="66">
        <f t="shared" si="151"/>
        <v>1.1787025691322155E-2</v>
      </c>
      <c r="D188" s="66">
        <f t="shared" si="151"/>
        <v>1.1547714642325922E-2</v>
      </c>
      <c r="E188" s="66">
        <f t="shared" si="151"/>
        <v>1.1379410715329295E-2</v>
      </c>
      <c r="F188" s="66">
        <f t="shared" si="151"/>
        <v>1.1209886941142069E-2</v>
      </c>
      <c r="G188" s="66">
        <f t="shared" si="151"/>
        <v>1.1038651732930583E-2</v>
      </c>
      <c r="H188" s="66">
        <f t="shared" si="151"/>
        <v>1.0865025093960029E-2</v>
      </c>
      <c r="I188" s="66">
        <f t="shared" si="151"/>
        <v>1.0688076637177586E-2</v>
      </c>
      <c r="J188" s="66">
        <f t="shared" si="151"/>
        <v>1.0664394912580389E-2</v>
      </c>
      <c r="K188" s="66">
        <f t="shared" si="151"/>
        <v>1.063389560334552E-2</v>
      </c>
      <c r="L188" s="66">
        <f t="shared" si="151"/>
        <v>1.05941530784536E-2</v>
      </c>
      <c r="M188" s="66">
        <f t="shared" si="151"/>
        <v>1.0542206207962267E-2</v>
      </c>
      <c r="N188" s="66">
        <f t="shared" si="151"/>
        <v>1.0474760546078129E-2</v>
      </c>
      <c r="O188" s="66">
        <f t="shared" si="151"/>
        <v>1.0228076310118342E-2</v>
      </c>
      <c r="P188" s="66">
        <f t="shared" si="151"/>
        <v>9.9635306674309993E-3</v>
      </c>
      <c r="Q188" s="66">
        <f t="shared" si="151"/>
        <v>9.682539881057356E-3</v>
      </c>
      <c r="R188" s="66">
        <f t="shared" si="151"/>
        <v>9.3899944861421027E-3</v>
      </c>
      <c r="S188" s="66">
        <f t="shared" si="151"/>
        <v>9.0941187697284494E-3</v>
      </c>
      <c r="T188" s="66">
        <f t="shared" si="151"/>
        <v>8.8161192160232417E-3</v>
      </c>
      <c r="U188" s="66">
        <f t="shared" si="151"/>
        <v>8.5531004915196281E-3</v>
      </c>
      <c r="V188" s="66">
        <f t="shared" si="151"/>
        <v>8.3104814000004874E-3</v>
      </c>
      <c r="W188" s="66">
        <f t="shared" si="151"/>
        <v>8.0896855869425389E-3</v>
      </c>
      <c r="X188" s="66">
        <f t="shared" si="151"/>
        <v>7.8890001910305579E-3</v>
      </c>
      <c r="Y188" s="66">
        <f t="shared" si="151"/>
        <v>7.7295356344440416E-3</v>
      </c>
      <c r="Z188" s="66">
        <f t="shared" si="151"/>
        <v>7.5828810289747754E-3</v>
      </c>
      <c r="AA188" s="66">
        <f t="shared" si="151"/>
        <v>7.4456935918734059E-3</v>
      </c>
      <c r="AB188" s="66">
        <f t="shared" si="151"/>
        <v>7.3152622695220274E-3</v>
      </c>
      <c r="AC188" s="66">
        <f t="shared" si="151"/>
        <v>7.1895375490097519E-3</v>
      </c>
    </row>
    <row r="189" spans="1:29" x14ac:dyDescent="0.25">
      <c r="A189" s="59" t="str">
        <f>A152</f>
        <v>Payload loss (fuel)</v>
      </c>
      <c r="B189" s="66">
        <f>B177/(B150-B152)-B177/B150</f>
        <v>1.7946332048243002E-3</v>
      </c>
      <c r="C189" s="66">
        <f t="shared" ref="C189:AC189" si="152">C177/(C150-C152)-C177/C150</f>
        <v>1.7586380025447768E-3</v>
      </c>
      <c r="D189" s="66">
        <f t="shared" si="152"/>
        <v>1.7224114836079003E-3</v>
      </c>
      <c r="E189" s="66">
        <f t="shared" si="152"/>
        <v>1.6965734811169898E-3</v>
      </c>
      <c r="F189" s="66">
        <f t="shared" si="152"/>
        <v>1.6702649761027484E-3</v>
      </c>
      <c r="G189" s="66">
        <f t="shared" si="152"/>
        <v>1.6432981439173672E-3</v>
      </c>
      <c r="H189" s="66">
        <f t="shared" si="152"/>
        <v>1.6154144356497462E-3</v>
      </c>
      <c r="I189" s="66">
        <f t="shared" si="152"/>
        <v>1.586262369521179E-3</v>
      </c>
      <c r="J189" s="66">
        <f t="shared" si="152"/>
        <v>1.5787395222789328E-3</v>
      </c>
      <c r="K189" s="66">
        <f t="shared" si="152"/>
        <v>1.5686165844429854E-3</v>
      </c>
      <c r="L189" s="66">
        <f t="shared" si="152"/>
        <v>1.5549928502486161E-3</v>
      </c>
      <c r="M189" s="66">
        <f t="shared" si="152"/>
        <v>1.5367922527926223E-3</v>
      </c>
      <c r="N189" s="66">
        <f t="shared" si="152"/>
        <v>1.5128606336735993E-3</v>
      </c>
      <c r="O189" s="66">
        <f t="shared" si="152"/>
        <v>1.459272728794701E-3</v>
      </c>
      <c r="P189" s="66">
        <f t="shared" si="152"/>
        <v>1.399555800296463E-3</v>
      </c>
      <c r="Q189" s="66">
        <f t="shared" si="152"/>
        <v>1.3345453421222796E-3</v>
      </c>
      <c r="R189" s="66">
        <f t="shared" si="152"/>
        <v>1.2663219311306057E-3</v>
      </c>
      <c r="S189" s="66">
        <f t="shared" si="152"/>
        <v>1.1980101745074044E-3</v>
      </c>
      <c r="T189" s="66">
        <f t="shared" si="152"/>
        <v>1.134500842984219E-3</v>
      </c>
      <c r="U189" s="66">
        <f t="shared" si="152"/>
        <v>1.077002175315379E-3</v>
      </c>
      <c r="V189" s="66">
        <f t="shared" si="152"/>
        <v>1.0269886759074181E-3</v>
      </c>
      <c r="W189" s="66">
        <f t="shared" si="152"/>
        <v>9.8457446992346667E-4</v>
      </c>
      <c r="X189" s="66">
        <f t="shared" si="152"/>
        <v>9.4891727294961134E-4</v>
      </c>
      <c r="Y189" s="66">
        <f t="shared" si="152"/>
        <v>9.216601837897364E-4</v>
      </c>
      <c r="Z189" s="66">
        <f t="shared" si="152"/>
        <v>8.9851545022921926E-4</v>
      </c>
      <c r="AA189" s="66">
        <f t="shared" si="152"/>
        <v>8.7836956925320224E-4</v>
      </c>
      <c r="AB189" s="66">
        <f t="shared" si="152"/>
        <v>8.6034290142043661E-4</v>
      </c>
      <c r="AC189" s="66">
        <f t="shared" si="152"/>
        <v>8.4378183489417294E-4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2.9910973319097162E-2</v>
      </c>
      <c r="C191" s="67">
        <f t="shared" ref="C191:AC191" si="154">C180+C181+C182+C183+C184+C185+C186+C187+C188+C189+C190</f>
        <v>2.9315496469921227E-2</v>
      </c>
      <c r="D191" s="67">
        <f t="shared" si="154"/>
        <v>2.8718384679899428E-2</v>
      </c>
      <c r="E191" s="67">
        <f t="shared" si="154"/>
        <v>2.829808434851017E-2</v>
      </c>
      <c r="F191" s="67">
        <f t="shared" si="154"/>
        <v>2.7874454497744623E-2</v>
      </c>
      <c r="G191" s="67">
        <f t="shared" si="154"/>
        <v>2.7446155146313565E-2</v>
      </c>
      <c r="H191" s="67">
        <f t="shared" si="154"/>
        <v>2.7011334002958715E-2</v>
      </c>
      <c r="I191" s="67">
        <f t="shared" si="154"/>
        <v>2.6567458991246292E-2</v>
      </c>
      <c r="J191" s="67">
        <f t="shared" si="154"/>
        <v>2.6504432101979364E-2</v>
      </c>
      <c r="K191" s="67">
        <f t="shared" si="154"/>
        <v>2.6422826408124191E-2</v>
      </c>
      <c r="L191" s="67">
        <f t="shared" si="154"/>
        <v>2.6316056131214387E-2</v>
      </c>
      <c r="M191" s="67">
        <f t="shared" si="154"/>
        <v>2.6176105056044334E-2</v>
      </c>
      <c r="N191" s="67">
        <f t="shared" si="154"/>
        <v>2.5994097666884354E-2</v>
      </c>
      <c r="O191" s="67">
        <f t="shared" si="154"/>
        <v>2.5362343583974711E-2</v>
      </c>
      <c r="P191" s="67">
        <f t="shared" si="154"/>
        <v>2.4682597805428017E-2</v>
      </c>
      <c r="Q191" s="67">
        <f t="shared" si="154"/>
        <v>2.3959015191690601E-2</v>
      </c>
      <c r="R191" s="67">
        <f t="shared" si="154"/>
        <v>2.3205138511366304E-2</v>
      </c>
      <c r="S191" s="67">
        <f t="shared" si="154"/>
        <v>2.2443368044398605E-2</v>
      </c>
      <c r="T191" s="67">
        <f t="shared" si="154"/>
        <v>2.1728297258878836E-2</v>
      </c>
      <c r="U191" s="67">
        <f t="shared" si="154"/>
        <v>2.1054348455654653E-2</v>
      </c>
      <c r="V191" s="67">
        <f t="shared" si="154"/>
        <v>2.0435696460498705E-2</v>
      </c>
      <c r="W191" s="67">
        <f t="shared" si="154"/>
        <v>1.9875792067660186E-2</v>
      </c>
      <c r="X191" s="67">
        <f t="shared" si="154"/>
        <v>1.9369778474017628E-2</v>
      </c>
      <c r="Y191" s="67">
        <f t="shared" si="154"/>
        <v>1.8968776330358102E-2</v>
      </c>
      <c r="Z191" s="67">
        <f t="shared" si="154"/>
        <v>1.8601909865228992E-2</v>
      </c>
      <c r="AA191" s="67">
        <f t="shared" si="154"/>
        <v>1.8260230928546645E-2</v>
      </c>
      <c r="AB191" s="67">
        <f t="shared" si="154"/>
        <v>1.7936505848952837E-2</v>
      </c>
      <c r="AC191" s="67">
        <f t="shared" si="154"/>
        <v>1.7625277468725924E-2</v>
      </c>
    </row>
    <row r="193" spans="2:2" x14ac:dyDescent="0.25">
      <c r="B193" s="40"/>
    </row>
    <row r="215" spans="1:44" s="3" customFormat="1" ht="21" x14ac:dyDescent="0.35">
      <c r="A215" s="2" t="str">
        <f>'Parameter Input'!A235</f>
        <v>Short-sea: Break bulk</v>
      </c>
    </row>
    <row r="216" spans="1:44" s="3" customFormat="1" ht="21" x14ac:dyDescent="0.35">
      <c r="A216" s="2" t="s">
        <v>95</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Input'!$L$237</f>
        <v>30000000</v>
      </c>
      <c r="C225" s="42">
        <f>'Parameter Input'!$M$237</f>
        <v>19500000</v>
      </c>
      <c r="D225" s="1" t="s">
        <v>138</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Input'!$L$238</f>
        <v>-1500000</v>
      </c>
      <c r="C226" s="61">
        <f>'Parameter Input'!$M$238</f>
        <v>-1950000</v>
      </c>
      <c r="D226" s="1" t="s">
        <v>138</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Input'!$L$244</f>
        <v>0.06</v>
      </c>
      <c r="C229" s="91">
        <f>'Parameter Input'!$M$244</f>
        <v>0.06</v>
      </c>
      <c r="D229" s="1" t="s">
        <v>180</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Input'!$L$240</f>
        <v>338823.5294117647</v>
      </c>
      <c r="C231" s="61">
        <f>'Parameter Input'!$M$240</f>
        <v>338823.5294117647</v>
      </c>
      <c r="D231" s="1" t="s">
        <v>161</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Input'!$L$241</f>
        <v>589</v>
      </c>
      <c r="C233" s="61">
        <f>'Parameter Input'!$M$241</f>
        <v>519</v>
      </c>
      <c r="D233" s="1" t="s">
        <v>184</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Input'!$L$242</f>
        <v>0.2544561408768215</v>
      </c>
      <c r="C234" s="61">
        <f>'Parameter Input'!$M$242</f>
        <v>0.10949010032952979</v>
      </c>
      <c r="D234" s="1" t="s">
        <v>94</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458</v>
      </c>
      <c r="B235" s="115">
        <f>'Parameter Input'!$L$245</f>
        <v>0</v>
      </c>
      <c r="C235" s="116">
        <f>'Parameter Input'!$M$245</f>
        <v>0</v>
      </c>
      <c r="D235" s="1" t="s">
        <v>200</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Input'!$L$239</f>
        <v>25</v>
      </c>
      <c r="C236" s="61">
        <f>'Parameter Input'!$M$239</f>
        <v>25</v>
      </c>
      <c r="D236" s="1" t="s">
        <v>165</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Input'!$L$243</f>
        <v>0.1</v>
      </c>
      <c r="C240" s="46">
        <f>'Parameter Input'!$M$243</f>
        <v>0.08</v>
      </c>
      <c r="D240" s="1" t="s">
        <v>180</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0.19695917693522813</v>
      </c>
      <c r="C254" s="62">
        <f>'Parameter Input'!K5</f>
        <v>0.1918445490889919</v>
      </c>
      <c r="D254" s="62">
        <f>'Parameter Input'!L5</f>
        <v>0.1867299212427557</v>
      </c>
      <c r="E254" s="62">
        <f>'Parameter Input'!M5</f>
        <v>0.18316543121930073</v>
      </c>
      <c r="F254" s="62">
        <f>'Parameter Input'!N5</f>
        <v>0.1796009411958458</v>
      </c>
      <c r="G254" s="62">
        <f>'Parameter Input'!O5</f>
        <v>0.17603645117239083</v>
      </c>
      <c r="H254" s="62">
        <f>'Parameter Input'!P5</f>
        <v>0.17247196114893587</v>
      </c>
      <c r="I254" s="62">
        <f>'Parameter Input'!Q5</f>
        <v>0.16890747112548093</v>
      </c>
      <c r="J254" s="62">
        <f>'Parameter Input'!R5</f>
        <v>0.16876144856602932</v>
      </c>
      <c r="K254" s="62">
        <f>'Parameter Input'!S5</f>
        <v>0.16861542600657767</v>
      </c>
      <c r="L254" s="62">
        <f>'Parameter Input'!T5</f>
        <v>0.16846940344712602</v>
      </c>
      <c r="M254" s="62">
        <f>'Parameter Input'!U5</f>
        <v>0.1683233808876744</v>
      </c>
      <c r="N254" s="62">
        <f>'Parameter Input'!V5</f>
        <v>0.16817735832822278</v>
      </c>
      <c r="O254" s="62">
        <f>'Parameter Input'!W5</f>
        <v>0.16448316805908789</v>
      </c>
      <c r="P254" s="62">
        <f>'Parameter Input'!X5</f>
        <v>0.16078897778995299</v>
      </c>
      <c r="Q254" s="62">
        <f>'Parameter Input'!Y5</f>
        <v>0.15709478752081807</v>
      </c>
      <c r="R254" s="62">
        <f>'Parameter Input'!Z5</f>
        <v>0.15340059725168312</v>
      </c>
      <c r="S254" s="62">
        <f>'Parameter Input'!AA5</f>
        <v>0.1497064069825482</v>
      </c>
      <c r="T254" s="62">
        <f>'Parameter Input'!AB5</f>
        <v>0.14627718374621171</v>
      </c>
      <c r="U254" s="62">
        <f>'Parameter Input'!AC5</f>
        <v>0.14284796050987525</v>
      </c>
      <c r="V254" s="62">
        <f>'Parameter Input'!AD5</f>
        <v>0.13941873727353876</v>
      </c>
      <c r="W254" s="62">
        <f>'Parameter Input'!AE5</f>
        <v>0.13598951403720227</v>
      </c>
      <c r="X254" s="62">
        <f>'Parameter Input'!AF5</f>
        <v>0.13256029080086582</v>
      </c>
      <c r="Y254" s="62">
        <f>'Parameter Input'!AG5</f>
        <v>0.12972417970496936</v>
      </c>
      <c r="Z254" s="62">
        <f>'Parameter Input'!AH5</f>
        <v>0.12688806860907287</v>
      </c>
      <c r="AA254" s="62">
        <f>'Parameter Input'!AI5</f>
        <v>0.12405195751317638</v>
      </c>
      <c r="AB254" s="62">
        <f>'Parameter Input'!AJ5</f>
        <v>0.12121584641727991</v>
      </c>
      <c r="AC254" s="62">
        <f>'Parameter Input'!AK5</f>
        <v>0.11837973532138339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13917441.016853284</v>
      </c>
      <c r="C271" s="62">
        <f t="shared" ref="C271:AC271" si="205">C253*C254*C261</f>
        <v>13554502.313185614</v>
      </c>
      <c r="D271" s="62">
        <f t="shared" si="205"/>
        <v>13191002.201981308</v>
      </c>
      <c r="E271" s="62">
        <f t="shared" si="205"/>
        <v>12936205.269684833</v>
      </c>
      <c r="F271" s="62">
        <f t="shared" si="205"/>
        <v>12680264.89911822</v>
      </c>
      <c r="G271" s="62">
        <f t="shared" si="205"/>
        <v>12422734.285056066</v>
      </c>
      <c r="H271" s="62">
        <f t="shared" si="205"/>
        <v>12163001.901296917</v>
      </c>
      <c r="I271" s="62">
        <f t="shared" si="205"/>
        <v>11900240.66071108</v>
      </c>
      <c r="J271" s="62">
        <f t="shared" si="205"/>
        <v>11873871.346602231</v>
      </c>
      <c r="K271" s="62">
        <f t="shared" si="205"/>
        <v>11841038.882806974</v>
      </c>
      <c r="L271" s="62">
        <f t="shared" si="205"/>
        <v>11799447.122225013</v>
      </c>
      <c r="M271" s="62">
        <f t="shared" si="205"/>
        <v>11746294.792433945</v>
      </c>
      <c r="N271" s="62">
        <f t="shared" si="205"/>
        <v>11678468.130519712</v>
      </c>
      <c r="O271" s="62">
        <f t="shared" si="205"/>
        <v>11348251.239766695</v>
      </c>
      <c r="P271" s="62">
        <f t="shared" si="205"/>
        <v>11002664.095027352</v>
      </c>
      <c r="Q271" s="62">
        <f t="shared" si="205"/>
        <v>10643522.145833924</v>
      </c>
      <c r="R271" s="62">
        <f t="shared" si="205"/>
        <v>10275801.141218064</v>
      </c>
      <c r="S271" s="62">
        <f t="shared" si="205"/>
        <v>9907353.1579891834</v>
      </c>
      <c r="T271" s="62">
        <f t="shared" si="205"/>
        <v>9564523.398017589</v>
      </c>
      <c r="U271" s="62">
        <f t="shared" si="205"/>
        <v>9237276.4634616822</v>
      </c>
      <c r="V271" s="62">
        <f t="shared" si="205"/>
        <v>8930072.6288987473</v>
      </c>
      <c r="W271" s="62">
        <f t="shared" si="205"/>
        <v>8643674.253544854</v>
      </c>
      <c r="X271" s="62">
        <f t="shared" si="205"/>
        <v>8376060.0331768915</v>
      </c>
      <c r="Y271" s="62">
        <f t="shared" si="205"/>
        <v>8161140.6420521922</v>
      </c>
      <c r="Z271" s="62">
        <f t="shared" si="205"/>
        <v>7957739.5207671775</v>
      </c>
      <c r="AA271" s="62">
        <f t="shared" si="205"/>
        <v>7762759.7976934081</v>
      </c>
      <c r="AB271" s="62">
        <f t="shared" si="205"/>
        <v>7573728.9150236854</v>
      </c>
      <c r="AC271" s="62">
        <f t="shared" si="205"/>
        <v>7388801.2611698182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17860020.765372168</v>
      </c>
      <c r="C273" s="64">
        <f t="shared" ref="C273:AC273" si="207">C264+C265+C266+C267+C268+C269+C270+C271+C272</f>
        <v>17496268.177825999</v>
      </c>
      <c r="D273" s="64">
        <f t="shared" si="207"/>
        <v>17131603.009977423</v>
      </c>
      <c r="E273" s="64">
        <f t="shared" si="207"/>
        <v>16875139.382220875</v>
      </c>
      <c r="F273" s="64">
        <f t="shared" si="207"/>
        <v>16616816.936067205</v>
      </c>
      <c r="G273" s="64">
        <f t="shared" si="207"/>
        <v>16355886.585354438</v>
      </c>
      <c r="H273" s="64">
        <f t="shared" si="207"/>
        <v>16091312.14255812</v>
      </c>
      <c r="I273" s="64">
        <f t="shared" si="207"/>
        <v>15821675.872257324</v>
      </c>
      <c r="J273" s="64">
        <f t="shared" si="207"/>
        <v>15785589.364294557</v>
      </c>
      <c r="K273" s="64">
        <f t="shared" si="207"/>
        <v>15739114.135641096</v>
      </c>
      <c r="L273" s="64">
        <f t="shared" si="207"/>
        <v>15678553.979429232</v>
      </c>
      <c r="M273" s="64">
        <f t="shared" si="207"/>
        <v>15599396.688838659</v>
      </c>
      <c r="N273" s="64">
        <f t="shared" si="207"/>
        <v>15496622.146188831</v>
      </c>
      <c r="O273" s="64">
        <f t="shared" si="207"/>
        <v>15120721.623880358</v>
      </c>
      <c r="P273" s="64">
        <f t="shared" si="207"/>
        <v>14717603.666732855</v>
      </c>
      <c r="Q273" s="64">
        <f t="shared" si="207"/>
        <v>14289426.394071866</v>
      </c>
      <c r="R273" s="64">
        <f t="shared" si="207"/>
        <v>13843642.064482566</v>
      </c>
      <c r="S273" s="64">
        <f t="shared" si="207"/>
        <v>13392782.94936499</v>
      </c>
      <c r="T273" s="64">
        <f t="shared" si="207"/>
        <v>12969163.754434569</v>
      </c>
      <c r="U273" s="64">
        <f t="shared" si="207"/>
        <v>12568372.534301909</v>
      </c>
      <c r="V273" s="64">
        <f t="shared" si="207"/>
        <v>12198666.529906396</v>
      </c>
      <c r="W273" s="64">
        <f t="shared" si="207"/>
        <v>11862215.110021029</v>
      </c>
      <c r="X273" s="64">
        <f t="shared" si="207"/>
        <v>11556408.195162905</v>
      </c>
      <c r="Y273" s="64">
        <f t="shared" si="207"/>
        <v>11313414.110529413</v>
      </c>
      <c r="Z273" s="64">
        <f t="shared" si="207"/>
        <v>11089939.989532778</v>
      </c>
      <c r="AA273" s="64">
        <f t="shared" si="207"/>
        <v>10880892.058034746</v>
      </c>
      <c r="AB273" s="64">
        <f t="shared" si="207"/>
        <v>10682139.17864419</v>
      </c>
      <c r="AC273" s="64">
        <f t="shared" si="207"/>
        <v>10490558.277968576</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115.97867514044404</v>
      </c>
      <c r="C283" s="66">
        <f t="shared" ref="C283:AC283" si="216">C253*C254*C261/C261</f>
        <v>112.95418594321345</v>
      </c>
      <c r="D283" s="66">
        <f t="shared" si="216"/>
        <v>109.92501834984424</v>
      </c>
      <c r="E283" s="66">
        <f t="shared" si="216"/>
        <v>107.80171058070694</v>
      </c>
      <c r="F283" s="66">
        <f t="shared" si="216"/>
        <v>105.66887415931851</v>
      </c>
      <c r="G283" s="66">
        <f t="shared" si="216"/>
        <v>103.52278570880055</v>
      </c>
      <c r="H283" s="66">
        <f t="shared" si="216"/>
        <v>101.35834917747431</v>
      </c>
      <c r="I283" s="66">
        <f t="shared" si="216"/>
        <v>99.168672172592338</v>
      </c>
      <c r="J283" s="66">
        <f t="shared" si="216"/>
        <v>98.948927888351932</v>
      </c>
      <c r="K283" s="66">
        <f t="shared" si="216"/>
        <v>98.67532402339144</v>
      </c>
      <c r="L283" s="66">
        <f t="shared" si="216"/>
        <v>98.328726018541772</v>
      </c>
      <c r="M283" s="66">
        <f t="shared" si="216"/>
        <v>97.88578993694955</v>
      </c>
      <c r="N283" s="66">
        <f t="shared" si="216"/>
        <v>97.320567754330938</v>
      </c>
      <c r="O283" s="66">
        <f t="shared" si="216"/>
        <v>94.568760331389129</v>
      </c>
      <c r="P283" s="66">
        <f t="shared" si="216"/>
        <v>91.688867458561262</v>
      </c>
      <c r="Q283" s="66">
        <f t="shared" si="216"/>
        <v>88.696017881949373</v>
      </c>
      <c r="R283" s="66">
        <f t="shared" si="216"/>
        <v>85.631676176817209</v>
      </c>
      <c r="S283" s="66">
        <f t="shared" si="216"/>
        <v>82.561276316576524</v>
      </c>
      <c r="T283" s="66">
        <f t="shared" si="216"/>
        <v>79.704361650146581</v>
      </c>
      <c r="U283" s="66">
        <f t="shared" si="216"/>
        <v>76.97730386218069</v>
      </c>
      <c r="V283" s="66">
        <f t="shared" si="216"/>
        <v>74.417271907489564</v>
      </c>
      <c r="W283" s="66">
        <f t="shared" si="216"/>
        <v>72.030618779540447</v>
      </c>
      <c r="X283" s="66">
        <f t="shared" si="216"/>
        <v>69.800500276474096</v>
      </c>
      <c r="Y283" s="66">
        <f t="shared" si="216"/>
        <v>68.009505350434935</v>
      </c>
      <c r="Z283" s="66">
        <f t="shared" si="216"/>
        <v>66.314496006393142</v>
      </c>
      <c r="AA283" s="66">
        <f t="shared" si="216"/>
        <v>64.689664980778403</v>
      </c>
      <c r="AB283" s="66">
        <f t="shared" si="216"/>
        <v>63.11440762519738</v>
      </c>
      <c r="AC283" s="66">
        <f t="shared" si="216"/>
        <v>61.573343843081815</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148.96388424178852</v>
      </c>
      <c r="C285" s="76">
        <f t="shared" ref="C285:AC285" si="219">C276+C277+C278-C279+C280+C281+C282+C283+C284</f>
        <v>145.93261267890375</v>
      </c>
      <c r="D285" s="76">
        <f t="shared" si="219"/>
        <v>142.89373628016565</v>
      </c>
      <c r="E285" s="76">
        <f t="shared" si="219"/>
        <v>140.7565393821944</v>
      </c>
      <c r="F285" s="76">
        <f t="shared" si="219"/>
        <v>138.60385233091381</v>
      </c>
      <c r="G285" s="76">
        <f t="shared" si="219"/>
        <v>136.42943274164077</v>
      </c>
      <c r="H285" s="76">
        <f t="shared" si="219"/>
        <v>134.22464571833814</v>
      </c>
      <c r="I285" s="76">
        <f t="shared" si="219"/>
        <v>131.97767679916484</v>
      </c>
      <c r="J285" s="76">
        <f t="shared" si="219"/>
        <v>131.6769558994751</v>
      </c>
      <c r="K285" s="76">
        <f t="shared" si="219"/>
        <v>131.28966232736292</v>
      </c>
      <c r="L285" s="76">
        <f t="shared" si="219"/>
        <v>130.78499435893073</v>
      </c>
      <c r="M285" s="76">
        <f t="shared" si="219"/>
        <v>130.12535027067597</v>
      </c>
      <c r="N285" s="76">
        <f t="shared" si="219"/>
        <v>129.26889574859405</v>
      </c>
      <c r="O285" s="76">
        <f t="shared" si="219"/>
        <v>126.13639139602346</v>
      </c>
      <c r="P285" s="76">
        <f t="shared" si="219"/>
        <v>122.77707508646091</v>
      </c>
      <c r="Q285" s="76">
        <f t="shared" si="219"/>
        <v>119.20893114761932</v>
      </c>
      <c r="R285" s="76">
        <f t="shared" si="219"/>
        <v>115.49406173437518</v>
      </c>
      <c r="S285" s="76">
        <f t="shared" si="219"/>
        <v>111.73690244172869</v>
      </c>
      <c r="T285" s="76">
        <f t="shared" si="219"/>
        <v>108.20674248397521</v>
      </c>
      <c r="U285" s="76">
        <f t="shared" si="219"/>
        <v>104.86681564953636</v>
      </c>
      <c r="V285" s="76">
        <f t="shared" si="219"/>
        <v>101.78593227957376</v>
      </c>
      <c r="W285" s="76">
        <f t="shared" si="219"/>
        <v>98.982170447195699</v>
      </c>
      <c r="X285" s="76">
        <f t="shared" si="219"/>
        <v>96.433779490044671</v>
      </c>
      <c r="Y285" s="76">
        <f t="shared" si="219"/>
        <v>94.408828784765561</v>
      </c>
      <c r="Z285" s="76">
        <f t="shared" si="219"/>
        <v>92.546544443126933</v>
      </c>
      <c r="AA285" s="76">
        <f t="shared" si="219"/>
        <v>90.80447834731001</v>
      </c>
      <c r="AB285" s="76">
        <f t="shared" si="219"/>
        <v>89.148204352388703</v>
      </c>
      <c r="AC285" s="76">
        <f t="shared" si="219"/>
        <v>87.551696846758588</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1.2272875676237464E-2</v>
      </c>
      <c r="C295" s="66">
        <f t="shared" ref="C295:AC295" si="228">C253*C254*C261/C261/(C258)</f>
        <v>1.1952823909334756E-2</v>
      </c>
      <c r="D295" s="66">
        <f t="shared" si="228"/>
        <v>1.1632277074057592E-2</v>
      </c>
      <c r="E295" s="66">
        <f t="shared" si="228"/>
        <v>1.140758842123883E-2</v>
      </c>
      <c r="F295" s="66">
        <f t="shared" si="228"/>
        <v>1.118189144543053E-2</v>
      </c>
      <c r="G295" s="66">
        <f t="shared" si="228"/>
        <v>1.0954792138497413E-2</v>
      </c>
      <c r="H295" s="66">
        <f t="shared" si="228"/>
        <v>1.0725751235711567E-2</v>
      </c>
      <c r="I295" s="66">
        <f t="shared" si="228"/>
        <v>1.0494039383343104E-2</v>
      </c>
      <c r="J295" s="66">
        <f t="shared" si="228"/>
        <v>1.0470786019931422E-2</v>
      </c>
      <c r="K295" s="66">
        <f t="shared" si="228"/>
        <v>1.0441833229988512E-2</v>
      </c>
      <c r="L295" s="66">
        <f t="shared" si="228"/>
        <v>1.0405156192438283E-2</v>
      </c>
      <c r="M295" s="66">
        <f t="shared" si="228"/>
        <v>1.0358284649412651E-2</v>
      </c>
      <c r="N295" s="66">
        <f t="shared" si="228"/>
        <v>1.0298472778236077E-2</v>
      </c>
      <c r="O295" s="66">
        <f t="shared" si="228"/>
        <v>1.0007276225543824E-2</v>
      </c>
      <c r="P295" s="66">
        <f t="shared" si="228"/>
        <v>9.7025256569906095E-3</v>
      </c>
      <c r="Q295" s="66">
        <f t="shared" si="228"/>
        <v>9.3858219980898806E-3</v>
      </c>
      <c r="R295" s="66">
        <f t="shared" si="228"/>
        <v>9.0615530345838323E-3</v>
      </c>
      <c r="S295" s="66">
        <f t="shared" si="228"/>
        <v>8.7366429964631249E-3</v>
      </c>
      <c r="T295" s="66">
        <f t="shared" si="228"/>
        <v>8.4343239841424954E-3</v>
      </c>
      <c r="U295" s="66">
        <f t="shared" si="228"/>
        <v>8.1457464404424019E-3</v>
      </c>
      <c r="V295" s="66">
        <f t="shared" si="228"/>
        <v>7.8748435880941336E-3</v>
      </c>
      <c r="W295" s="66">
        <f t="shared" si="228"/>
        <v>7.6222877015386719E-3</v>
      </c>
      <c r="X295" s="66">
        <f t="shared" si="228"/>
        <v>7.3862963255528144E-3</v>
      </c>
      <c r="Y295" s="66">
        <f t="shared" si="228"/>
        <v>7.1967730529560779E-3</v>
      </c>
      <c r="Z295" s="66">
        <f t="shared" si="228"/>
        <v>7.0174069848035073E-3</v>
      </c>
      <c r="AA295" s="66">
        <f t="shared" si="228"/>
        <v>6.8454671937331641E-3</v>
      </c>
      <c r="AB295" s="66">
        <f t="shared" si="228"/>
        <v>6.6787732936716806E-3</v>
      </c>
      <c r="AC295" s="66">
        <f t="shared" si="228"/>
        <v>6.5156977611726787E-3</v>
      </c>
    </row>
    <row r="296" spans="1:29" x14ac:dyDescent="0.25">
      <c r="A296" s="59" t="str">
        <f>A259</f>
        <v>Market failure (av. utilization)</v>
      </c>
      <c r="B296" s="66">
        <f t="shared" ref="B296:AC296" si="229">B285/B259-B285/B258</f>
        <v>1.4550806763544664E-2</v>
      </c>
      <c r="C296" s="66">
        <f t="shared" si="229"/>
        <v>1.4254711861187179E-2</v>
      </c>
      <c r="D296" s="66">
        <f t="shared" si="229"/>
        <v>1.39578741177207E-2</v>
      </c>
      <c r="E296" s="66">
        <f t="shared" si="229"/>
        <v>1.3749112515965266E-2</v>
      </c>
      <c r="F296" s="66">
        <f t="shared" si="229"/>
        <v>1.3538837834521495E-2</v>
      </c>
      <c r="G296" s="66">
        <f t="shared" si="229"/>
        <v>1.3326440316643788E-2</v>
      </c>
      <c r="H296" s="66">
        <f t="shared" si="229"/>
        <v>1.3111076504843775E-2</v>
      </c>
      <c r="I296" s="66">
        <f t="shared" si="229"/>
        <v>1.2891592361334782E-2</v>
      </c>
      <c r="J296" s="66">
        <f t="shared" si="229"/>
        <v>1.2862217914478643E-2</v>
      </c>
      <c r="K296" s="66">
        <f t="shared" si="229"/>
        <v>1.2824387040523849E-2</v>
      </c>
      <c r="L296" s="66">
        <f t="shared" si="229"/>
        <v>1.2775091024071376E-2</v>
      </c>
      <c r="M296" s="66">
        <f t="shared" si="229"/>
        <v>1.2710656925096552E-2</v>
      </c>
      <c r="N296" s="66">
        <f t="shared" si="229"/>
        <v>1.2626998363721031E-2</v>
      </c>
      <c r="O296" s="66">
        <f t="shared" si="229"/>
        <v>1.2321015032578604E-2</v>
      </c>
      <c r="P296" s="66">
        <f t="shared" si="229"/>
        <v>1.199287668732219E-2</v>
      </c>
      <c r="Q296" s="66">
        <f t="shared" si="229"/>
        <v>1.1644340038839494E-2</v>
      </c>
      <c r="R296" s="66">
        <f t="shared" si="229"/>
        <v>1.1281471231685001E-2</v>
      </c>
      <c r="S296" s="66">
        <f t="shared" si="229"/>
        <v>1.0914471544979603E-2</v>
      </c>
      <c r="T296" s="66">
        <f t="shared" si="229"/>
        <v>1.0569645175479874E-2</v>
      </c>
      <c r="U296" s="66">
        <f t="shared" si="229"/>
        <v>1.0243400796047509E-2</v>
      </c>
      <c r="V296" s="66">
        <f t="shared" si="229"/>
        <v>9.9424598075285708E-3</v>
      </c>
      <c r="W296" s="66">
        <f t="shared" si="229"/>
        <v>9.6685880778701536E-3</v>
      </c>
      <c r="X296" s="66">
        <f t="shared" si="229"/>
        <v>9.4196610002485626E-3</v>
      </c>
      <c r="Y296" s="66">
        <f t="shared" si="229"/>
        <v>9.2218636175595177E-3</v>
      </c>
      <c r="Z296" s="66">
        <f t="shared" si="229"/>
        <v>9.0399555011601417E-3</v>
      </c>
      <c r="AA296" s="66">
        <f t="shared" si="229"/>
        <v>8.8697903147555556E-3</v>
      </c>
      <c r="AB296" s="66">
        <f t="shared" si="229"/>
        <v>8.7080053091466367E-3</v>
      </c>
      <c r="AC296" s="66">
        <f t="shared" si="229"/>
        <v>8.5520583000496773E-3</v>
      </c>
    </row>
    <row r="297" spans="1:29" x14ac:dyDescent="0.25">
      <c r="A297" s="59" t="str">
        <f>A260</f>
        <v>Payload loss (fuel)</v>
      </c>
      <c r="B297" s="66">
        <f>B285/(B258-B260)-B285/B258</f>
        <v>1.7506312167844713E-3</v>
      </c>
      <c r="C297" s="66">
        <f t="shared" ref="C297:AC297" si="230">C285/(C258-C260)-C285/C258</f>
        <v>1.7146453087355119E-3</v>
      </c>
      <c r="D297" s="66">
        <f t="shared" si="230"/>
        <v>1.6784320935997049E-3</v>
      </c>
      <c r="E297" s="66">
        <f t="shared" si="230"/>
        <v>1.6526131217338164E-3</v>
      </c>
      <c r="F297" s="66">
        <f t="shared" si="230"/>
        <v>1.6263318128257494E-3</v>
      </c>
      <c r="G297" s="66">
        <f t="shared" si="230"/>
        <v>1.5994037895408226E-3</v>
      </c>
      <c r="H297" s="66">
        <f t="shared" si="230"/>
        <v>1.5715753428549254E-3</v>
      </c>
      <c r="I297" s="66">
        <f t="shared" si="230"/>
        <v>1.5425017164138397E-3</v>
      </c>
      <c r="J297" s="66">
        <f t="shared" si="230"/>
        <v>1.5350896884500868E-3</v>
      </c>
      <c r="K297" s="66">
        <f t="shared" si="230"/>
        <v>1.5251222447047914E-3</v>
      </c>
      <c r="L297" s="66">
        <f t="shared" si="230"/>
        <v>1.5117145211466926E-3</v>
      </c>
      <c r="M297" s="66">
        <f t="shared" si="230"/>
        <v>1.4938097214881544E-3</v>
      </c>
      <c r="N297" s="66">
        <f t="shared" si="230"/>
        <v>1.470274996369288E-3</v>
      </c>
      <c r="O297" s="66">
        <f t="shared" si="230"/>
        <v>1.4172048281748274E-3</v>
      </c>
      <c r="P297" s="66">
        <f t="shared" si="230"/>
        <v>1.3581381660033014E-3</v>
      </c>
      <c r="Q297" s="66">
        <f t="shared" si="230"/>
        <v>1.2939054663366287E-3</v>
      </c>
      <c r="R297" s="66">
        <f t="shared" si="230"/>
        <v>1.2265582004526536E-3</v>
      </c>
      <c r="S297" s="66">
        <f t="shared" si="230"/>
        <v>1.159167581247289E-3</v>
      </c>
      <c r="T297" s="66">
        <f t="shared" si="230"/>
        <v>1.0965574904308068E-3</v>
      </c>
      <c r="U297" s="66">
        <f t="shared" si="230"/>
        <v>1.0398741938732504E-3</v>
      </c>
      <c r="V297" s="66">
        <f t="shared" si="230"/>
        <v>9.9055124022166818E-4</v>
      </c>
      <c r="W297" s="66">
        <f t="shared" si="230"/>
        <v>9.4868845279292083E-4</v>
      </c>
      <c r="X297" s="66">
        <f t="shared" si="230"/>
        <v>9.1345106811496768E-4</v>
      </c>
      <c r="Y297" s="66">
        <f t="shared" si="230"/>
        <v>8.865020548176096E-4</v>
      </c>
      <c r="Z297" s="66">
        <f t="shared" si="230"/>
        <v>8.6357732158330418E-4</v>
      </c>
      <c r="AA297" s="66">
        <f t="shared" si="230"/>
        <v>8.4358549464521107E-4</v>
      </c>
      <c r="AB297" s="66">
        <f t="shared" si="230"/>
        <v>8.2566522331025544E-4</v>
      </c>
      <c r="AC297" s="66">
        <f t="shared" si="230"/>
        <v>8.0917693893891272E-4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3.2051015374837219E-2</v>
      </c>
      <c r="C299" s="67">
        <f t="shared" ref="C299:AC299" si="232">C288+C289+C290+C291+C292+C293+C294+C295+C296+C297+C298</f>
        <v>3.1398165086876831E-2</v>
      </c>
      <c r="D299" s="67">
        <f t="shared" si="232"/>
        <v>3.0743539906185859E-2</v>
      </c>
      <c r="E299" s="67">
        <f t="shared" si="232"/>
        <v>3.0282800930662816E-2</v>
      </c>
      <c r="F299" s="67">
        <f t="shared" si="232"/>
        <v>2.9818447368746896E-2</v>
      </c>
      <c r="G299" s="67">
        <f t="shared" si="232"/>
        <v>2.9349024516550075E-2</v>
      </c>
      <c r="H299" s="67">
        <f t="shared" si="232"/>
        <v>2.8872521461947485E-2</v>
      </c>
      <c r="I299" s="67">
        <f t="shared" si="232"/>
        <v>2.8386189203195997E-2</v>
      </c>
      <c r="J299" s="67">
        <f t="shared" si="232"/>
        <v>2.8317580410948624E-2</v>
      </c>
      <c r="K299" s="67">
        <f t="shared" si="232"/>
        <v>2.8228798646464177E-2</v>
      </c>
      <c r="L299" s="67">
        <f t="shared" si="232"/>
        <v>2.8112690888630089E-2</v>
      </c>
      <c r="M299" s="67">
        <f t="shared" si="232"/>
        <v>2.7960548382774002E-2</v>
      </c>
      <c r="N299" s="67">
        <f t="shared" si="232"/>
        <v>2.7762724988122794E-2</v>
      </c>
      <c r="O299" s="67">
        <f t="shared" si="232"/>
        <v>2.7072189546714948E-2</v>
      </c>
      <c r="P299" s="67">
        <f t="shared" si="232"/>
        <v>2.6329501331925895E-2</v>
      </c>
      <c r="Q299" s="67">
        <f t="shared" si="232"/>
        <v>2.553915061458694E-2</v>
      </c>
      <c r="R299" s="67">
        <f t="shared" si="232"/>
        <v>2.47158266671311E-2</v>
      </c>
      <c r="S299" s="67">
        <f t="shared" si="232"/>
        <v>2.3883853367289494E-2</v>
      </c>
      <c r="T299" s="67">
        <f t="shared" si="232"/>
        <v>2.3102855006681904E-2</v>
      </c>
      <c r="U299" s="67">
        <f t="shared" si="232"/>
        <v>2.2366495919640256E-2</v>
      </c>
      <c r="V299" s="67">
        <f t="shared" si="232"/>
        <v>2.1690212573240886E-2</v>
      </c>
      <c r="W299" s="67">
        <f t="shared" si="232"/>
        <v>2.1077783682357104E-2</v>
      </c>
      <c r="X299" s="67">
        <f t="shared" si="232"/>
        <v>2.0523948219300835E-2</v>
      </c>
      <c r="Y299" s="67">
        <f t="shared" si="232"/>
        <v>2.0084921325401302E-2</v>
      </c>
      <c r="Z299" s="67">
        <f t="shared" si="232"/>
        <v>1.9683021349668296E-2</v>
      </c>
      <c r="AA299" s="67">
        <f t="shared" si="232"/>
        <v>1.9308518717720647E-2</v>
      </c>
      <c r="AB299" s="67">
        <f t="shared" si="232"/>
        <v>1.8953546351367111E-2</v>
      </c>
      <c r="AC299" s="67">
        <f t="shared" si="232"/>
        <v>1.8612168464710442E-2</v>
      </c>
    </row>
    <row r="301" spans="1:29" x14ac:dyDescent="0.25">
      <c r="B301" s="40"/>
    </row>
    <row r="324" spans="1:44" s="3" customFormat="1" ht="21" x14ac:dyDescent="0.35">
      <c r="A324" s="2" t="str">
        <f>'Parameter Input'!A248</f>
        <v>Short-sea:  Neo bulk</v>
      </c>
    </row>
    <row r="325" spans="1:44" s="3" customFormat="1" ht="21" x14ac:dyDescent="0.35">
      <c r="A325" s="2" t="s">
        <v>95</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Input'!$L$237</f>
        <v>30000000</v>
      </c>
      <c r="C334" s="42">
        <f>'Parameter Input'!$M$237</f>
        <v>19500000</v>
      </c>
      <c r="D334" s="1" t="s">
        <v>138</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Input'!$L$238</f>
        <v>-1500000</v>
      </c>
      <c r="C335" s="61">
        <f>'Parameter Input'!$M$238</f>
        <v>-1950000</v>
      </c>
      <c r="D335" s="1" t="s">
        <v>138</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Input'!$L$244</f>
        <v>0.06</v>
      </c>
      <c r="C338" s="91">
        <f>'Parameter Input'!$M$244</f>
        <v>0.06</v>
      </c>
      <c r="D338" s="1" t="s">
        <v>180</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Input'!$L$240</f>
        <v>338823.5294117647</v>
      </c>
      <c r="C340" s="61">
        <f>'Parameter Input'!$M$240</f>
        <v>338823.5294117647</v>
      </c>
      <c r="D340" s="1" t="s">
        <v>161</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Input'!$L$241</f>
        <v>589</v>
      </c>
      <c r="C342" s="61">
        <f>'Parameter Input'!$M$241</f>
        <v>519</v>
      </c>
      <c r="D342" s="1" t="s">
        <v>184</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Input'!$L$242</f>
        <v>0.2544561408768215</v>
      </c>
      <c r="C343" s="61">
        <f>'Parameter Input'!$M$242</f>
        <v>0.10949010032952979</v>
      </c>
      <c r="D343" s="1" t="s">
        <v>94</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458</v>
      </c>
      <c r="B344" s="115">
        <f>'Parameter Input'!$L$245</f>
        <v>0</v>
      </c>
      <c r="C344" s="116">
        <f>'Parameter Input'!$M$245</f>
        <v>0</v>
      </c>
      <c r="D344" s="1" t="s">
        <v>200</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Input'!$L$239</f>
        <v>25</v>
      </c>
      <c r="C345" s="61">
        <f>'Parameter Input'!$M$239</f>
        <v>25</v>
      </c>
      <c r="D345" s="1" t="s">
        <v>165</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Input'!$L$243</f>
        <v>0.1</v>
      </c>
      <c r="C349" s="46">
        <f>'Parameter Input'!$M$243</f>
        <v>0.08</v>
      </c>
      <c r="D349" s="1" t="s">
        <v>180</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0.19695917693522813</v>
      </c>
      <c r="C363" s="62">
        <f>'Parameter Input'!K5</f>
        <v>0.1918445490889919</v>
      </c>
      <c r="D363" s="62">
        <f>'Parameter Input'!L5</f>
        <v>0.1867299212427557</v>
      </c>
      <c r="E363" s="62">
        <f>'Parameter Input'!M5</f>
        <v>0.18316543121930073</v>
      </c>
      <c r="F363" s="62">
        <f>'Parameter Input'!N5</f>
        <v>0.1796009411958458</v>
      </c>
      <c r="G363" s="62">
        <f>'Parameter Input'!O5</f>
        <v>0.17603645117239083</v>
      </c>
      <c r="H363" s="62">
        <f>'Parameter Input'!P5</f>
        <v>0.17247196114893587</v>
      </c>
      <c r="I363" s="62">
        <f>'Parameter Input'!Q5</f>
        <v>0.16890747112548093</v>
      </c>
      <c r="J363" s="62">
        <f>'Parameter Input'!R5</f>
        <v>0.16876144856602932</v>
      </c>
      <c r="K363" s="62">
        <f>'Parameter Input'!S5</f>
        <v>0.16861542600657767</v>
      </c>
      <c r="L363" s="62">
        <f>'Parameter Input'!T5</f>
        <v>0.16846940344712602</v>
      </c>
      <c r="M363" s="62">
        <f>'Parameter Input'!U5</f>
        <v>0.1683233808876744</v>
      </c>
      <c r="N363" s="62">
        <f>'Parameter Input'!V5</f>
        <v>0.16817735832822278</v>
      </c>
      <c r="O363" s="62">
        <f>'Parameter Input'!W5</f>
        <v>0.16448316805908789</v>
      </c>
      <c r="P363" s="62">
        <f>'Parameter Input'!X5</f>
        <v>0.16078897778995299</v>
      </c>
      <c r="Q363" s="62">
        <f>'Parameter Input'!Y5</f>
        <v>0.15709478752081807</v>
      </c>
      <c r="R363" s="62">
        <f>'Parameter Input'!Z5</f>
        <v>0.15340059725168312</v>
      </c>
      <c r="S363" s="62">
        <f>'Parameter Input'!AA5</f>
        <v>0.1497064069825482</v>
      </c>
      <c r="T363" s="62">
        <f>'Parameter Input'!AB5</f>
        <v>0.14627718374621171</v>
      </c>
      <c r="U363" s="62">
        <f>'Parameter Input'!AC5</f>
        <v>0.14284796050987525</v>
      </c>
      <c r="V363" s="62">
        <f>'Parameter Input'!AD5</f>
        <v>0.13941873727353876</v>
      </c>
      <c r="W363" s="62">
        <f>'Parameter Input'!AE5</f>
        <v>0.13598951403720227</v>
      </c>
      <c r="X363" s="62">
        <f>'Parameter Input'!AF5</f>
        <v>0.13256029080086582</v>
      </c>
      <c r="Y363" s="62">
        <f>'Parameter Input'!AG5</f>
        <v>0.12972417970496936</v>
      </c>
      <c r="Z363" s="62">
        <f>'Parameter Input'!AH5</f>
        <v>0.12688806860907287</v>
      </c>
      <c r="AA363" s="62">
        <f>'Parameter Input'!AI5</f>
        <v>0.12405195751317638</v>
      </c>
      <c r="AB363" s="62">
        <f>'Parameter Input'!AJ5</f>
        <v>0.12121584641727991</v>
      </c>
      <c r="AC363" s="62">
        <f>'Parameter Input'!AK5</f>
        <v>0.11837973532138339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13917441.016853284</v>
      </c>
      <c r="C380" s="62">
        <f t="shared" ref="C380:AC380" si="283">C362*C363*C370</f>
        <v>13554502.313185614</v>
      </c>
      <c r="D380" s="62">
        <f t="shared" si="283"/>
        <v>13191002.201981308</v>
      </c>
      <c r="E380" s="62">
        <f t="shared" si="283"/>
        <v>12936205.269684833</v>
      </c>
      <c r="F380" s="62">
        <f t="shared" si="283"/>
        <v>12680264.89911822</v>
      </c>
      <c r="G380" s="62">
        <f t="shared" si="283"/>
        <v>12422734.285056066</v>
      </c>
      <c r="H380" s="62">
        <f t="shared" si="283"/>
        <v>12163001.901296917</v>
      </c>
      <c r="I380" s="62">
        <f t="shared" si="283"/>
        <v>11900240.66071108</v>
      </c>
      <c r="J380" s="62">
        <f t="shared" si="283"/>
        <v>11873871.346602231</v>
      </c>
      <c r="K380" s="62">
        <f t="shared" si="283"/>
        <v>11841038.882806974</v>
      </c>
      <c r="L380" s="62">
        <f t="shared" si="283"/>
        <v>11799447.122225013</v>
      </c>
      <c r="M380" s="62">
        <f t="shared" si="283"/>
        <v>11746294.792433945</v>
      </c>
      <c r="N380" s="62">
        <f t="shared" si="283"/>
        <v>11678468.130519712</v>
      </c>
      <c r="O380" s="62">
        <f t="shared" si="283"/>
        <v>11348251.239766695</v>
      </c>
      <c r="P380" s="62">
        <f t="shared" si="283"/>
        <v>11002664.095027352</v>
      </c>
      <c r="Q380" s="62">
        <f t="shared" si="283"/>
        <v>10643522.145833924</v>
      </c>
      <c r="R380" s="62">
        <f t="shared" si="283"/>
        <v>10275801.141218064</v>
      </c>
      <c r="S380" s="62">
        <f t="shared" si="283"/>
        <v>9907353.1579891834</v>
      </c>
      <c r="T380" s="62">
        <f t="shared" si="283"/>
        <v>9564523.398017589</v>
      </c>
      <c r="U380" s="62">
        <f t="shared" si="283"/>
        <v>9237276.4634616822</v>
      </c>
      <c r="V380" s="62">
        <f t="shared" si="283"/>
        <v>8930072.6288987473</v>
      </c>
      <c r="W380" s="62">
        <f t="shared" si="283"/>
        <v>8643674.253544854</v>
      </c>
      <c r="X380" s="62">
        <f t="shared" si="283"/>
        <v>8376060.0331768915</v>
      </c>
      <c r="Y380" s="62">
        <f t="shared" si="283"/>
        <v>8161140.6420521922</v>
      </c>
      <c r="Z380" s="62">
        <f t="shared" si="283"/>
        <v>7957739.5207671775</v>
      </c>
      <c r="AA380" s="62">
        <f t="shared" si="283"/>
        <v>7762759.7976934081</v>
      </c>
      <c r="AB380" s="62">
        <f t="shared" si="283"/>
        <v>7573728.9150236854</v>
      </c>
      <c r="AC380" s="62">
        <f t="shared" si="283"/>
        <v>7388801.2611698182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17860020.765372168</v>
      </c>
      <c r="C382" s="64">
        <f t="shared" ref="C382:AC382" si="285">C373+C374+C375+C376+C377+C378+C379+C380+C381</f>
        <v>17496268.177825999</v>
      </c>
      <c r="D382" s="64">
        <f t="shared" si="285"/>
        <v>17131603.009977423</v>
      </c>
      <c r="E382" s="64">
        <f t="shared" si="285"/>
        <v>16875139.382220875</v>
      </c>
      <c r="F382" s="64">
        <f t="shared" si="285"/>
        <v>16616816.936067205</v>
      </c>
      <c r="G382" s="64">
        <f t="shared" si="285"/>
        <v>16355886.585354438</v>
      </c>
      <c r="H382" s="64">
        <f t="shared" si="285"/>
        <v>16091312.14255812</v>
      </c>
      <c r="I382" s="64">
        <f t="shared" si="285"/>
        <v>15821675.872257324</v>
      </c>
      <c r="J382" s="64">
        <f t="shared" si="285"/>
        <v>15785589.364294557</v>
      </c>
      <c r="K382" s="64">
        <f t="shared" si="285"/>
        <v>15739114.135641096</v>
      </c>
      <c r="L382" s="64">
        <f t="shared" si="285"/>
        <v>15678553.979429232</v>
      </c>
      <c r="M382" s="64">
        <f t="shared" si="285"/>
        <v>15599396.688838659</v>
      </c>
      <c r="N382" s="64">
        <f t="shared" si="285"/>
        <v>15496622.146188831</v>
      </c>
      <c r="O382" s="64">
        <f t="shared" si="285"/>
        <v>15120721.623880358</v>
      </c>
      <c r="P382" s="64">
        <f t="shared" si="285"/>
        <v>14717603.666732855</v>
      </c>
      <c r="Q382" s="64">
        <f t="shared" si="285"/>
        <v>14289426.394071866</v>
      </c>
      <c r="R382" s="64">
        <f t="shared" si="285"/>
        <v>13843642.064482566</v>
      </c>
      <c r="S382" s="64">
        <f t="shared" si="285"/>
        <v>13392782.94936499</v>
      </c>
      <c r="T382" s="64">
        <f t="shared" si="285"/>
        <v>12969163.754434569</v>
      </c>
      <c r="U382" s="64">
        <f t="shared" si="285"/>
        <v>12568372.534301909</v>
      </c>
      <c r="V382" s="64">
        <f t="shared" si="285"/>
        <v>12198666.529906396</v>
      </c>
      <c r="W382" s="64">
        <f t="shared" si="285"/>
        <v>11862215.110021029</v>
      </c>
      <c r="X382" s="64">
        <f t="shared" si="285"/>
        <v>11556408.195162905</v>
      </c>
      <c r="Y382" s="64">
        <f t="shared" si="285"/>
        <v>11313414.110529413</v>
      </c>
      <c r="Z382" s="64">
        <f t="shared" si="285"/>
        <v>11089939.989532778</v>
      </c>
      <c r="AA382" s="64">
        <f t="shared" si="285"/>
        <v>10880892.058034746</v>
      </c>
      <c r="AB382" s="64">
        <f t="shared" si="285"/>
        <v>10682139.17864419</v>
      </c>
      <c r="AC382" s="64">
        <f t="shared" si="285"/>
        <v>10490558.277968576</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115.97867514044404</v>
      </c>
      <c r="C392" s="66">
        <f t="shared" ref="C392:AC392" si="294">C362*C363*C370/C370</f>
        <v>112.95418594321345</v>
      </c>
      <c r="D392" s="66">
        <f t="shared" si="294"/>
        <v>109.92501834984424</v>
      </c>
      <c r="E392" s="66">
        <f t="shared" si="294"/>
        <v>107.80171058070694</v>
      </c>
      <c r="F392" s="66">
        <f t="shared" si="294"/>
        <v>105.66887415931851</v>
      </c>
      <c r="G392" s="66">
        <f t="shared" si="294"/>
        <v>103.52278570880055</v>
      </c>
      <c r="H392" s="66">
        <f t="shared" si="294"/>
        <v>101.35834917747431</v>
      </c>
      <c r="I392" s="66">
        <f t="shared" si="294"/>
        <v>99.168672172592338</v>
      </c>
      <c r="J392" s="66">
        <f t="shared" si="294"/>
        <v>98.948927888351932</v>
      </c>
      <c r="K392" s="66">
        <f t="shared" si="294"/>
        <v>98.67532402339144</v>
      </c>
      <c r="L392" s="66">
        <f t="shared" si="294"/>
        <v>98.328726018541772</v>
      </c>
      <c r="M392" s="66">
        <f t="shared" si="294"/>
        <v>97.88578993694955</v>
      </c>
      <c r="N392" s="66">
        <f t="shared" si="294"/>
        <v>97.320567754330938</v>
      </c>
      <c r="O392" s="66">
        <f t="shared" si="294"/>
        <v>94.568760331389129</v>
      </c>
      <c r="P392" s="66">
        <f t="shared" si="294"/>
        <v>91.688867458561262</v>
      </c>
      <c r="Q392" s="66">
        <f t="shared" si="294"/>
        <v>88.696017881949373</v>
      </c>
      <c r="R392" s="66">
        <f t="shared" si="294"/>
        <v>85.631676176817209</v>
      </c>
      <c r="S392" s="66">
        <f t="shared" si="294"/>
        <v>82.561276316576524</v>
      </c>
      <c r="T392" s="66">
        <f t="shared" si="294"/>
        <v>79.704361650146581</v>
      </c>
      <c r="U392" s="66">
        <f t="shared" si="294"/>
        <v>76.97730386218069</v>
      </c>
      <c r="V392" s="66">
        <f t="shared" si="294"/>
        <v>74.417271907489564</v>
      </c>
      <c r="W392" s="66">
        <f t="shared" si="294"/>
        <v>72.030618779540447</v>
      </c>
      <c r="X392" s="66">
        <f t="shared" si="294"/>
        <v>69.800500276474096</v>
      </c>
      <c r="Y392" s="66">
        <f t="shared" si="294"/>
        <v>68.009505350434935</v>
      </c>
      <c r="Z392" s="66">
        <f t="shared" si="294"/>
        <v>66.314496006393142</v>
      </c>
      <c r="AA392" s="66">
        <f t="shared" si="294"/>
        <v>64.689664980778403</v>
      </c>
      <c r="AB392" s="66">
        <f t="shared" si="294"/>
        <v>63.11440762519738</v>
      </c>
      <c r="AC392" s="66">
        <f t="shared" si="294"/>
        <v>61.573343843081815</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148.96388424178852</v>
      </c>
      <c r="C394" s="76">
        <f t="shared" ref="C394:AC394" si="297">C385+C386+C387-C388+C389+C390+C391+C392+C393</f>
        <v>145.93261267890375</v>
      </c>
      <c r="D394" s="76">
        <f t="shared" si="297"/>
        <v>142.89373628016565</v>
      </c>
      <c r="E394" s="76">
        <f t="shared" si="297"/>
        <v>140.7565393821944</v>
      </c>
      <c r="F394" s="76">
        <f t="shared" si="297"/>
        <v>138.60385233091381</v>
      </c>
      <c r="G394" s="76">
        <f t="shared" si="297"/>
        <v>136.42943274164077</v>
      </c>
      <c r="H394" s="76">
        <f t="shared" si="297"/>
        <v>134.22464571833814</v>
      </c>
      <c r="I394" s="76">
        <f t="shared" si="297"/>
        <v>131.97767679916484</v>
      </c>
      <c r="J394" s="76">
        <f t="shared" si="297"/>
        <v>131.6769558994751</v>
      </c>
      <c r="K394" s="76">
        <f t="shared" si="297"/>
        <v>131.28966232736292</v>
      </c>
      <c r="L394" s="76">
        <f t="shared" si="297"/>
        <v>130.78499435893073</v>
      </c>
      <c r="M394" s="76">
        <f t="shared" si="297"/>
        <v>130.12535027067597</v>
      </c>
      <c r="N394" s="76">
        <f t="shared" si="297"/>
        <v>129.26889574859405</v>
      </c>
      <c r="O394" s="76">
        <f t="shared" si="297"/>
        <v>126.13639139602346</v>
      </c>
      <c r="P394" s="76">
        <f t="shared" si="297"/>
        <v>122.77707508646091</v>
      </c>
      <c r="Q394" s="76">
        <f t="shared" si="297"/>
        <v>119.20893114761932</v>
      </c>
      <c r="R394" s="76">
        <f t="shared" si="297"/>
        <v>115.49406173437518</v>
      </c>
      <c r="S394" s="76">
        <f t="shared" si="297"/>
        <v>111.73690244172869</v>
      </c>
      <c r="T394" s="76">
        <f t="shared" si="297"/>
        <v>108.20674248397521</v>
      </c>
      <c r="U394" s="76">
        <f t="shared" si="297"/>
        <v>104.86681564953636</v>
      </c>
      <c r="V394" s="76">
        <f t="shared" si="297"/>
        <v>101.78593227957376</v>
      </c>
      <c r="W394" s="76">
        <f t="shared" si="297"/>
        <v>98.982170447195699</v>
      </c>
      <c r="X394" s="76">
        <f t="shared" si="297"/>
        <v>96.433779490044671</v>
      </c>
      <c r="Y394" s="76">
        <f t="shared" si="297"/>
        <v>94.408828784765561</v>
      </c>
      <c r="Z394" s="76">
        <f t="shared" si="297"/>
        <v>92.546544443126933</v>
      </c>
      <c r="AA394" s="76">
        <f t="shared" si="297"/>
        <v>90.80447834731001</v>
      </c>
      <c r="AB394" s="76">
        <f t="shared" si="297"/>
        <v>89.148204352388703</v>
      </c>
      <c r="AC394" s="76">
        <f t="shared" si="297"/>
        <v>87.551696846758588</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1.2272875676237464E-2</v>
      </c>
      <c r="C404" s="66">
        <f t="shared" ref="C404:AC404" si="306">C362*C363*C370/C370/(C367)</f>
        <v>1.1952823909334756E-2</v>
      </c>
      <c r="D404" s="66">
        <f t="shared" si="306"/>
        <v>1.1632277074057592E-2</v>
      </c>
      <c r="E404" s="66">
        <f t="shared" si="306"/>
        <v>1.140758842123883E-2</v>
      </c>
      <c r="F404" s="66">
        <f t="shared" si="306"/>
        <v>1.118189144543053E-2</v>
      </c>
      <c r="G404" s="66">
        <f t="shared" si="306"/>
        <v>1.0954792138497413E-2</v>
      </c>
      <c r="H404" s="66">
        <f t="shared" si="306"/>
        <v>1.0725751235711567E-2</v>
      </c>
      <c r="I404" s="66">
        <f t="shared" si="306"/>
        <v>1.0494039383343104E-2</v>
      </c>
      <c r="J404" s="66">
        <f t="shared" si="306"/>
        <v>1.0470786019931422E-2</v>
      </c>
      <c r="K404" s="66">
        <f t="shared" si="306"/>
        <v>1.0441833229988512E-2</v>
      </c>
      <c r="L404" s="66">
        <f t="shared" si="306"/>
        <v>1.0405156192438283E-2</v>
      </c>
      <c r="M404" s="66">
        <f t="shared" si="306"/>
        <v>1.0358284649412651E-2</v>
      </c>
      <c r="N404" s="66">
        <f t="shared" si="306"/>
        <v>1.0298472778236077E-2</v>
      </c>
      <c r="O404" s="66">
        <f t="shared" si="306"/>
        <v>1.0007276225543824E-2</v>
      </c>
      <c r="P404" s="66">
        <f t="shared" si="306"/>
        <v>9.7025256569906095E-3</v>
      </c>
      <c r="Q404" s="66">
        <f t="shared" si="306"/>
        <v>9.3858219980898806E-3</v>
      </c>
      <c r="R404" s="66">
        <f t="shared" si="306"/>
        <v>9.0615530345838323E-3</v>
      </c>
      <c r="S404" s="66">
        <f t="shared" si="306"/>
        <v>8.7366429964631249E-3</v>
      </c>
      <c r="T404" s="66">
        <f t="shared" si="306"/>
        <v>8.4343239841424954E-3</v>
      </c>
      <c r="U404" s="66">
        <f t="shared" si="306"/>
        <v>8.1457464404424019E-3</v>
      </c>
      <c r="V404" s="66">
        <f t="shared" si="306"/>
        <v>7.8748435880941336E-3</v>
      </c>
      <c r="W404" s="66">
        <f t="shared" si="306"/>
        <v>7.6222877015386719E-3</v>
      </c>
      <c r="X404" s="66">
        <f t="shared" si="306"/>
        <v>7.3862963255528144E-3</v>
      </c>
      <c r="Y404" s="66">
        <f t="shared" si="306"/>
        <v>7.1967730529560779E-3</v>
      </c>
      <c r="Z404" s="66">
        <f t="shared" si="306"/>
        <v>7.0174069848035073E-3</v>
      </c>
      <c r="AA404" s="66">
        <f t="shared" si="306"/>
        <v>6.8454671937331641E-3</v>
      </c>
      <c r="AB404" s="66">
        <f t="shared" si="306"/>
        <v>6.6787732936716806E-3</v>
      </c>
      <c r="AC404" s="66">
        <f t="shared" si="306"/>
        <v>6.5156977611726787E-3</v>
      </c>
    </row>
    <row r="405" spans="1:29" x14ac:dyDescent="0.25">
      <c r="A405" s="59" t="str">
        <f>A368</f>
        <v>Market failure (av. utilization)</v>
      </c>
      <c r="B405" s="66">
        <f t="shared" ref="B405:AC405" si="307">B394/B368-B394/B367</f>
        <v>7.4180583500423752E-3</v>
      </c>
      <c r="C405" s="66">
        <f t="shared" si="307"/>
        <v>7.2671080076640495E-3</v>
      </c>
      <c r="D405" s="66">
        <f t="shared" si="307"/>
        <v>7.1157789619752561E-3</v>
      </c>
      <c r="E405" s="66">
        <f t="shared" si="307"/>
        <v>7.0093514787273863E-3</v>
      </c>
      <c r="F405" s="66">
        <f t="shared" si="307"/>
        <v>6.9021526215207601E-3</v>
      </c>
      <c r="G405" s="66">
        <f t="shared" si="307"/>
        <v>6.7938715339752615E-3</v>
      </c>
      <c r="H405" s="66">
        <f t="shared" si="307"/>
        <v>6.6840782181556476E-3</v>
      </c>
      <c r="I405" s="66">
        <f t="shared" si="307"/>
        <v>6.5721843410726302E-3</v>
      </c>
      <c r="J405" s="66">
        <f t="shared" si="307"/>
        <v>6.5572091328714634E-3</v>
      </c>
      <c r="K405" s="66">
        <f t="shared" si="307"/>
        <v>6.5379228049729388E-3</v>
      </c>
      <c r="L405" s="66">
        <f t="shared" si="307"/>
        <v>6.5127915024677588E-3</v>
      </c>
      <c r="M405" s="66">
        <f t="shared" si="307"/>
        <v>6.4799427461276517E-3</v>
      </c>
      <c r="N405" s="66">
        <f t="shared" si="307"/>
        <v>6.4372932834656209E-3</v>
      </c>
      <c r="O405" s="66">
        <f t="shared" si="307"/>
        <v>6.2813017813145786E-3</v>
      </c>
      <c r="P405" s="66">
        <f t="shared" si="307"/>
        <v>6.1140155660858193E-3</v>
      </c>
      <c r="Q405" s="66">
        <f t="shared" si="307"/>
        <v>5.9363302158789537E-3</v>
      </c>
      <c r="R405" s="66">
        <f t="shared" si="307"/>
        <v>5.7513382749766629E-3</v>
      </c>
      <c r="S405" s="66">
        <f t="shared" si="307"/>
        <v>5.5642403954797946E-3</v>
      </c>
      <c r="T405" s="66">
        <f t="shared" si="307"/>
        <v>5.3884465600485595E-3</v>
      </c>
      <c r="U405" s="66">
        <f t="shared" si="307"/>
        <v>5.2221258960242177E-3</v>
      </c>
      <c r="V405" s="66">
        <f t="shared" si="307"/>
        <v>5.0687049999165266E-3</v>
      </c>
      <c r="W405" s="66">
        <f t="shared" si="307"/>
        <v>4.9290841181298811E-3</v>
      </c>
      <c r="X405" s="66">
        <f t="shared" si="307"/>
        <v>4.8021801177737748E-3</v>
      </c>
      <c r="Y405" s="66">
        <f t="shared" si="307"/>
        <v>4.7013422364028893E-3</v>
      </c>
      <c r="Z405" s="66">
        <f t="shared" si="307"/>
        <v>4.6086047652973243E-3</v>
      </c>
      <c r="AA405" s="66">
        <f t="shared" si="307"/>
        <v>4.5218538859538113E-3</v>
      </c>
      <c r="AB405" s="66">
        <f t="shared" si="307"/>
        <v>4.4393752556433821E-3</v>
      </c>
      <c r="AC405" s="66">
        <f t="shared" si="307"/>
        <v>4.3598728588488539E-3</v>
      </c>
    </row>
    <row r="406" spans="1:29" x14ac:dyDescent="0.25">
      <c r="A406" s="59" t="str">
        <f>A369</f>
        <v>Payload loss (fuel)</v>
      </c>
      <c r="B406" s="66">
        <f>B394/(B367-B369)-B394/B367</f>
        <v>1.7506312167844713E-3</v>
      </c>
      <c r="C406" s="66">
        <f t="shared" ref="C406:AC406" si="308">C394/(C367-C369)-C394/C367</f>
        <v>1.7146453087355119E-3</v>
      </c>
      <c r="D406" s="66">
        <f t="shared" si="308"/>
        <v>1.6784320935997049E-3</v>
      </c>
      <c r="E406" s="66">
        <f t="shared" si="308"/>
        <v>1.6526131217338164E-3</v>
      </c>
      <c r="F406" s="66">
        <f t="shared" si="308"/>
        <v>1.6263318128257494E-3</v>
      </c>
      <c r="G406" s="66">
        <f t="shared" si="308"/>
        <v>1.5994037895408226E-3</v>
      </c>
      <c r="H406" s="66">
        <f t="shared" si="308"/>
        <v>1.5715753428549254E-3</v>
      </c>
      <c r="I406" s="66">
        <f t="shared" si="308"/>
        <v>1.5425017164138397E-3</v>
      </c>
      <c r="J406" s="66">
        <f t="shared" si="308"/>
        <v>1.5350896884500868E-3</v>
      </c>
      <c r="K406" s="66">
        <f t="shared" si="308"/>
        <v>1.5251222447047914E-3</v>
      </c>
      <c r="L406" s="66">
        <f t="shared" si="308"/>
        <v>1.5117145211466926E-3</v>
      </c>
      <c r="M406" s="66">
        <f t="shared" si="308"/>
        <v>1.4938097214881544E-3</v>
      </c>
      <c r="N406" s="66">
        <f t="shared" si="308"/>
        <v>1.470274996369288E-3</v>
      </c>
      <c r="O406" s="66">
        <f t="shared" si="308"/>
        <v>1.4172048281748274E-3</v>
      </c>
      <c r="P406" s="66">
        <f t="shared" si="308"/>
        <v>1.3581381660033014E-3</v>
      </c>
      <c r="Q406" s="66">
        <f t="shared" si="308"/>
        <v>1.2939054663366287E-3</v>
      </c>
      <c r="R406" s="66">
        <f t="shared" si="308"/>
        <v>1.2265582004526536E-3</v>
      </c>
      <c r="S406" s="66">
        <f t="shared" si="308"/>
        <v>1.159167581247289E-3</v>
      </c>
      <c r="T406" s="66">
        <f t="shared" si="308"/>
        <v>1.0965574904308068E-3</v>
      </c>
      <c r="U406" s="66">
        <f t="shared" si="308"/>
        <v>1.0398741938732504E-3</v>
      </c>
      <c r="V406" s="66">
        <f t="shared" si="308"/>
        <v>9.9055124022166818E-4</v>
      </c>
      <c r="W406" s="66">
        <f t="shared" si="308"/>
        <v>9.4868845279292083E-4</v>
      </c>
      <c r="X406" s="66">
        <f t="shared" si="308"/>
        <v>9.1345106811496768E-4</v>
      </c>
      <c r="Y406" s="66">
        <f t="shared" si="308"/>
        <v>8.865020548176096E-4</v>
      </c>
      <c r="Z406" s="66">
        <f t="shared" si="308"/>
        <v>8.6357732158330418E-4</v>
      </c>
      <c r="AA406" s="66">
        <f t="shared" si="308"/>
        <v>8.4358549464521107E-4</v>
      </c>
      <c r="AB406" s="66">
        <f t="shared" si="308"/>
        <v>8.2566522331025544E-4</v>
      </c>
      <c r="AC406" s="66">
        <f t="shared" si="308"/>
        <v>8.0917693893891272E-4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2.4918266961334933E-2</v>
      </c>
      <c r="C408" s="67">
        <f t="shared" ref="C408:AC408" si="310">C397+C398+C399+C400+C401+C402+C403+C404+C405+C406+C407</f>
        <v>2.4410561233353702E-2</v>
      </c>
      <c r="D408" s="67">
        <f t="shared" si="310"/>
        <v>2.3901444750440416E-2</v>
      </c>
      <c r="E408" s="67">
        <f t="shared" si="310"/>
        <v>2.3543039893424933E-2</v>
      </c>
      <c r="F408" s="67">
        <f t="shared" si="310"/>
        <v>2.3181762155746164E-2</v>
      </c>
      <c r="G408" s="67">
        <f t="shared" si="310"/>
        <v>2.2816455733881552E-2</v>
      </c>
      <c r="H408" s="67">
        <f t="shared" si="310"/>
        <v>2.2445523175259358E-2</v>
      </c>
      <c r="I408" s="67">
        <f t="shared" si="310"/>
        <v>2.2066781182933846E-2</v>
      </c>
      <c r="J408" s="67">
        <f t="shared" si="310"/>
        <v>2.2012571629341442E-2</v>
      </c>
      <c r="K408" s="67">
        <f t="shared" si="310"/>
        <v>2.1942334410913266E-2</v>
      </c>
      <c r="L408" s="67">
        <f t="shared" si="310"/>
        <v>2.1850391367026472E-2</v>
      </c>
      <c r="M408" s="67">
        <f t="shared" si="310"/>
        <v>2.1729834203805101E-2</v>
      </c>
      <c r="N408" s="67">
        <f t="shared" si="310"/>
        <v>2.1573019907867384E-2</v>
      </c>
      <c r="O408" s="67">
        <f t="shared" si="310"/>
        <v>2.1032476295450922E-2</v>
      </c>
      <c r="P408" s="67">
        <f t="shared" si="310"/>
        <v>2.045064021068952E-2</v>
      </c>
      <c r="Q408" s="67">
        <f t="shared" si="310"/>
        <v>1.98311407916264E-2</v>
      </c>
      <c r="R408" s="67">
        <f t="shared" si="310"/>
        <v>1.9185693710422762E-2</v>
      </c>
      <c r="S408" s="67">
        <f t="shared" si="310"/>
        <v>1.8533622217789682E-2</v>
      </c>
      <c r="T408" s="67">
        <f t="shared" si="310"/>
        <v>1.7921656391250589E-2</v>
      </c>
      <c r="U408" s="67">
        <f t="shared" si="310"/>
        <v>1.7345221019616965E-2</v>
      </c>
      <c r="V408" s="67">
        <f t="shared" si="310"/>
        <v>1.6816457765628845E-2</v>
      </c>
      <c r="W408" s="67">
        <f t="shared" si="310"/>
        <v>1.6338279722616832E-2</v>
      </c>
      <c r="X408" s="67">
        <f t="shared" si="310"/>
        <v>1.5906467336826047E-2</v>
      </c>
      <c r="Y408" s="67">
        <f t="shared" si="310"/>
        <v>1.5564399944244673E-2</v>
      </c>
      <c r="Z408" s="67">
        <f t="shared" si="310"/>
        <v>1.5251670613805475E-2</v>
      </c>
      <c r="AA408" s="67">
        <f t="shared" si="310"/>
        <v>1.4960582288918904E-2</v>
      </c>
      <c r="AB408" s="67">
        <f t="shared" si="310"/>
        <v>1.4684916297863858E-2</v>
      </c>
      <c r="AC408" s="67">
        <f t="shared" si="310"/>
        <v>1.4419983023509615E-2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97</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Input'!$L$249</f>
        <v>30000000</v>
      </c>
      <c r="C11" s="42">
        <f>'Parameter Input'!$M$249</f>
        <v>18000000</v>
      </c>
      <c r="D11" s="1" t="s">
        <v>138</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Input'!$L$250</f>
        <v>-1500000</v>
      </c>
      <c r="C12" s="61">
        <f>'Parameter Input'!$M$250</f>
        <v>-1800000</v>
      </c>
      <c r="D12" s="1" t="s">
        <v>138</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Input'!$L$256</f>
        <v>0.06</v>
      </c>
      <c r="C15" s="91">
        <f>'Parameter Input'!$M$256</f>
        <v>0.06</v>
      </c>
      <c r="D15" s="1" t="s">
        <v>180</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Input'!$L$252</f>
        <v>338823.5294117647</v>
      </c>
      <c r="C17" s="61">
        <f>'Parameter Input'!$M$252</f>
        <v>338823.5294117647</v>
      </c>
      <c r="D17" s="1" t="s">
        <v>161</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Input'!$L$253</f>
        <v>589</v>
      </c>
      <c r="C19" s="61">
        <f>'Parameter Input'!$M$253</f>
        <v>519</v>
      </c>
      <c r="D19" s="1" t="s">
        <v>184</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Input'!$L$254</f>
        <v>0.23976160758395154</v>
      </c>
      <c r="C20" s="61">
        <f>'Parameter Input'!$M$254</f>
        <v>0.11428118371505049</v>
      </c>
      <c r="D20" s="1" t="s">
        <v>94</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458</v>
      </c>
      <c r="B21" s="115">
        <f>'Parameter Input'!$L$257</f>
        <v>0</v>
      </c>
      <c r="C21" s="116">
        <f>'Parameter Input'!$M$257</f>
        <v>0</v>
      </c>
      <c r="D21" s="1" t="s">
        <v>200</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Input'!$L$251</f>
        <v>25</v>
      </c>
      <c r="C22" s="61">
        <f>'Parameter Input'!$M$251</f>
        <v>25</v>
      </c>
      <c r="D22" s="1" t="s">
        <v>165</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Input'!$L$255</f>
        <v>0.08</v>
      </c>
      <c r="C26" s="46">
        <f>'Parameter Input'!$M$255</f>
        <v>7.0000000000000007E-2</v>
      </c>
      <c r="D26" s="1" t="s">
        <v>180</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0.18104231880665794</v>
      </c>
      <c r="C40" s="62">
        <f>'Parameter Input'!K6</f>
        <v>0.17732719010569079</v>
      </c>
      <c r="D40" s="62">
        <f>'Parameter Input'!L6</f>
        <v>0.17361206140472354</v>
      </c>
      <c r="E40" s="62">
        <f>'Parameter Input'!M6</f>
        <v>0.17118675002498271</v>
      </c>
      <c r="F40" s="62">
        <f>'Parameter Input'!N6</f>
        <v>0.16876143864524187</v>
      </c>
      <c r="G40" s="62">
        <f>'Parameter Input'!O6</f>
        <v>0.16633612726550104</v>
      </c>
      <c r="H40" s="62">
        <f>'Parameter Input'!P6</f>
        <v>0.1639108158857602</v>
      </c>
      <c r="I40" s="62">
        <f>'Parameter Input'!Q6</f>
        <v>0.16148550450601945</v>
      </c>
      <c r="J40" s="62">
        <f>'Parameter Input'!R6</f>
        <v>0.1627875388918204</v>
      </c>
      <c r="K40" s="62">
        <f>'Parameter Input'!S6</f>
        <v>0.16408957327762139</v>
      </c>
      <c r="L40" s="62">
        <f>'Parameter Input'!T6</f>
        <v>0.16539160766342234</v>
      </c>
      <c r="M40" s="62">
        <f>'Parameter Input'!U6</f>
        <v>0.16669364204922332</v>
      </c>
      <c r="N40" s="62">
        <f>'Parameter Input'!V6</f>
        <v>0.16799567643502425</v>
      </c>
      <c r="O40" s="62">
        <f>'Parameter Input'!W6</f>
        <v>0.16487244686609676</v>
      </c>
      <c r="P40" s="62">
        <f>'Parameter Input'!X6</f>
        <v>0.16174921729716923</v>
      </c>
      <c r="Q40" s="62">
        <f>'Parameter Input'!Y6</f>
        <v>0.15862598772824177</v>
      </c>
      <c r="R40" s="62">
        <f>'Parameter Input'!Z6</f>
        <v>0.15550275815931427</v>
      </c>
      <c r="S40" s="62">
        <f>'Parameter Input'!AA6</f>
        <v>0.15237952859038681</v>
      </c>
      <c r="T40" s="62">
        <f>'Parameter Input'!AB6</f>
        <v>0.14950198735980291</v>
      </c>
      <c r="U40" s="62">
        <f>'Parameter Input'!AC6</f>
        <v>0.14662444612921899</v>
      </c>
      <c r="V40" s="62">
        <f>'Parameter Input'!AD6</f>
        <v>0.14374690489863506</v>
      </c>
      <c r="W40" s="62">
        <f>'Parameter Input'!AE6</f>
        <v>0.14086936366805117</v>
      </c>
      <c r="X40" s="62">
        <f>'Parameter Input'!AF6</f>
        <v>0.13799182243746722</v>
      </c>
      <c r="Y40" s="62">
        <f>'Parameter Input'!AG6</f>
        <v>0.1352562604095163</v>
      </c>
      <c r="Z40" s="62">
        <f>'Parameter Input'!AH6</f>
        <v>0.13252069838156535</v>
      </c>
      <c r="AA40" s="62">
        <f>'Parameter Input'!AI6</f>
        <v>0.12978513635361441</v>
      </c>
      <c r="AB40" s="62">
        <f>'Parameter Input'!AJ6</f>
        <v>0.12704957432566347</v>
      </c>
      <c r="AC40" s="62">
        <f>'Parameter Input'!AK6</f>
        <v>0.12431401229771254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12792731.127093505</v>
      </c>
      <c r="C57" s="62">
        <f t="shared" ref="C57:AC57" si="49">C39*C40*C47</f>
        <v>12528799.071394671</v>
      </c>
      <c r="D57" s="62">
        <f t="shared" si="49"/>
        <v>12264328.443126084</v>
      </c>
      <c r="E57" s="62">
        <f t="shared" si="49"/>
        <v>12090201.317092478</v>
      </c>
      <c r="F57" s="62">
        <f t="shared" si="49"/>
        <v>11914969.557116391</v>
      </c>
      <c r="G57" s="62">
        <f t="shared" si="49"/>
        <v>11738191.13747659</v>
      </c>
      <c r="H57" s="62">
        <f t="shared" si="49"/>
        <v>11559256.07838391</v>
      </c>
      <c r="I57" s="62">
        <f t="shared" si="49"/>
        <v>11377331.944128966</v>
      </c>
      <c r="J57" s="62">
        <f t="shared" si="49"/>
        <v>11453553.581434283</v>
      </c>
      <c r="K57" s="62">
        <f t="shared" si="49"/>
        <v>11523210.322214071</v>
      </c>
      <c r="L57" s="62">
        <f t="shared" si="49"/>
        <v>11583881.043995168</v>
      </c>
      <c r="M57" s="62">
        <f t="shared" si="49"/>
        <v>11632564.942604586</v>
      </c>
      <c r="N57" s="62">
        <f t="shared" si="49"/>
        <v>11665851.888828779</v>
      </c>
      <c r="O57" s="62">
        <f t="shared" si="49"/>
        <v>11375108.904027309</v>
      </c>
      <c r="P57" s="62">
        <f t="shared" si="49"/>
        <v>11068372.534087626</v>
      </c>
      <c r="Q57" s="62">
        <f t="shared" si="49"/>
        <v>10747264.374170177</v>
      </c>
      <c r="R57" s="62">
        <f t="shared" si="49"/>
        <v>10416617.981834527</v>
      </c>
      <c r="S57" s="62">
        <f t="shared" si="49"/>
        <v>10084256.473865278</v>
      </c>
      <c r="T57" s="62">
        <f t="shared" si="49"/>
        <v>9775381.3652431425</v>
      </c>
      <c r="U57" s="62">
        <f t="shared" si="49"/>
        <v>9481483.2522856221</v>
      </c>
      <c r="V57" s="62">
        <f t="shared" si="49"/>
        <v>9207301.1564124171</v>
      </c>
      <c r="W57" s="62">
        <f t="shared" si="49"/>
        <v>8953843.9818064012</v>
      </c>
      <c r="X57" s="62">
        <f t="shared" si="49"/>
        <v>8719261.1138731912</v>
      </c>
      <c r="Y57" s="62">
        <f t="shared" si="49"/>
        <v>8509172.0481915157</v>
      </c>
      <c r="Z57" s="62">
        <f t="shared" si="49"/>
        <v>8310987.8682103679</v>
      </c>
      <c r="AA57" s="62">
        <f t="shared" si="49"/>
        <v>8121523.1022612676</v>
      </c>
      <c r="AB57" s="62">
        <f t="shared" si="49"/>
        <v>7938228.0712644216</v>
      </c>
      <c r="AC57" s="62">
        <f t="shared" si="49"/>
        <v>7759195.6795032695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16739038.478378411</v>
      </c>
      <c r="C59" s="64">
        <f t="shared" ref="C59:AC59" si="51">C50+C51+C52+C53+C54+C55+C56+C57+C58</f>
        <v>16474192.196953043</v>
      </c>
      <c r="D59" s="64">
        <f t="shared" si="51"/>
        <v>16208412.87491966</v>
      </c>
      <c r="E59" s="64">
        <f t="shared" si="51"/>
        <v>16032413.570424056</v>
      </c>
      <c r="F59" s="64">
        <f t="shared" si="51"/>
        <v>15854506.054309081</v>
      </c>
      <c r="G59" s="64">
        <f t="shared" si="51"/>
        <v>15673908.752404209</v>
      </c>
      <c r="H59" s="64">
        <f t="shared" si="51"/>
        <v>15489534.668091696</v>
      </c>
      <c r="I59" s="64">
        <f t="shared" si="51"/>
        <v>15299887.897718579</v>
      </c>
      <c r="J59" s="64">
        <f t="shared" si="51"/>
        <v>15365194.33096881</v>
      </c>
      <c r="K59" s="64">
        <f t="shared" si="51"/>
        <v>15419526.322181851</v>
      </c>
      <c r="L59" s="64">
        <f t="shared" si="51"/>
        <v>15458890.079008808</v>
      </c>
      <c r="M59" s="64">
        <f t="shared" si="51"/>
        <v>15478362.925761247</v>
      </c>
      <c r="N59" s="64">
        <f t="shared" si="51"/>
        <v>15472393.348419428</v>
      </c>
      <c r="O59" s="64">
        <f t="shared" si="51"/>
        <v>15130334.503514573</v>
      </c>
      <c r="P59" s="64">
        <f t="shared" si="51"/>
        <v>14758974.481280791</v>
      </c>
      <c r="Q59" s="64">
        <f t="shared" si="51"/>
        <v>14360319.793632653</v>
      </c>
      <c r="R59" s="64">
        <f t="shared" si="51"/>
        <v>13941985.830778895</v>
      </c>
      <c r="S59" s="64">
        <f t="shared" si="51"/>
        <v>13517052.914386727</v>
      </c>
      <c r="T59" s="64">
        <f t="shared" si="51"/>
        <v>13117428.029509474</v>
      </c>
      <c r="U59" s="64">
        <f t="shared" si="51"/>
        <v>12740918.527273953</v>
      </c>
      <c r="V59" s="64">
        <f t="shared" si="51"/>
        <v>12396528.51460251</v>
      </c>
      <c r="W59" s="64">
        <f t="shared" si="51"/>
        <v>12086847.372166621</v>
      </c>
      <c r="X59" s="64">
        <f t="shared" si="51"/>
        <v>11809363.12138145</v>
      </c>
      <c r="Y59" s="64">
        <f t="shared" si="51"/>
        <v>11567738.098607704</v>
      </c>
      <c r="Z59" s="64">
        <f t="shared" si="51"/>
        <v>11347006.165525833</v>
      </c>
      <c r="AA59" s="64">
        <f t="shared" si="51"/>
        <v>11141738.754497424</v>
      </c>
      <c r="AB59" s="64">
        <f t="shared" si="51"/>
        <v>10947523.124444298</v>
      </c>
      <c r="AC59" s="64">
        <f t="shared" si="51"/>
        <v>10761017.222554609</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106.60609272577921</v>
      </c>
      <c r="C69" s="66">
        <f t="shared" ref="C69:AC69" si="60">C39*C40*C47/C47</f>
        <v>104.40665892828892</v>
      </c>
      <c r="D69" s="66">
        <f t="shared" si="60"/>
        <v>102.2027370260507</v>
      </c>
      <c r="E69" s="66">
        <f t="shared" si="60"/>
        <v>100.75167764243731</v>
      </c>
      <c r="F69" s="66">
        <f t="shared" si="60"/>
        <v>99.291412975969919</v>
      </c>
      <c r="G69" s="66">
        <f t="shared" si="60"/>
        <v>97.818259478971584</v>
      </c>
      <c r="H69" s="66">
        <f t="shared" si="60"/>
        <v>96.327133986532573</v>
      </c>
      <c r="I69" s="66">
        <f t="shared" si="60"/>
        <v>94.811099534408044</v>
      </c>
      <c r="J69" s="66">
        <f t="shared" si="60"/>
        <v>95.446279845285702</v>
      </c>
      <c r="K69" s="66">
        <f t="shared" si="60"/>
        <v>96.026752685117259</v>
      </c>
      <c r="L69" s="66">
        <f t="shared" si="60"/>
        <v>96.532342033293062</v>
      </c>
      <c r="M69" s="66">
        <f t="shared" si="60"/>
        <v>96.938041188371557</v>
      </c>
      <c r="N69" s="66">
        <f t="shared" si="60"/>
        <v>97.215432406906487</v>
      </c>
      <c r="O69" s="66">
        <f t="shared" si="60"/>
        <v>94.792574200227577</v>
      </c>
      <c r="P69" s="66">
        <f t="shared" si="60"/>
        <v>92.236437784063554</v>
      </c>
      <c r="Q69" s="66">
        <f t="shared" si="60"/>
        <v>89.560536451418145</v>
      </c>
      <c r="R69" s="66">
        <f t="shared" si="60"/>
        <v>86.805149848621056</v>
      </c>
      <c r="S69" s="66">
        <f t="shared" si="60"/>
        <v>84.035470615543986</v>
      </c>
      <c r="T69" s="66">
        <f t="shared" si="60"/>
        <v>81.461511377026184</v>
      </c>
      <c r="U69" s="66">
        <f t="shared" si="60"/>
        <v>79.012360435713518</v>
      </c>
      <c r="V69" s="66">
        <f t="shared" si="60"/>
        <v>76.727509636770137</v>
      </c>
      <c r="W69" s="66">
        <f t="shared" si="60"/>
        <v>74.615366515053339</v>
      </c>
      <c r="X69" s="66">
        <f t="shared" si="60"/>
        <v>72.660509282276593</v>
      </c>
      <c r="Y69" s="66">
        <f t="shared" si="60"/>
        <v>70.909767068262624</v>
      </c>
      <c r="Z69" s="66">
        <f t="shared" si="60"/>
        <v>69.258232235086396</v>
      </c>
      <c r="AA69" s="66">
        <f t="shared" si="60"/>
        <v>67.679359185510563</v>
      </c>
      <c r="AB69" s="66">
        <f t="shared" si="60"/>
        <v>66.151900593870181</v>
      </c>
      <c r="AC69" s="66">
        <f t="shared" si="60"/>
        <v>64.659963995860579</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139.62236518350721</v>
      </c>
      <c r="C71" s="76">
        <f t="shared" ref="C71:AC71" si="63">C62+C63+C64-C65+C66+C67+C68+C69+C70</f>
        <v>137.41531283829582</v>
      </c>
      <c r="D71" s="76">
        <f t="shared" si="63"/>
        <v>135.20048515468429</v>
      </c>
      <c r="E71" s="76">
        <f t="shared" si="63"/>
        <v>133.73382428388757</v>
      </c>
      <c r="F71" s="76">
        <f t="shared" si="63"/>
        <v>132.25126164959613</v>
      </c>
      <c r="G71" s="76">
        <f t="shared" si="63"/>
        <v>130.74628413372218</v>
      </c>
      <c r="H71" s="76">
        <f t="shared" si="63"/>
        <v>129.20983343111791</v>
      </c>
      <c r="I71" s="76">
        <f t="shared" si="63"/>
        <v>127.62944367800861</v>
      </c>
      <c r="J71" s="76">
        <f t="shared" si="63"/>
        <v>128.17366395509387</v>
      </c>
      <c r="K71" s="76">
        <f t="shared" si="63"/>
        <v>128.62643054853586</v>
      </c>
      <c r="L71" s="76">
        <f t="shared" si="63"/>
        <v>128.95446185542718</v>
      </c>
      <c r="M71" s="76">
        <f t="shared" si="63"/>
        <v>129.11673557836417</v>
      </c>
      <c r="N71" s="76">
        <f t="shared" si="63"/>
        <v>129.06698910051568</v>
      </c>
      <c r="O71" s="76">
        <f t="shared" si="63"/>
        <v>126.21649872630856</v>
      </c>
      <c r="P71" s="76">
        <f t="shared" si="63"/>
        <v>123.12183187436038</v>
      </c>
      <c r="Q71" s="76">
        <f t="shared" si="63"/>
        <v>119.79970947729257</v>
      </c>
      <c r="R71" s="76">
        <f t="shared" si="63"/>
        <v>116.31359312017791</v>
      </c>
      <c r="S71" s="76">
        <f t="shared" si="63"/>
        <v>112.77248548357652</v>
      </c>
      <c r="T71" s="76">
        <f t="shared" si="63"/>
        <v>109.44227810959939</v>
      </c>
      <c r="U71" s="76">
        <f t="shared" si="63"/>
        <v>106.30469892430341</v>
      </c>
      <c r="V71" s="76">
        <f t="shared" si="63"/>
        <v>103.43478215204138</v>
      </c>
      <c r="W71" s="76">
        <f t="shared" si="63"/>
        <v>100.85410596507562</v>
      </c>
      <c r="X71" s="76">
        <f t="shared" si="63"/>
        <v>98.541737208532538</v>
      </c>
      <c r="Y71" s="76">
        <f t="shared" si="63"/>
        <v>96.528195352084651</v>
      </c>
      <c r="Z71" s="76">
        <f t="shared" si="63"/>
        <v>94.688762576402397</v>
      </c>
      <c r="AA71" s="76">
        <f t="shared" si="63"/>
        <v>92.978200817832317</v>
      </c>
      <c r="AB71" s="76">
        <f t="shared" si="63"/>
        <v>91.359737234056269</v>
      </c>
      <c r="AC71" s="76">
        <f t="shared" si="63"/>
        <v>89.805521384975535</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1.1281068013309969E-2</v>
      </c>
      <c r="C81" s="66">
        <f t="shared" ref="C81:AC81" si="72">C39*C40*C47/C47/(C44)</f>
        <v>1.104832369611523E-2</v>
      </c>
      <c r="D81" s="66">
        <f t="shared" si="72"/>
        <v>1.0815104447201133E-2</v>
      </c>
      <c r="E81" s="66">
        <f t="shared" si="72"/>
        <v>1.0661553189675906E-2</v>
      </c>
      <c r="F81" s="66">
        <f t="shared" si="72"/>
        <v>1.0507027828144964E-2</v>
      </c>
      <c r="G81" s="66">
        <f t="shared" si="72"/>
        <v>1.0351138569203342E-2</v>
      </c>
      <c r="H81" s="66">
        <f t="shared" si="72"/>
        <v>1.0193347511802389E-2</v>
      </c>
      <c r="I81" s="66">
        <f t="shared" si="72"/>
        <v>1.0032920585651644E-2</v>
      </c>
      <c r="J81" s="66">
        <f t="shared" si="72"/>
        <v>1.0100135433363567E-2</v>
      </c>
      <c r="K81" s="66">
        <f t="shared" si="72"/>
        <v>1.0161561130700238E-2</v>
      </c>
      <c r="L81" s="66">
        <f t="shared" si="72"/>
        <v>1.0215062649025721E-2</v>
      </c>
      <c r="M81" s="66">
        <f t="shared" si="72"/>
        <v>1.0257993776547255E-2</v>
      </c>
      <c r="N81" s="66">
        <f t="shared" si="72"/>
        <v>1.0287347344646189E-2</v>
      </c>
      <c r="O81" s="66">
        <f t="shared" si="72"/>
        <v>1.0030960232828314E-2</v>
      </c>
      <c r="P81" s="66">
        <f t="shared" si="72"/>
        <v>9.7604696067792127E-3</v>
      </c>
      <c r="Q81" s="66">
        <f t="shared" si="72"/>
        <v>9.4773054445945124E-3</v>
      </c>
      <c r="R81" s="66">
        <f t="shared" si="72"/>
        <v>9.1857301427112226E-3</v>
      </c>
      <c r="S81" s="66">
        <f t="shared" si="72"/>
        <v>8.8926423931792575E-3</v>
      </c>
      <c r="T81" s="66">
        <f t="shared" si="72"/>
        <v>8.6202657541826645E-3</v>
      </c>
      <c r="U81" s="66">
        <f t="shared" si="72"/>
        <v>8.3610963424035466E-3</v>
      </c>
      <c r="V81" s="66">
        <f t="shared" si="72"/>
        <v>8.1193131890762056E-3</v>
      </c>
      <c r="W81" s="66">
        <f t="shared" si="72"/>
        <v>7.8958059804289243E-3</v>
      </c>
      <c r="X81" s="66">
        <f t="shared" si="72"/>
        <v>7.6889427811932904E-3</v>
      </c>
      <c r="Y81" s="66">
        <f t="shared" si="72"/>
        <v>7.5036790548426054E-3</v>
      </c>
      <c r="Z81" s="66">
        <f t="shared" si="72"/>
        <v>7.3289134640303066E-3</v>
      </c>
      <c r="AA81" s="66">
        <f t="shared" si="72"/>
        <v>7.1618369508476788E-3</v>
      </c>
      <c r="AB81" s="66">
        <f t="shared" si="72"/>
        <v>7.0002011210444637E-3</v>
      </c>
      <c r="AC81" s="66">
        <f t="shared" si="72"/>
        <v>6.8423242323661987E-3</v>
      </c>
    </row>
    <row r="82" spans="1:29" x14ac:dyDescent="0.25">
      <c r="A82" s="59" t="str">
        <f>A45</f>
        <v>Market failure (av. utilization)</v>
      </c>
      <c r="B82" s="66">
        <f t="shared" ref="B82:AC82" si="73">B71/B45-B71/B44</f>
        <v>6.9528722157986764E-3</v>
      </c>
      <c r="C82" s="66">
        <f t="shared" si="73"/>
        <v>6.8429660921653646E-3</v>
      </c>
      <c r="D82" s="66">
        <f t="shared" si="73"/>
        <v>6.7326727745874483E-3</v>
      </c>
      <c r="E82" s="66">
        <f t="shared" si="73"/>
        <v>6.6596364411521947E-3</v>
      </c>
      <c r="F82" s="66">
        <f t="shared" si="73"/>
        <v>6.5858082365189453E-3</v>
      </c>
      <c r="G82" s="66">
        <f t="shared" si="73"/>
        <v>6.5108638224075765E-3</v>
      </c>
      <c r="H82" s="66">
        <f t="shared" si="73"/>
        <v>6.4343521160842992E-3</v>
      </c>
      <c r="I82" s="66">
        <f t="shared" si="73"/>
        <v>6.3556523462438112E-3</v>
      </c>
      <c r="J82" s="66">
        <f t="shared" si="73"/>
        <v>6.3827532626252736E-3</v>
      </c>
      <c r="K82" s="66">
        <f t="shared" si="73"/>
        <v>6.4052999961922586E-3</v>
      </c>
      <c r="L82" s="66">
        <f t="shared" si="73"/>
        <v>6.4216351997722805E-3</v>
      </c>
      <c r="M82" s="66">
        <f t="shared" si="73"/>
        <v>6.4297160574348783E-3</v>
      </c>
      <c r="N82" s="66">
        <f t="shared" si="73"/>
        <v>6.4272387974112985E-3</v>
      </c>
      <c r="O82" s="66">
        <f t="shared" si="73"/>
        <v>6.285290941864103E-3</v>
      </c>
      <c r="P82" s="66">
        <f t="shared" si="73"/>
        <v>6.1311836600988646E-3</v>
      </c>
      <c r="Q82" s="66">
        <f t="shared" si="73"/>
        <v>5.9657496160494261E-3</v>
      </c>
      <c r="R82" s="66">
        <f t="shared" si="73"/>
        <v>5.7921490504912725E-3</v>
      </c>
      <c r="S82" s="66">
        <f t="shared" si="73"/>
        <v>5.6158100458674875E-3</v>
      </c>
      <c r="T82" s="66">
        <f t="shared" si="73"/>
        <v>5.4499733885888264E-3</v>
      </c>
      <c r="U82" s="66">
        <f t="shared" si="73"/>
        <v>5.2937291714561293E-3</v>
      </c>
      <c r="V82" s="66">
        <f t="shared" si="73"/>
        <v>5.1508139260275781E-3</v>
      </c>
      <c r="W82" s="66">
        <f t="shared" si="73"/>
        <v>5.0223021955842183E-3</v>
      </c>
      <c r="X82" s="66">
        <f t="shared" si="73"/>
        <v>4.9071515572253963E-3</v>
      </c>
      <c r="Y82" s="66">
        <f t="shared" si="73"/>
        <v>4.8068818102500899E-3</v>
      </c>
      <c r="Z82" s="66">
        <f t="shared" si="73"/>
        <v>4.7152822944987165E-3</v>
      </c>
      <c r="AA82" s="66">
        <f t="shared" si="73"/>
        <v>4.6301002585910876E-3</v>
      </c>
      <c r="AB82" s="66">
        <f t="shared" si="73"/>
        <v>4.549504499672891E-3</v>
      </c>
      <c r="AC82" s="66">
        <f t="shared" si="73"/>
        <v>4.4721081299707692E-3</v>
      </c>
    </row>
    <row r="83" spans="1:29" x14ac:dyDescent="0.25">
      <c r="A83" s="59" t="str">
        <f>A46</f>
        <v>Payload loss (fuel)</v>
      </c>
      <c r="B83" s="66">
        <f>B71/(B44-B46)-B71/B44</f>
        <v>1.2843864944512701E-3</v>
      </c>
      <c r="C83" s="66">
        <f t="shared" ref="C83:AC83" si="74">C71/(C44-C46)-C71/C44</f>
        <v>1.2639205859050588E-3</v>
      </c>
      <c r="D83" s="66">
        <f t="shared" si="74"/>
        <v>1.2433191252823068E-3</v>
      </c>
      <c r="E83" s="66">
        <f t="shared" si="74"/>
        <v>1.2295062553758021E-3</v>
      </c>
      <c r="F83" s="66">
        <f t="shared" si="74"/>
        <v>1.2154163140591576E-3</v>
      </c>
      <c r="G83" s="66">
        <f t="shared" si="74"/>
        <v>1.2009366383978915E-3</v>
      </c>
      <c r="H83" s="66">
        <f t="shared" si="74"/>
        <v>1.1859111161744654E-3</v>
      </c>
      <c r="I83" s="66">
        <f t="shared" si="74"/>
        <v>1.1701259469089845E-3</v>
      </c>
      <c r="J83" s="66">
        <f t="shared" si="74"/>
        <v>1.1732988554561813E-3</v>
      </c>
      <c r="K83" s="66">
        <f t="shared" si="74"/>
        <v>1.1748847672791753E-3</v>
      </c>
      <c r="L83" s="66">
        <f t="shared" si="74"/>
        <v>1.1743159085912842E-3</v>
      </c>
      <c r="M83" s="66">
        <f t="shared" si="74"/>
        <v>1.1709026309665339E-3</v>
      </c>
      <c r="N83" s="66">
        <f t="shared" si="74"/>
        <v>1.1638861106157486E-3</v>
      </c>
      <c r="O83" s="66">
        <f t="shared" si="74"/>
        <v>1.129797146877911E-3</v>
      </c>
      <c r="P83" s="66">
        <f t="shared" si="74"/>
        <v>1.0918099086314938E-3</v>
      </c>
      <c r="Q83" s="66">
        <f t="shared" si="74"/>
        <v>1.0503595406834727E-3</v>
      </c>
      <c r="R83" s="66">
        <f t="shared" si="74"/>
        <v>1.0066547846418437E-3</v>
      </c>
      <c r="S83" s="66">
        <f t="shared" si="74"/>
        <v>9.6258563015132192E-4</v>
      </c>
      <c r="T83" s="66">
        <f t="shared" si="74"/>
        <v>9.2141704795710259E-4</v>
      </c>
      <c r="U83" s="66">
        <f t="shared" si="74"/>
        <v>8.8375526093436088E-4</v>
      </c>
      <c r="V83" s="66">
        <f t="shared" si="74"/>
        <v>8.5061300403981369E-4</v>
      </c>
      <c r="W83" s="66">
        <f t="shared" si="74"/>
        <v>8.2215175724718696E-4</v>
      </c>
      <c r="X83" s="66">
        <f t="shared" si="74"/>
        <v>7.979108061261786E-4</v>
      </c>
      <c r="Y83" s="66">
        <f t="shared" si="74"/>
        <v>7.7772833530568262E-4</v>
      </c>
      <c r="Z83" s="66">
        <f t="shared" si="74"/>
        <v>7.6018946675497114E-4</v>
      </c>
      <c r="AA83" s="66">
        <f t="shared" si="74"/>
        <v>7.445864919385977E-4</v>
      </c>
      <c r="AB83" s="66">
        <f t="shared" si="74"/>
        <v>7.3035607489207489E-4</v>
      </c>
      <c r="AC83" s="66">
        <f t="shared" si="74"/>
        <v>7.1707742300858301E-4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2.2998315569490169E-2</v>
      </c>
      <c r="C85" s="67">
        <f t="shared" ref="C85:AC85" si="76">C74+C75+C76+C77+C78+C79+C80+C81+C82+C83+C84</f>
        <v>2.2634393024589864E-2</v>
      </c>
      <c r="D85" s="67">
        <f t="shared" si="76"/>
        <v>2.2269124946536122E-2</v>
      </c>
      <c r="E85" s="67">
        <f t="shared" si="76"/>
        <v>2.2027073534644448E-2</v>
      </c>
      <c r="F85" s="67">
        <f t="shared" si="76"/>
        <v>2.1782270453848895E-2</v>
      </c>
      <c r="G85" s="67">
        <f t="shared" si="76"/>
        <v>2.1533589484089601E-2</v>
      </c>
      <c r="H85" s="67">
        <f t="shared" si="76"/>
        <v>2.1279464879605935E-2</v>
      </c>
      <c r="I85" s="67">
        <f t="shared" si="76"/>
        <v>2.1017742929588933E-2</v>
      </c>
      <c r="J85" s="67">
        <f t="shared" si="76"/>
        <v>2.1105606201828202E-2</v>
      </c>
      <c r="K85" s="67">
        <f t="shared" si="76"/>
        <v>2.1177650656048017E-2</v>
      </c>
      <c r="L85" s="67">
        <f t="shared" si="76"/>
        <v>2.1228129308547696E-2</v>
      </c>
      <c r="M85" s="67">
        <f t="shared" si="76"/>
        <v>2.1249968711118561E-2</v>
      </c>
      <c r="N85" s="67">
        <f t="shared" si="76"/>
        <v>2.1235210753194091E-2</v>
      </c>
      <c r="O85" s="67">
        <f t="shared" si="76"/>
        <v>2.0757534740871265E-2</v>
      </c>
      <c r="P85" s="67">
        <f t="shared" si="76"/>
        <v>2.0237962247108485E-2</v>
      </c>
      <c r="Q85" s="67">
        <f t="shared" si="76"/>
        <v>1.9679530491505962E-2</v>
      </c>
      <c r="R85" s="67">
        <f t="shared" si="76"/>
        <v>1.9093323968095103E-2</v>
      </c>
      <c r="S85" s="67">
        <f t="shared" si="76"/>
        <v>1.8498195424155255E-2</v>
      </c>
      <c r="T85" s="67">
        <f t="shared" si="76"/>
        <v>1.7938787287965219E-2</v>
      </c>
      <c r="U85" s="67">
        <f t="shared" si="76"/>
        <v>1.7412862322402797E-2</v>
      </c>
      <c r="V85" s="67">
        <f t="shared" si="76"/>
        <v>1.6933109923544031E-2</v>
      </c>
      <c r="W85" s="67">
        <f t="shared" si="76"/>
        <v>1.6503049519115902E-2</v>
      </c>
      <c r="X85" s="67">
        <f t="shared" si="76"/>
        <v>1.6118962823123577E-2</v>
      </c>
      <c r="Y85" s="67">
        <f t="shared" si="76"/>
        <v>1.5785437393005246E-2</v>
      </c>
      <c r="Z85" s="67">
        <f t="shared" si="76"/>
        <v>1.5481650037731495E-2</v>
      </c>
      <c r="AA85" s="67">
        <f t="shared" si="76"/>
        <v>1.5199853200703779E-2</v>
      </c>
      <c r="AB85" s="67">
        <f t="shared" si="76"/>
        <v>1.4933761037037892E-2</v>
      </c>
      <c r="AC85" s="67">
        <f t="shared" si="76"/>
        <v>1.467861872983527E-2</v>
      </c>
    </row>
    <row r="87" spans="1:29" x14ac:dyDescent="0.25">
      <c r="B87" s="40"/>
    </row>
    <row r="107" spans="1:2" s="3" customFormat="1" ht="21" x14ac:dyDescent="0.35">
      <c r="A107" s="2" t="str">
        <f>'Parameter Input'!A223</f>
        <v>Short-sea: Container</v>
      </c>
    </row>
    <row r="108" spans="1:2" s="3" customFormat="1" ht="21" x14ac:dyDescent="0.35">
      <c r="A108" s="2" t="s">
        <v>97</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Input'!$L$249</f>
        <v>30000000</v>
      </c>
      <c r="C117" s="42">
        <f>'Parameter Input'!$M$249</f>
        <v>18000000</v>
      </c>
      <c r="D117" s="1" t="s">
        <v>138</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Input'!$L$250</f>
        <v>-1500000</v>
      </c>
      <c r="C118" s="61">
        <f>'Parameter Input'!$M$250</f>
        <v>-1800000</v>
      </c>
      <c r="D118" s="1" t="s">
        <v>138</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Input'!$L$256</f>
        <v>0.06</v>
      </c>
      <c r="C121" s="91">
        <f>'Parameter Input'!$M$256</f>
        <v>0.06</v>
      </c>
      <c r="D121" s="1" t="s">
        <v>180</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Input'!$L$252</f>
        <v>338823.5294117647</v>
      </c>
      <c r="C123" s="61">
        <f>'Parameter Input'!$M$252</f>
        <v>338823.5294117647</v>
      </c>
      <c r="D123" s="1" t="s">
        <v>161</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Input'!$L$253</f>
        <v>589</v>
      </c>
      <c r="C125" s="61">
        <f>'Parameter Input'!$M$253</f>
        <v>519</v>
      </c>
      <c r="D125" s="1" t="s">
        <v>184</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Input'!$L$254</f>
        <v>0.23976160758395154</v>
      </c>
      <c r="C126" s="61">
        <f>'Parameter Input'!$M$254</f>
        <v>0.11428118371505049</v>
      </c>
      <c r="D126" s="1" t="s">
        <v>94</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458</v>
      </c>
      <c r="B127" s="115">
        <f>'Parameter Input'!$L$257</f>
        <v>0</v>
      </c>
      <c r="C127" s="116">
        <f>'Parameter Input'!$M$257</f>
        <v>0</v>
      </c>
      <c r="D127" s="1" t="s">
        <v>200</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Input'!$L$251</f>
        <v>25</v>
      </c>
      <c r="C128" s="61">
        <f>'Parameter Input'!$M$251</f>
        <v>25</v>
      </c>
      <c r="D128" s="1" t="s">
        <v>165</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Input'!$L$255</f>
        <v>0.08</v>
      </c>
      <c r="C132" s="46">
        <f>'Parameter Input'!$M$255</f>
        <v>7.0000000000000007E-2</v>
      </c>
      <c r="D132" s="1" t="s">
        <v>180</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0.18104231880665794</v>
      </c>
      <c r="C146" s="66">
        <f>'Parameter Input'!K6</f>
        <v>0.17732719010569079</v>
      </c>
      <c r="D146" s="66">
        <f>'Parameter Input'!L6</f>
        <v>0.17361206140472354</v>
      </c>
      <c r="E146" s="66">
        <f>'Parameter Input'!M6</f>
        <v>0.17118675002498271</v>
      </c>
      <c r="F146" s="66">
        <f>'Parameter Input'!N6</f>
        <v>0.16876143864524187</v>
      </c>
      <c r="G146" s="66">
        <f>'Parameter Input'!O6</f>
        <v>0.16633612726550104</v>
      </c>
      <c r="H146" s="66">
        <f>'Parameter Input'!P6</f>
        <v>0.1639108158857602</v>
      </c>
      <c r="I146" s="66">
        <f>'Parameter Input'!Q6</f>
        <v>0.16148550450601945</v>
      </c>
      <c r="J146" s="66">
        <f>'Parameter Input'!R6</f>
        <v>0.1627875388918204</v>
      </c>
      <c r="K146" s="66">
        <f>'Parameter Input'!S6</f>
        <v>0.16408957327762139</v>
      </c>
      <c r="L146" s="66">
        <f>'Parameter Input'!T6</f>
        <v>0.16539160766342234</v>
      </c>
      <c r="M146" s="66">
        <f>'Parameter Input'!U6</f>
        <v>0.16669364204922332</v>
      </c>
      <c r="N146" s="66">
        <f>'Parameter Input'!V6</f>
        <v>0.16799567643502425</v>
      </c>
      <c r="O146" s="66">
        <f>'Parameter Input'!W6</f>
        <v>0.16487244686609676</v>
      </c>
      <c r="P146" s="66">
        <f>'Parameter Input'!X6</f>
        <v>0.16174921729716923</v>
      </c>
      <c r="Q146" s="66">
        <f>'Parameter Input'!Y6</f>
        <v>0.15862598772824177</v>
      </c>
      <c r="R146" s="66">
        <f>'Parameter Input'!Z6</f>
        <v>0.15550275815931427</v>
      </c>
      <c r="S146" s="66">
        <f>'Parameter Input'!AA6</f>
        <v>0.15237952859038681</v>
      </c>
      <c r="T146" s="66">
        <f>'Parameter Input'!AB6</f>
        <v>0.14950198735980291</v>
      </c>
      <c r="U146" s="66">
        <f>'Parameter Input'!AC6</f>
        <v>0.14662444612921899</v>
      </c>
      <c r="V146" s="66">
        <f>'Parameter Input'!AD6</f>
        <v>0.14374690489863506</v>
      </c>
      <c r="W146" s="66">
        <f>'Parameter Input'!AE6</f>
        <v>0.14086936366805117</v>
      </c>
      <c r="X146" s="66">
        <f>'Parameter Input'!AF6</f>
        <v>0.13799182243746722</v>
      </c>
      <c r="Y146" s="66">
        <f>'Parameter Input'!AG6</f>
        <v>0.1352562604095163</v>
      </c>
      <c r="Z146" s="66">
        <f>'Parameter Input'!AH6</f>
        <v>0.13252069838156535</v>
      </c>
      <c r="AA146" s="66">
        <f>'Parameter Input'!AI6</f>
        <v>0.12978513635361441</v>
      </c>
      <c r="AB146" s="66">
        <f>'Parameter Input'!AJ6</f>
        <v>0.12704957432566347</v>
      </c>
      <c r="AC146" s="66">
        <f>'Parameter Input'!AK6</f>
        <v>0.12431401229771254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12792731.127093505</v>
      </c>
      <c r="C163" s="62">
        <f t="shared" ref="C163:AC163" si="127">C145*C146*C153</f>
        <v>12528799.071394671</v>
      </c>
      <c r="D163" s="62">
        <f t="shared" si="127"/>
        <v>12264328.443126084</v>
      </c>
      <c r="E163" s="62">
        <f t="shared" si="127"/>
        <v>12090201.317092478</v>
      </c>
      <c r="F163" s="62">
        <f t="shared" si="127"/>
        <v>11914969.557116391</v>
      </c>
      <c r="G163" s="62">
        <f t="shared" si="127"/>
        <v>11738191.13747659</v>
      </c>
      <c r="H163" s="62">
        <f t="shared" si="127"/>
        <v>11559256.07838391</v>
      </c>
      <c r="I163" s="62">
        <f t="shared" si="127"/>
        <v>11377331.944128966</v>
      </c>
      <c r="J163" s="62">
        <f t="shared" si="127"/>
        <v>11453553.581434283</v>
      </c>
      <c r="K163" s="62">
        <f t="shared" si="127"/>
        <v>11523210.322214071</v>
      </c>
      <c r="L163" s="62">
        <f t="shared" si="127"/>
        <v>11583881.043995168</v>
      </c>
      <c r="M163" s="62">
        <f t="shared" si="127"/>
        <v>11632564.942604586</v>
      </c>
      <c r="N163" s="62">
        <f t="shared" si="127"/>
        <v>11665851.888828779</v>
      </c>
      <c r="O163" s="62">
        <f t="shared" si="127"/>
        <v>11375108.904027309</v>
      </c>
      <c r="P163" s="62">
        <f t="shared" si="127"/>
        <v>11068372.534087626</v>
      </c>
      <c r="Q163" s="62">
        <f t="shared" si="127"/>
        <v>10747264.374170177</v>
      </c>
      <c r="R163" s="62">
        <f t="shared" si="127"/>
        <v>10416617.981834527</v>
      </c>
      <c r="S163" s="62">
        <f t="shared" si="127"/>
        <v>10084256.473865278</v>
      </c>
      <c r="T163" s="62">
        <f t="shared" si="127"/>
        <v>9775381.3652431425</v>
      </c>
      <c r="U163" s="62">
        <f t="shared" si="127"/>
        <v>9481483.2522856221</v>
      </c>
      <c r="V163" s="62">
        <f t="shared" si="127"/>
        <v>9207301.1564124171</v>
      </c>
      <c r="W163" s="62">
        <f t="shared" si="127"/>
        <v>8953843.9818064012</v>
      </c>
      <c r="X163" s="62">
        <f t="shared" si="127"/>
        <v>8719261.1138731912</v>
      </c>
      <c r="Y163" s="62">
        <f t="shared" si="127"/>
        <v>8509172.0481915157</v>
      </c>
      <c r="Z163" s="62">
        <f t="shared" si="127"/>
        <v>8310987.8682103679</v>
      </c>
      <c r="AA163" s="62">
        <f t="shared" si="127"/>
        <v>8121523.1022612676</v>
      </c>
      <c r="AB163" s="62">
        <f t="shared" si="127"/>
        <v>7938228.0712644216</v>
      </c>
      <c r="AC163" s="62">
        <f t="shared" si="127"/>
        <v>7759195.6795032695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17121801.128019515</v>
      </c>
      <c r="C165" s="64">
        <f t="shared" ref="C165:AC165" si="129">C156+C157+C158+C159+C160+C161+C162+C163+C164</f>
        <v>16856954.846594147</v>
      </c>
      <c r="D165" s="64">
        <f t="shared" si="129"/>
        <v>16591175.524560768</v>
      </c>
      <c r="E165" s="64">
        <f t="shared" si="129"/>
        <v>16415176.220065162</v>
      </c>
      <c r="F165" s="64">
        <f t="shared" si="129"/>
        <v>16237268.703950189</v>
      </c>
      <c r="G165" s="64">
        <f t="shared" si="129"/>
        <v>16056671.402045313</v>
      </c>
      <c r="H165" s="64">
        <f t="shared" si="129"/>
        <v>15872297.3177328</v>
      </c>
      <c r="I165" s="64">
        <f t="shared" si="129"/>
        <v>15682650.547359684</v>
      </c>
      <c r="J165" s="64">
        <f t="shared" si="129"/>
        <v>15747956.980609916</v>
      </c>
      <c r="K165" s="64">
        <f t="shared" si="129"/>
        <v>15802288.971822955</v>
      </c>
      <c r="L165" s="64">
        <f t="shared" si="129"/>
        <v>15841652.728649914</v>
      </c>
      <c r="M165" s="64">
        <f t="shared" si="129"/>
        <v>15861125.575402353</v>
      </c>
      <c r="N165" s="64">
        <f t="shared" si="129"/>
        <v>15855155.998060536</v>
      </c>
      <c r="O165" s="64">
        <f t="shared" si="129"/>
        <v>15513097.153155677</v>
      </c>
      <c r="P165" s="64">
        <f t="shared" si="129"/>
        <v>15141737.130921897</v>
      </c>
      <c r="Q165" s="64">
        <f t="shared" si="129"/>
        <v>14743082.443273759</v>
      </c>
      <c r="R165" s="64">
        <f t="shared" si="129"/>
        <v>14324748.480420001</v>
      </c>
      <c r="S165" s="64">
        <f t="shared" si="129"/>
        <v>13899815.564027833</v>
      </c>
      <c r="T165" s="64">
        <f t="shared" si="129"/>
        <v>13500190.679150578</v>
      </c>
      <c r="U165" s="64">
        <f t="shared" si="129"/>
        <v>13123681.176915061</v>
      </c>
      <c r="V165" s="64">
        <f t="shared" si="129"/>
        <v>12779291.164243616</v>
      </c>
      <c r="W165" s="64">
        <f t="shared" si="129"/>
        <v>12469610.021807726</v>
      </c>
      <c r="X165" s="64">
        <f t="shared" si="129"/>
        <v>12192125.771022554</v>
      </c>
      <c r="Y165" s="64">
        <f t="shared" si="129"/>
        <v>11950500.74824881</v>
      </c>
      <c r="Z165" s="64">
        <f t="shared" si="129"/>
        <v>11729768.815166939</v>
      </c>
      <c r="AA165" s="64">
        <f t="shared" si="129"/>
        <v>11524501.404138528</v>
      </c>
      <c r="AB165" s="64">
        <f t="shared" si="129"/>
        <v>11330285.774085404</v>
      </c>
      <c r="AC165" s="64">
        <f t="shared" si="129"/>
        <v>11143779.872195717</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106.60609272577921</v>
      </c>
      <c r="C175" s="66">
        <f t="shared" ref="C175:AC175" si="138">C145*C146*C153/C153</f>
        <v>104.40665892828892</v>
      </c>
      <c r="D175" s="66">
        <f t="shared" si="138"/>
        <v>102.2027370260507</v>
      </c>
      <c r="E175" s="66">
        <f t="shared" si="138"/>
        <v>100.75167764243731</v>
      </c>
      <c r="F175" s="66">
        <f t="shared" si="138"/>
        <v>99.291412975969919</v>
      </c>
      <c r="G175" s="66">
        <f t="shared" si="138"/>
        <v>97.818259478971584</v>
      </c>
      <c r="H175" s="66">
        <f t="shared" si="138"/>
        <v>96.327133986532573</v>
      </c>
      <c r="I175" s="66">
        <f t="shared" si="138"/>
        <v>94.811099534408044</v>
      </c>
      <c r="J175" s="66">
        <f t="shared" si="138"/>
        <v>95.446279845285702</v>
      </c>
      <c r="K175" s="66">
        <f t="shared" si="138"/>
        <v>96.026752685117259</v>
      </c>
      <c r="L175" s="66">
        <f t="shared" si="138"/>
        <v>96.532342033293062</v>
      </c>
      <c r="M175" s="66">
        <f t="shared" si="138"/>
        <v>96.938041188371557</v>
      </c>
      <c r="N175" s="66">
        <f t="shared" si="138"/>
        <v>97.215432406906487</v>
      </c>
      <c r="O175" s="66">
        <f t="shared" si="138"/>
        <v>94.792574200227577</v>
      </c>
      <c r="P175" s="66">
        <f t="shared" si="138"/>
        <v>92.236437784063554</v>
      </c>
      <c r="Q175" s="66">
        <f t="shared" si="138"/>
        <v>89.560536451418145</v>
      </c>
      <c r="R175" s="66">
        <f t="shared" si="138"/>
        <v>86.805149848621056</v>
      </c>
      <c r="S175" s="66">
        <f t="shared" si="138"/>
        <v>84.035470615543986</v>
      </c>
      <c r="T175" s="66">
        <f t="shared" si="138"/>
        <v>81.461511377026184</v>
      </c>
      <c r="U175" s="66">
        <f t="shared" si="138"/>
        <v>79.012360435713518</v>
      </c>
      <c r="V175" s="66">
        <f t="shared" si="138"/>
        <v>76.727509636770137</v>
      </c>
      <c r="W175" s="66">
        <f t="shared" si="138"/>
        <v>74.615366515053339</v>
      </c>
      <c r="X175" s="66">
        <f t="shared" si="138"/>
        <v>72.660509282276593</v>
      </c>
      <c r="Y175" s="66">
        <f t="shared" si="138"/>
        <v>70.909767068262624</v>
      </c>
      <c r="Z175" s="66">
        <f t="shared" si="138"/>
        <v>69.258232235086396</v>
      </c>
      <c r="AA175" s="66">
        <f t="shared" si="138"/>
        <v>67.679359185510563</v>
      </c>
      <c r="AB175" s="66">
        <f t="shared" si="138"/>
        <v>66.151900593870181</v>
      </c>
      <c r="AC175" s="66">
        <f t="shared" si="138"/>
        <v>64.659963995860579</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143.3335653852649</v>
      </c>
      <c r="C177" s="76">
        <f t="shared" ref="C177:AC177" si="141">C168+C169+C170-C171+C172+C173+C174+C175+C176</f>
        <v>141.12651304005351</v>
      </c>
      <c r="D177" s="76">
        <f t="shared" si="141"/>
        <v>138.91168535644198</v>
      </c>
      <c r="E177" s="76">
        <f t="shared" si="141"/>
        <v>137.44502448564526</v>
      </c>
      <c r="F177" s="76">
        <f t="shared" si="141"/>
        <v>135.96246185135385</v>
      </c>
      <c r="G177" s="76">
        <f t="shared" si="141"/>
        <v>134.4574843354799</v>
      </c>
      <c r="H177" s="76">
        <f t="shared" si="141"/>
        <v>132.92103363287561</v>
      </c>
      <c r="I177" s="76">
        <f t="shared" si="141"/>
        <v>131.3406438797663</v>
      </c>
      <c r="J177" s="76">
        <f t="shared" si="141"/>
        <v>131.88486415685159</v>
      </c>
      <c r="K177" s="76">
        <f t="shared" si="141"/>
        <v>132.33763075029356</v>
      </c>
      <c r="L177" s="76">
        <f t="shared" si="141"/>
        <v>132.66566205718487</v>
      </c>
      <c r="M177" s="76">
        <f t="shared" si="141"/>
        <v>132.82793578012189</v>
      </c>
      <c r="N177" s="76">
        <f t="shared" si="141"/>
        <v>132.7781893022734</v>
      </c>
      <c r="O177" s="76">
        <f t="shared" si="141"/>
        <v>129.92769892806626</v>
      </c>
      <c r="P177" s="76">
        <f t="shared" si="141"/>
        <v>126.83303207611809</v>
      </c>
      <c r="Q177" s="76">
        <f t="shared" si="141"/>
        <v>123.51090967905027</v>
      </c>
      <c r="R177" s="76">
        <f t="shared" si="141"/>
        <v>120.02479332193562</v>
      </c>
      <c r="S177" s="76">
        <f t="shared" si="141"/>
        <v>116.48368568533422</v>
      </c>
      <c r="T177" s="76">
        <f t="shared" si="141"/>
        <v>113.15347831135711</v>
      </c>
      <c r="U177" s="76">
        <f t="shared" si="141"/>
        <v>110.01589912606111</v>
      </c>
      <c r="V177" s="76">
        <f t="shared" si="141"/>
        <v>107.14598235379908</v>
      </c>
      <c r="W177" s="76">
        <f t="shared" si="141"/>
        <v>104.56530616683332</v>
      </c>
      <c r="X177" s="76">
        <f t="shared" si="141"/>
        <v>102.25293741029024</v>
      </c>
      <c r="Y177" s="76">
        <f t="shared" si="141"/>
        <v>100.23939555384237</v>
      </c>
      <c r="Z177" s="76">
        <f t="shared" si="141"/>
        <v>98.399962778160102</v>
      </c>
      <c r="AA177" s="76">
        <f t="shared" si="141"/>
        <v>96.689401019590022</v>
      </c>
      <c r="AB177" s="76">
        <f t="shared" si="141"/>
        <v>95.070937435813988</v>
      </c>
      <c r="AC177" s="76">
        <f t="shared" si="141"/>
        <v>93.51672158673324</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1.1281068013309969E-2</v>
      </c>
      <c r="C187" s="66">
        <f t="shared" ref="C187:AC187" si="150">C145*C146*C153/C153/(C150)</f>
        <v>1.104832369611523E-2</v>
      </c>
      <c r="D187" s="66">
        <f t="shared" si="150"/>
        <v>1.0815104447201133E-2</v>
      </c>
      <c r="E187" s="66">
        <f t="shared" si="150"/>
        <v>1.0661553189675906E-2</v>
      </c>
      <c r="F187" s="66">
        <f t="shared" si="150"/>
        <v>1.0507027828144964E-2</v>
      </c>
      <c r="G187" s="66">
        <f t="shared" si="150"/>
        <v>1.0351138569203342E-2</v>
      </c>
      <c r="H187" s="66">
        <f t="shared" si="150"/>
        <v>1.0193347511802389E-2</v>
      </c>
      <c r="I187" s="66">
        <f t="shared" si="150"/>
        <v>1.0032920585651644E-2</v>
      </c>
      <c r="J187" s="66">
        <f t="shared" si="150"/>
        <v>1.0100135433363567E-2</v>
      </c>
      <c r="K187" s="66">
        <f t="shared" si="150"/>
        <v>1.0161561130700238E-2</v>
      </c>
      <c r="L187" s="66">
        <f t="shared" si="150"/>
        <v>1.0215062649025721E-2</v>
      </c>
      <c r="M187" s="66">
        <f t="shared" si="150"/>
        <v>1.0257993776547255E-2</v>
      </c>
      <c r="N187" s="66">
        <f t="shared" si="150"/>
        <v>1.0287347344646189E-2</v>
      </c>
      <c r="O187" s="66">
        <f t="shared" si="150"/>
        <v>1.0030960232828314E-2</v>
      </c>
      <c r="P187" s="66">
        <f t="shared" si="150"/>
        <v>9.7604696067792127E-3</v>
      </c>
      <c r="Q187" s="66">
        <f t="shared" si="150"/>
        <v>9.4773054445945124E-3</v>
      </c>
      <c r="R187" s="66">
        <f t="shared" si="150"/>
        <v>9.1857301427112226E-3</v>
      </c>
      <c r="S187" s="66">
        <f t="shared" si="150"/>
        <v>8.8926423931792575E-3</v>
      </c>
      <c r="T187" s="66">
        <f t="shared" si="150"/>
        <v>8.6202657541826645E-3</v>
      </c>
      <c r="U187" s="66">
        <f t="shared" si="150"/>
        <v>8.3610963424035466E-3</v>
      </c>
      <c r="V187" s="66">
        <f t="shared" si="150"/>
        <v>8.1193131890762056E-3</v>
      </c>
      <c r="W187" s="66">
        <f t="shared" si="150"/>
        <v>7.8958059804289243E-3</v>
      </c>
      <c r="X187" s="66">
        <f t="shared" si="150"/>
        <v>7.6889427811932904E-3</v>
      </c>
      <c r="Y187" s="66">
        <f t="shared" si="150"/>
        <v>7.5036790548426054E-3</v>
      </c>
      <c r="Z187" s="66">
        <f t="shared" si="150"/>
        <v>7.3289134640303066E-3</v>
      </c>
      <c r="AA187" s="66">
        <f t="shared" si="150"/>
        <v>7.1618369508476788E-3</v>
      </c>
      <c r="AB187" s="66">
        <f t="shared" si="150"/>
        <v>7.0002011210444637E-3</v>
      </c>
      <c r="AC187" s="66">
        <f t="shared" si="150"/>
        <v>6.8423242323661987E-3</v>
      </c>
    </row>
    <row r="188" spans="1:29" x14ac:dyDescent="0.25">
      <c r="A188" s="59" t="str">
        <f>A151</f>
        <v>Market failure (av. utilization)</v>
      </c>
      <c r="B188" s="66">
        <f t="shared" ref="B188:AC188" si="151">B177/B151-B177/B150</f>
        <v>1.1287496228198541E-2</v>
      </c>
      <c r="C188" s="66">
        <f t="shared" si="151"/>
        <v>1.1113691195476096E-2</v>
      </c>
      <c r="D188" s="66">
        <f t="shared" si="151"/>
        <v>1.0939273856050556E-2</v>
      </c>
      <c r="E188" s="66">
        <f t="shared" si="151"/>
        <v>1.0823774538059921E-2</v>
      </c>
      <c r="F188" s="66">
        <f t="shared" si="151"/>
        <v>1.07070229586399E-2</v>
      </c>
      <c r="G188" s="66">
        <f t="shared" si="151"/>
        <v>1.058850621074285E-2</v>
      </c>
      <c r="H188" s="66">
        <f t="shared" si="151"/>
        <v>1.046751095423162E-2</v>
      </c>
      <c r="I188" s="66">
        <f t="shared" si="151"/>
        <v>1.0343055504251315E-2</v>
      </c>
      <c r="J188" s="66">
        <f t="shared" si="151"/>
        <v>1.0385912767366189E-2</v>
      </c>
      <c r="K188" s="66">
        <f t="shared" si="151"/>
        <v>1.0421568066960487E-2</v>
      </c>
      <c r="L188" s="66">
        <f t="shared" si="151"/>
        <v>1.0447400481924243E-2</v>
      </c>
      <c r="M188" s="66">
        <f t="shared" si="151"/>
        <v>1.0460179512646488E-2</v>
      </c>
      <c r="N188" s="66">
        <f t="shared" si="151"/>
        <v>1.0456261985167341E-2</v>
      </c>
      <c r="O188" s="66">
        <f t="shared" si="151"/>
        <v>1.0231786306627588E-2</v>
      </c>
      <c r="P188" s="66">
        <f t="shared" si="151"/>
        <v>9.9880817680220984E-3</v>
      </c>
      <c r="Q188" s="66">
        <f t="shared" si="151"/>
        <v>9.7264651402229809E-3</v>
      </c>
      <c r="R188" s="66">
        <f t="shared" si="151"/>
        <v>9.4519340132938091E-3</v>
      </c>
      <c r="S188" s="66">
        <f t="shared" si="151"/>
        <v>9.1730723315631736E-3</v>
      </c>
      <c r="T188" s="66">
        <f t="shared" si="151"/>
        <v>8.9108190130759869E-3</v>
      </c>
      <c r="U188" s="66">
        <f t="shared" si="151"/>
        <v>8.6637351348196265E-3</v>
      </c>
      <c r="V188" s="66">
        <f t="shared" si="151"/>
        <v>8.4377296304209946E-3</v>
      </c>
      <c r="W188" s="66">
        <f t="shared" si="151"/>
        <v>8.2345017776268379E-3</v>
      </c>
      <c r="X188" s="66">
        <f t="shared" si="151"/>
        <v>8.052403093710565E-3</v>
      </c>
      <c r="Y188" s="66">
        <f t="shared" si="151"/>
        <v>7.8938369822147293E-3</v>
      </c>
      <c r="Z188" s="66">
        <f t="shared" si="151"/>
        <v>7.7489819340497684E-3</v>
      </c>
      <c r="AA188" s="66">
        <f t="shared" si="151"/>
        <v>7.6142754586609584E-3</v>
      </c>
      <c r="AB188" s="66">
        <f t="shared" si="151"/>
        <v>7.4868217003717184E-3</v>
      </c>
      <c r="AC188" s="66">
        <f t="shared" si="151"/>
        <v>7.364427441307898E-3</v>
      </c>
    </row>
    <row r="189" spans="1:29" x14ac:dyDescent="0.25">
      <c r="A189" s="59" t="str">
        <f>A152</f>
        <v>Payload loss (fuel)</v>
      </c>
      <c r="B189" s="66">
        <f>B177/(B150-B152)-B177/B150</f>
        <v>1.3185258345998034E-3</v>
      </c>
      <c r="C189" s="66">
        <f t="shared" ref="C189:AC189" si="152">C177/(C150-C152)-C177/C150</f>
        <v>1.2980555177152901E-3</v>
      </c>
      <c r="D189" s="66">
        <f t="shared" si="152"/>
        <v>1.2774477468129007E-3</v>
      </c>
      <c r="E189" s="66">
        <f t="shared" si="152"/>
        <v>1.2636258499319764E-3</v>
      </c>
      <c r="F189" s="66">
        <f t="shared" si="152"/>
        <v>1.2495230077397591E-3</v>
      </c>
      <c r="G189" s="66">
        <f t="shared" si="152"/>
        <v>1.2350249210917388E-3</v>
      </c>
      <c r="H189" s="66">
        <f t="shared" si="152"/>
        <v>1.2199731798482778E-3</v>
      </c>
      <c r="I189" s="66">
        <f t="shared" si="152"/>
        <v>1.2041507888663483E-3</v>
      </c>
      <c r="J189" s="66">
        <f t="shared" si="152"/>
        <v>1.2072710991662197E-3</v>
      </c>
      <c r="K189" s="66">
        <f t="shared" si="152"/>
        <v>1.2087831858761458E-3</v>
      </c>
      <c r="L189" s="66">
        <f t="shared" si="152"/>
        <v>1.2081117259223461E-3</v>
      </c>
      <c r="M189" s="66">
        <f t="shared" si="152"/>
        <v>1.2045578659817049E-3</v>
      </c>
      <c r="N189" s="66">
        <f t="shared" si="152"/>
        <v>1.1973525639563162E-3</v>
      </c>
      <c r="O189" s="66">
        <f t="shared" si="152"/>
        <v>1.1630170780418288E-3</v>
      </c>
      <c r="P189" s="66">
        <f t="shared" si="152"/>
        <v>1.1247197922119225E-3</v>
      </c>
      <c r="Q189" s="66">
        <f t="shared" si="152"/>
        <v>1.0828979713383615E-3</v>
      </c>
      <c r="R189" s="66">
        <f t="shared" si="152"/>
        <v>1.0387739664128263E-3</v>
      </c>
      <c r="S189" s="66">
        <f t="shared" si="152"/>
        <v>9.9426310865601344E-4</v>
      </c>
      <c r="T189" s="66">
        <f t="shared" si="152"/>
        <v>9.5266240572329346E-4</v>
      </c>
      <c r="U189" s="66">
        <f t="shared" si="152"/>
        <v>9.1460801472485233E-4</v>
      </c>
      <c r="V189" s="66">
        <f t="shared" si="152"/>
        <v>8.8113267147209122E-4</v>
      </c>
      <c r="W189" s="66">
        <f t="shared" si="152"/>
        <v>8.5240505966035704E-4</v>
      </c>
      <c r="X189" s="66">
        <f t="shared" si="152"/>
        <v>8.2796108561753595E-4</v>
      </c>
      <c r="Y189" s="66">
        <f t="shared" si="152"/>
        <v>8.0762950091197404E-4</v>
      </c>
      <c r="Z189" s="66">
        <f t="shared" si="152"/>
        <v>7.8998408256398915E-4</v>
      </c>
      <c r="AA189" s="66">
        <f t="shared" si="152"/>
        <v>7.7430646409123831E-4</v>
      </c>
      <c r="AB189" s="66">
        <f t="shared" si="152"/>
        <v>7.6002447909895472E-4</v>
      </c>
      <c r="AC189" s="66">
        <f t="shared" si="152"/>
        <v>7.4671054395598381E-4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2.7704612122780282E-2</v>
      </c>
      <c r="C191" s="67">
        <f t="shared" ref="C191:AC191" si="154">C180+C181+C182+C183+C184+C185+C186+C187+C188+C189+C190</f>
        <v>2.7276786260452542E-2</v>
      </c>
      <c r="D191" s="67">
        <f t="shared" si="154"/>
        <v>2.6847387850271541E-2</v>
      </c>
      <c r="E191" s="67">
        <f t="shared" si="154"/>
        <v>2.6562864426850061E-2</v>
      </c>
      <c r="F191" s="67">
        <f t="shared" si="154"/>
        <v>2.6275125070392171E-2</v>
      </c>
      <c r="G191" s="67">
        <f t="shared" si="154"/>
        <v>2.5982853355860439E-2</v>
      </c>
      <c r="H191" s="67">
        <f t="shared" si="154"/>
        <v>2.5684218982168789E-2</v>
      </c>
      <c r="I191" s="67">
        <f t="shared" si="154"/>
        <v>2.5376704130295514E-2</v>
      </c>
      <c r="J191" s="67">
        <f t="shared" si="154"/>
        <v>2.5480271151020872E-2</v>
      </c>
      <c r="K191" s="67">
        <f t="shared" si="154"/>
        <v>2.5565350346154932E-2</v>
      </c>
      <c r="L191" s="67">
        <f t="shared" si="154"/>
        <v>2.5625223608772438E-2</v>
      </c>
      <c r="M191" s="67">
        <f t="shared" si="154"/>
        <v>2.5651620602087057E-2</v>
      </c>
      <c r="N191" s="67">
        <f t="shared" si="154"/>
        <v>2.5635233595032419E-2</v>
      </c>
      <c r="O191" s="67">
        <f t="shared" si="154"/>
        <v>2.5074783237540383E-2</v>
      </c>
      <c r="P191" s="67">
        <f t="shared" si="154"/>
        <v>2.446530343935386E-2</v>
      </c>
      <c r="Q191" s="67">
        <f t="shared" si="154"/>
        <v>2.3810317647076126E-2</v>
      </c>
      <c r="R191" s="67">
        <f t="shared" si="154"/>
        <v>2.3122761313410338E-2</v>
      </c>
      <c r="S191" s="67">
        <f t="shared" si="154"/>
        <v>2.2424668389097346E-2</v>
      </c>
      <c r="T191" s="67">
        <f t="shared" si="154"/>
        <v>2.1768411470960286E-2</v>
      </c>
      <c r="U191" s="67">
        <f t="shared" si="154"/>
        <v>2.1151254240298498E-2</v>
      </c>
      <c r="V191" s="67">
        <f t="shared" si="154"/>
        <v>2.0588078496111439E-2</v>
      </c>
      <c r="W191" s="67">
        <f t="shared" si="154"/>
        <v>2.0083035604313407E-2</v>
      </c>
      <c r="X191" s="67">
        <f t="shared" si="154"/>
        <v>1.9631797839841821E-2</v>
      </c>
      <c r="Y191" s="67">
        <f t="shared" si="154"/>
        <v>1.9239826931317892E-2</v>
      </c>
      <c r="Z191" s="67">
        <f t="shared" si="154"/>
        <v>1.888267749383328E-2</v>
      </c>
      <c r="AA191" s="67">
        <f t="shared" si="154"/>
        <v>1.8551281573668005E-2</v>
      </c>
      <c r="AB191" s="67">
        <f t="shared" si="154"/>
        <v>1.8238279842685313E-2</v>
      </c>
      <c r="AC191" s="67">
        <f t="shared" si="154"/>
        <v>1.7938104362861515E-2</v>
      </c>
    </row>
    <row r="193" spans="2:2" x14ac:dyDescent="0.25">
      <c r="B193" s="40"/>
    </row>
    <row r="215" spans="1:44" s="3" customFormat="1" ht="21" x14ac:dyDescent="0.35">
      <c r="A215" s="2" t="str">
        <f>'Parameter Input'!A235</f>
        <v>Short-sea: Break bulk</v>
      </c>
    </row>
    <row r="216" spans="1:44" s="3" customFormat="1" ht="21" x14ac:dyDescent="0.35">
      <c r="A216" s="2" t="s">
        <v>97</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Input'!$L$249</f>
        <v>30000000</v>
      </c>
      <c r="C225" s="42">
        <f>'Parameter Input'!$M$249</f>
        <v>18000000</v>
      </c>
      <c r="D225" s="1" t="s">
        <v>138</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Input'!$L$250</f>
        <v>-1500000</v>
      </c>
      <c r="C226" s="61">
        <f>'Parameter Input'!$M$250</f>
        <v>-1800000</v>
      </c>
      <c r="D226" s="1" t="s">
        <v>138</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Input'!$L$256</f>
        <v>0.06</v>
      </c>
      <c r="C229" s="91">
        <f>'Parameter Input'!$M$256</f>
        <v>0.06</v>
      </c>
      <c r="D229" s="1" t="s">
        <v>180</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Input'!$L$252</f>
        <v>338823.5294117647</v>
      </c>
      <c r="C231" s="61">
        <f>'Parameter Input'!$M$252</f>
        <v>338823.5294117647</v>
      </c>
      <c r="D231" s="1" t="s">
        <v>161</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Input'!$L$253</f>
        <v>589</v>
      </c>
      <c r="C233" s="61">
        <f>'Parameter Input'!$M$253</f>
        <v>519</v>
      </c>
      <c r="D233" s="1" t="s">
        <v>184</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Input'!$L$254</f>
        <v>0.23976160758395154</v>
      </c>
      <c r="C234" s="61">
        <f>'Parameter Input'!$M$254</f>
        <v>0.11428118371505049</v>
      </c>
      <c r="D234" s="1" t="s">
        <v>94</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458</v>
      </c>
      <c r="B235" s="115">
        <f>'Parameter Input'!$L$257</f>
        <v>0</v>
      </c>
      <c r="C235" s="116">
        <f>'Parameter Input'!$M$257</f>
        <v>0</v>
      </c>
      <c r="D235" s="1" t="s">
        <v>200</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Input'!$L$251</f>
        <v>25</v>
      </c>
      <c r="C236" s="61">
        <f>'Parameter Input'!$M$251</f>
        <v>25</v>
      </c>
      <c r="D236" s="1" t="s">
        <v>165</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Input'!$L$255</f>
        <v>0.08</v>
      </c>
      <c r="C240" s="46">
        <f>'Parameter Input'!$M$255</f>
        <v>7.0000000000000007E-2</v>
      </c>
      <c r="D240" s="1" t="s">
        <v>180</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0.18104231880665794</v>
      </c>
      <c r="C254" s="62">
        <f>'Parameter Input'!K6</f>
        <v>0.17732719010569079</v>
      </c>
      <c r="D254" s="62">
        <f>'Parameter Input'!L6</f>
        <v>0.17361206140472354</v>
      </c>
      <c r="E254" s="62">
        <f>'Parameter Input'!M6</f>
        <v>0.17118675002498271</v>
      </c>
      <c r="F254" s="62">
        <f>'Parameter Input'!N6</f>
        <v>0.16876143864524187</v>
      </c>
      <c r="G254" s="62">
        <f>'Parameter Input'!O6</f>
        <v>0.16633612726550104</v>
      </c>
      <c r="H254" s="62">
        <f>'Parameter Input'!P6</f>
        <v>0.1639108158857602</v>
      </c>
      <c r="I254" s="62">
        <f>'Parameter Input'!Q6</f>
        <v>0.16148550450601945</v>
      </c>
      <c r="J254" s="62">
        <f>'Parameter Input'!R6</f>
        <v>0.1627875388918204</v>
      </c>
      <c r="K254" s="62">
        <f>'Parameter Input'!S6</f>
        <v>0.16408957327762139</v>
      </c>
      <c r="L254" s="62">
        <f>'Parameter Input'!T6</f>
        <v>0.16539160766342234</v>
      </c>
      <c r="M254" s="62">
        <f>'Parameter Input'!U6</f>
        <v>0.16669364204922332</v>
      </c>
      <c r="N254" s="62">
        <f>'Parameter Input'!V6</f>
        <v>0.16799567643502425</v>
      </c>
      <c r="O254" s="62">
        <f>'Parameter Input'!W6</f>
        <v>0.16487244686609676</v>
      </c>
      <c r="P254" s="62">
        <f>'Parameter Input'!X6</f>
        <v>0.16174921729716923</v>
      </c>
      <c r="Q254" s="62">
        <f>'Parameter Input'!Y6</f>
        <v>0.15862598772824177</v>
      </c>
      <c r="R254" s="62">
        <f>'Parameter Input'!Z6</f>
        <v>0.15550275815931427</v>
      </c>
      <c r="S254" s="62">
        <f>'Parameter Input'!AA6</f>
        <v>0.15237952859038681</v>
      </c>
      <c r="T254" s="62">
        <f>'Parameter Input'!AB6</f>
        <v>0.14950198735980291</v>
      </c>
      <c r="U254" s="62">
        <f>'Parameter Input'!AC6</f>
        <v>0.14662444612921899</v>
      </c>
      <c r="V254" s="62">
        <f>'Parameter Input'!AD6</f>
        <v>0.14374690489863506</v>
      </c>
      <c r="W254" s="62">
        <f>'Parameter Input'!AE6</f>
        <v>0.14086936366805117</v>
      </c>
      <c r="X254" s="62">
        <f>'Parameter Input'!AF6</f>
        <v>0.13799182243746722</v>
      </c>
      <c r="Y254" s="62">
        <f>'Parameter Input'!AG6</f>
        <v>0.1352562604095163</v>
      </c>
      <c r="Z254" s="62">
        <f>'Parameter Input'!AH6</f>
        <v>0.13252069838156535</v>
      </c>
      <c r="AA254" s="62">
        <f>'Parameter Input'!AI6</f>
        <v>0.12978513635361441</v>
      </c>
      <c r="AB254" s="62">
        <f>'Parameter Input'!AJ6</f>
        <v>0.12704957432566347</v>
      </c>
      <c r="AC254" s="62">
        <f>'Parameter Input'!AK6</f>
        <v>0.12431401229771254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12792731.127093505</v>
      </c>
      <c r="C271" s="62">
        <f t="shared" ref="C271:AC271" si="205">C253*C254*C261</f>
        <v>12528799.071394671</v>
      </c>
      <c r="D271" s="62">
        <f t="shared" si="205"/>
        <v>12264328.443126084</v>
      </c>
      <c r="E271" s="62">
        <f t="shared" si="205"/>
        <v>12090201.317092478</v>
      </c>
      <c r="F271" s="62">
        <f t="shared" si="205"/>
        <v>11914969.557116391</v>
      </c>
      <c r="G271" s="62">
        <f t="shared" si="205"/>
        <v>11738191.13747659</v>
      </c>
      <c r="H271" s="62">
        <f t="shared" si="205"/>
        <v>11559256.07838391</v>
      </c>
      <c r="I271" s="62">
        <f t="shared" si="205"/>
        <v>11377331.944128966</v>
      </c>
      <c r="J271" s="62">
        <f t="shared" si="205"/>
        <v>11453553.581434283</v>
      </c>
      <c r="K271" s="62">
        <f t="shared" si="205"/>
        <v>11523210.322214071</v>
      </c>
      <c r="L271" s="62">
        <f t="shared" si="205"/>
        <v>11583881.043995168</v>
      </c>
      <c r="M271" s="62">
        <f t="shared" si="205"/>
        <v>11632564.942604586</v>
      </c>
      <c r="N271" s="62">
        <f t="shared" si="205"/>
        <v>11665851.888828779</v>
      </c>
      <c r="O271" s="62">
        <f t="shared" si="205"/>
        <v>11375108.904027309</v>
      </c>
      <c r="P271" s="62">
        <f t="shared" si="205"/>
        <v>11068372.534087626</v>
      </c>
      <c r="Q271" s="62">
        <f t="shared" si="205"/>
        <v>10747264.374170177</v>
      </c>
      <c r="R271" s="62">
        <f t="shared" si="205"/>
        <v>10416617.981834527</v>
      </c>
      <c r="S271" s="62">
        <f t="shared" si="205"/>
        <v>10084256.473865278</v>
      </c>
      <c r="T271" s="62">
        <f t="shared" si="205"/>
        <v>9775381.3652431425</v>
      </c>
      <c r="U271" s="62">
        <f t="shared" si="205"/>
        <v>9481483.2522856221</v>
      </c>
      <c r="V271" s="62">
        <f t="shared" si="205"/>
        <v>9207301.1564124171</v>
      </c>
      <c r="W271" s="62">
        <f t="shared" si="205"/>
        <v>8953843.9818064012</v>
      </c>
      <c r="X271" s="62">
        <f t="shared" si="205"/>
        <v>8719261.1138731912</v>
      </c>
      <c r="Y271" s="62">
        <f t="shared" si="205"/>
        <v>8509172.0481915157</v>
      </c>
      <c r="Z271" s="62">
        <f t="shared" si="205"/>
        <v>8310987.8682103679</v>
      </c>
      <c r="AA271" s="62">
        <f t="shared" si="205"/>
        <v>8121523.1022612676</v>
      </c>
      <c r="AB271" s="62">
        <f t="shared" si="205"/>
        <v>7938228.0712644216</v>
      </c>
      <c r="AC271" s="62">
        <f t="shared" si="205"/>
        <v>7759195.6795032695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16735078.937799945</v>
      </c>
      <c r="C273" s="64">
        <f t="shared" ref="C273:AC273" si="207">C264+C265+C266+C267+C268+C269+C270+C271+C272</f>
        <v>16470232.656374577</v>
      </c>
      <c r="D273" s="64">
        <f t="shared" si="207"/>
        <v>16204453.334341194</v>
      </c>
      <c r="E273" s="64">
        <f t="shared" si="207"/>
        <v>16028454.02984559</v>
      </c>
      <c r="F273" s="64">
        <f t="shared" si="207"/>
        <v>15850546.513730615</v>
      </c>
      <c r="G273" s="64">
        <f t="shared" si="207"/>
        <v>15669949.211825743</v>
      </c>
      <c r="H273" s="64">
        <f t="shared" si="207"/>
        <v>15485575.12751323</v>
      </c>
      <c r="I273" s="64">
        <f t="shared" si="207"/>
        <v>15295928.357140113</v>
      </c>
      <c r="J273" s="64">
        <f t="shared" si="207"/>
        <v>15361234.790390344</v>
      </c>
      <c r="K273" s="64">
        <f t="shared" si="207"/>
        <v>15415566.781603383</v>
      </c>
      <c r="L273" s="64">
        <f t="shared" si="207"/>
        <v>15454930.538430342</v>
      </c>
      <c r="M273" s="64">
        <f t="shared" si="207"/>
        <v>15474403.385182781</v>
      </c>
      <c r="N273" s="64">
        <f t="shared" si="207"/>
        <v>15468433.807840962</v>
      </c>
      <c r="O273" s="64">
        <f t="shared" si="207"/>
        <v>15126374.962936105</v>
      </c>
      <c r="P273" s="64">
        <f t="shared" si="207"/>
        <v>14755014.940702325</v>
      </c>
      <c r="Q273" s="64">
        <f t="shared" si="207"/>
        <v>14356360.253054187</v>
      </c>
      <c r="R273" s="64">
        <f t="shared" si="207"/>
        <v>13938026.290200429</v>
      </c>
      <c r="S273" s="64">
        <f t="shared" si="207"/>
        <v>13513093.373808261</v>
      </c>
      <c r="T273" s="64">
        <f t="shared" si="207"/>
        <v>13113468.488931006</v>
      </c>
      <c r="U273" s="64">
        <f t="shared" si="207"/>
        <v>12736958.986695487</v>
      </c>
      <c r="V273" s="64">
        <f t="shared" si="207"/>
        <v>12392568.974024044</v>
      </c>
      <c r="W273" s="64">
        <f t="shared" si="207"/>
        <v>12082887.831588155</v>
      </c>
      <c r="X273" s="64">
        <f t="shared" si="207"/>
        <v>11805403.580802983</v>
      </c>
      <c r="Y273" s="64">
        <f t="shared" si="207"/>
        <v>11563778.558029238</v>
      </c>
      <c r="Z273" s="64">
        <f t="shared" si="207"/>
        <v>11343046.624947367</v>
      </c>
      <c r="AA273" s="64">
        <f t="shared" si="207"/>
        <v>11137779.213918956</v>
      </c>
      <c r="AB273" s="64">
        <f t="shared" si="207"/>
        <v>10943563.583865833</v>
      </c>
      <c r="AC273" s="64">
        <f t="shared" si="207"/>
        <v>10757057.681976143</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106.60609272577921</v>
      </c>
      <c r="C283" s="66">
        <f t="shared" ref="C283:AC283" si="216">C253*C254*C261/C261</f>
        <v>104.40665892828892</v>
      </c>
      <c r="D283" s="66">
        <f t="shared" si="216"/>
        <v>102.2027370260507</v>
      </c>
      <c r="E283" s="66">
        <f t="shared" si="216"/>
        <v>100.75167764243731</v>
      </c>
      <c r="F283" s="66">
        <f t="shared" si="216"/>
        <v>99.291412975969919</v>
      </c>
      <c r="G283" s="66">
        <f t="shared" si="216"/>
        <v>97.818259478971584</v>
      </c>
      <c r="H283" s="66">
        <f t="shared" si="216"/>
        <v>96.327133986532573</v>
      </c>
      <c r="I283" s="66">
        <f t="shared" si="216"/>
        <v>94.811099534408044</v>
      </c>
      <c r="J283" s="66">
        <f t="shared" si="216"/>
        <v>95.446279845285702</v>
      </c>
      <c r="K283" s="66">
        <f t="shared" si="216"/>
        <v>96.026752685117259</v>
      </c>
      <c r="L283" s="66">
        <f t="shared" si="216"/>
        <v>96.532342033293062</v>
      </c>
      <c r="M283" s="66">
        <f t="shared" si="216"/>
        <v>96.938041188371557</v>
      </c>
      <c r="N283" s="66">
        <f t="shared" si="216"/>
        <v>97.215432406906487</v>
      </c>
      <c r="O283" s="66">
        <f t="shared" si="216"/>
        <v>94.792574200227577</v>
      </c>
      <c r="P283" s="66">
        <f t="shared" si="216"/>
        <v>92.236437784063554</v>
      </c>
      <c r="Q283" s="66">
        <f t="shared" si="216"/>
        <v>89.560536451418145</v>
      </c>
      <c r="R283" s="66">
        <f t="shared" si="216"/>
        <v>86.805149848621056</v>
      </c>
      <c r="S283" s="66">
        <f t="shared" si="216"/>
        <v>84.035470615543986</v>
      </c>
      <c r="T283" s="66">
        <f t="shared" si="216"/>
        <v>81.461511377026184</v>
      </c>
      <c r="U283" s="66">
        <f t="shared" si="216"/>
        <v>79.012360435713518</v>
      </c>
      <c r="V283" s="66">
        <f t="shared" si="216"/>
        <v>76.727509636770137</v>
      </c>
      <c r="W283" s="66">
        <f t="shared" si="216"/>
        <v>74.615366515053339</v>
      </c>
      <c r="X283" s="66">
        <f t="shared" si="216"/>
        <v>72.660509282276593</v>
      </c>
      <c r="Y283" s="66">
        <f t="shared" si="216"/>
        <v>70.909767068262624</v>
      </c>
      <c r="Z283" s="66">
        <f t="shared" si="216"/>
        <v>69.258232235086396</v>
      </c>
      <c r="AA283" s="66">
        <f t="shared" si="216"/>
        <v>67.679359185510563</v>
      </c>
      <c r="AB283" s="66">
        <f t="shared" si="216"/>
        <v>66.151900593870181</v>
      </c>
      <c r="AC283" s="66">
        <f t="shared" si="216"/>
        <v>64.659963995860579</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139.58936901201997</v>
      </c>
      <c r="C285" s="76">
        <f t="shared" ref="C285:AC285" si="219">C276+C277+C278-C279+C280+C281+C282+C283+C284</f>
        <v>137.38231666680861</v>
      </c>
      <c r="D285" s="76">
        <f t="shared" si="219"/>
        <v>135.16748898319707</v>
      </c>
      <c r="E285" s="76">
        <f t="shared" si="219"/>
        <v>133.70082811240036</v>
      </c>
      <c r="F285" s="76">
        <f t="shared" si="219"/>
        <v>132.21826547810892</v>
      </c>
      <c r="G285" s="76">
        <f t="shared" si="219"/>
        <v>130.71328796223497</v>
      </c>
      <c r="H285" s="76">
        <f t="shared" si="219"/>
        <v>129.1768372596307</v>
      </c>
      <c r="I285" s="76">
        <f t="shared" si="219"/>
        <v>127.5964475065214</v>
      </c>
      <c r="J285" s="76">
        <f t="shared" si="219"/>
        <v>128.14066778360666</v>
      </c>
      <c r="K285" s="76">
        <f t="shared" si="219"/>
        <v>128.59343437704865</v>
      </c>
      <c r="L285" s="76">
        <f t="shared" si="219"/>
        <v>128.92146568393997</v>
      </c>
      <c r="M285" s="76">
        <f t="shared" si="219"/>
        <v>129.08373940687696</v>
      </c>
      <c r="N285" s="76">
        <f t="shared" si="219"/>
        <v>129.03399292902847</v>
      </c>
      <c r="O285" s="76">
        <f t="shared" si="219"/>
        <v>126.18350255482133</v>
      </c>
      <c r="P285" s="76">
        <f t="shared" si="219"/>
        <v>123.08883570287315</v>
      </c>
      <c r="Q285" s="76">
        <f t="shared" si="219"/>
        <v>119.76671330580535</v>
      </c>
      <c r="R285" s="76">
        <f t="shared" si="219"/>
        <v>116.28059694869069</v>
      </c>
      <c r="S285" s="76">
        <f t="shared" si="219"/>
        <v>112.73948931208929</v>
      </c>
      <c r="T285" s="76">
        <f t="shared" si="219"/>
        <v>109.40928193811217</v>
      </c>
      <c r="U285" s="76">
        <f t="shared" si="219"/>
        <v>106.27170275281618</v>
      </c>
      <c r="V285" s="76">
        <f t="shared" si="219"/>
        <v>103.40178598055415</v>
      </c>
      <c r="W285" s="76">
        <f t="shared" si="219"/>
        <v>100.82110979358841</v>
      </c>
      <c r="X285" s="76">
        <f t="shared" si="219"/>
        <v>98.508741037045311</v>
      </c>
      <c r="Y285" s="76">
        <f t="shared" si="219"/>
        <v>96.495199180597439</v>
      </c>
      <c r="Z285" s="76">
        <f t="shared" si="219"/>
        <v>94.65576640491517</v>
      </c>
      <c r="AA285" s="76">
        <f t="shared" si="219"/>
        <v>92.94520464634509</v>
      </c>
      <c r="AB285" s="76">
        <f t="shared" si="219"/>
        <v>91.326741062569056</v>
      </c>
      <c r="AC285" s="76">
        <f t="shared" si="219"/>
        <v>89.772525213488322</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1.1281068013309969E-2</v>
      </c>
      <c r="C295" s="66">
        <f t="shared" ref="C295:AC295" si="228">C253*C254*C261/C261/(C258)</f>
        <v>1.104832369611523E-2</v>
      </c>
      <c r="D295" s="66">
        <f t="shared" si="228"/>
        <v>1.0815104447201133E-2</v>
      </c>
      <c r="E295" s="66">
        <f t="shared" si="228"/>
        <v>1.0661553189675906E-2</v>
      </c>
      <c r="F295" s="66">
        <f t="shared" si="228"/>
        <v>1.0507027828144964E-2</v>
      </c>
      <c r="G295" s="66">
        <f t="shared" si="228"/>
        <v>1.0351138569203342E-2</v>
      </c>
      <c r="H295" s="66">
        <f t="shared" si="228"/>
        <v>1.0193347511802389E-2</v>
      </c>
      <c r="I295" s="66">
        <f t="shared" si="228"/>
        <v>1.0032920585651644E-2</v>
      </c>
      <c r="J295" s="66">
        <f t="shared" si="228"/>
        <v>1.0100135433363567E-2</v>
      </c>
      <c r="K295" s="66">
        <f t="shared" si="228"/>
        <v>1.0161561130700238E-2</v>
      </c>
      <c r="L295" s="66">
        <f t="shared" si="228"/>
        <v>1.0215062649025721E-2</v>
      </c>
      <c r="M295" s="66">
        <f t="shared" si="228"/>
        <v>1.0257993776547255E-2</v>
      </c>
      <c r="N295" s="66">
        <f t="shared" si="228"/>
        <v>1.0287347344646189E-2</v>
      </c>
      <c r="O295" s="66">
        <f t="shared" si="228"/>
        <v>1.0030960232828314E-2</v>
      </c>
      <c r="P295" s="66">
        <f t="shared" si="228"/>
        <v>9.7604696067792127E-3</v>
      </c>
      <c r="Q295" s="66">
        <f t="shared" si="228"/>
        <v>9.4773054445945124E-3</v>
      </c>
      <c r="R295" s="66">
        <f t="shared" si="228"/>
        <v>9.1857301427112226E-3</v>
      </c>
      <c r="S295" s="66">
        <f t="shared" si="228"/>
        <v>8.8926423931792575E-3</v>
      </c>
      <c r="T295" s="66">
        <f t="shared" si="228"/>
        <v>8.6202657541826645E-3</v>
      </c>
      <c r="U295" s="66">
        <f t="shared" si="228"/>
        <v>8.3610963424035466E-3</v>
      </c>
      <c r="V295" s="66">
        <f t="shared" si="228"/>
        <v>8.1193131890762056E-3</v>
      </c>
      <c r="W295" s="66">
        <f t="shared" si="228"/>
        <v>7.8958059804289243E-3</v>
      </c>
      <c r="X295" s="66">
        <f t="shared" si="228"/>
        <v>7.6889427811932904E-3</v>
      </c>
      <c r="Y295" s="66">
        <f t="shared" si="228"/>
        <v>7.5036790548426054E-3</v>
      </c>
      <c r="Z295" s="66">
        <f t="shared" si="228"/>
        <v>7.3289134640303066E-3</v>
      </c>
      <c r="AA295" s="66">
        <f t="shared" si="228"/>
        <v>7.1618369508476788E-3</v>
      </c>
      <c r="AB295" s="66">
        <f t="shared" si="228"/>
        <v>7.0002011210444637E-3</v>
      </c>
      <c r="AC295" s="66">
        <f t="shared" si="228"/>
        <v>6.8423242323661987E-3</v>
      </c>
    </row>
    <row r="296" spans="1:29" x14ac:dyDescent="0.25">
      <c r="A296" s="59" t="str">
        <f>A259</f>
        <v>Market failure (av. utilization)</v>
      </c>
      <c r="B296" s="66">
        <f t="shared" ref="B296:AC296" si="229">B285/B259-B285/B258</f>
        <v>1.3635103200197313E-2</v>
      </c>
      <c r="C296" s="66">
        <f t="shared" si="229"/>
        <v>1.3419518111531978E-2</v>
      </c>
      <c r="D296" s="66">
        <f t="shared" si="229"/>
        <v>1.3203173527052216E-2</v>
      </c>
      <c r="E296" s="66">
        <f t="shared" si="229"/>
        <v>1.3059909949929217E-2</v>
      </c>
      <c r="F296" s="66">
        <f t="shared" si="229"/>
        <v>1.2915093086994765E-2</v>
      </c>
      <c r="G296" s="66">
        <f t="shared" si="229"/>
        <v>1.2768086736237848E-2</v>
      </c>
      <c r="H296" s="66">
        <f t="shared" si="229"/>
        <v>1.2618006081526807E-2</v>
      </c>
      <c r="I296" s="66">
        <f t="shared" si="229"/>
        <v>1.2463633456070466E-2</v>
      </c>
      <c r="J296" s="66">
        <f t="shared" si="229"/>
        <v>1.2516792945895645E-2</v>
      </c>
      <c r="K296" s="66">
        <f t="shared" si="229"/>
        <v>1.2561019230969342E-2</v>
      </c>
      <c r="L296" s="66">
        <f t="shared" si="229"/>
        <v>1.2593061361068619E-2</v>
      </c>
      <c r="M296" s="66">
        <f t="shared" si="229"/>
        <v>1.2608912274176015E-2</v>
      </c>
      <c r="N296" s="66">
        <f t="shared" si="229"/>
        <v>1.2604053033360534E-2</v>
      </c>
      <c r="O296" s="66">
        <f t="shared" si="229"/>
        <v>1.2325616855171801E-2</v>
      </c>
      <c r="P296" s="66">
        <f t="shared" si="229"/>
        <v>1.2023329494786145E-2</v>
      </c>
      <c r="Q296" s="66">
        <f t="shared" si="229"/>
        <v>1.169882425453532E-2</v>
      </c>
      <c r="R296" s="66">
        <f t="shared" si="229"/>
        <v>1.1358300068248173E-2</v>
      </c>
      <c r="S296" s="66">
        <f t="shared" si="229"/>
        <v>1.1012404328409209E-2</v>
      </c>
      <c r="T296" s="66">
        <f t="shared" si="229"/>
        <v>1.0687109346824144E-2</v>
      </c>
      <c r="U296" s="66">
        <f t="shared" si="229"/>
        <v>1.0380630305525392E-2</v>
      </c>
      <c r="V296" s="66">
        <f t="shared" si="229"/>
        <v>1.0100296554877085E-2</v>
      </c>
      <c r="W296" s="66">
        <f t="shared" si="229"/>
        <v>9.8482158528535695E-3</v>
      </c>
      <c r="X296" s="66">
        <f t="shared" si="229"/>
        <v>9.6223434468420306E-3</v>
      </c>
      <c r="Y296" s="66">
        <f t="shared" si="229"/>
        <v>9.4256604816212401E-3</v>
      </c>
      <c r="Z296" s="66">
        <f t="shared" si="229"/>
        <v>9.2459845084166201E-3</v>
      </c>
      <c r="AA296" s="66">
        <f t="shared" si="229"/>
        <v>9.078896668751656E-3</v>
      </c>
      <c r="AB296" s="66">
        <f t="shared" si="229"/>
        <v>8.9208049877967325E-3</v>
      </c>
      <c r="AC296" s="66">
        <f t="shared" si="229"/>
        <v>8.7689890318425716E-3</v>
      </c>
    </row>
    <row r="297" spans="1:29" x14ac:dyDescent="0.25">
      <c r="A297" s="59" t="str">
        <f>A260</f>
        <v>Payload loss (fuel)</v>
      </c>
      <c r="B297" s="66">
        <f>B285/(B258-B260)-B285/B258</f>
        <v>1.284082962585361E-3</v>
      </c>
      <c r="C297" s="66">
        <f t="shared" ref="C297:AC297" si="230">C285/(C258-C260)-C285/C258</f>
        <v>1.2636170932335596E-3</v>
      </c>
      <c r="D297" s="66">
        <f t="shared" si="230"/>
        <v>1.2430156887153123E-3</v>
      </c>
      <c r="E297" s="66">
        <f t="shared" si="230"/>
        <v>1.2292028990673731E-3</v>
      </c>
      <c r="F297" s="66">
        <f t="shared" si="230"/>
        <v>1.2151130724520325E-3</v>
      </c>
      <c r="G297" s="66">
        <f t="shared" si="230"/>
        <v>1.200633560482306E-3</v>
      </c>
      <c r="H297" s="66">
        <f t="shared" si="230"/>
        <v>1.1856082713714144E-3</v>
      </c>
      <c r="I297" s="66">
        <f t="shared" si="230"/>
        <v>1.1698234330431156E-3</v>
      </c>
      <c r="J297" s="66">
        <f t="shared" si="230"/>
        <v>1.172996809239775E-3</v>
      </c>
      <c r="K297" s="66">
        <f t="shared" si="230"/>
        <v>1.1745833774396714E-3</v>
      </c>
      <c r="L297" s="66">
        <f t="shared" si="230"/>
        <v>1.174015430976609E-3</v>
      </c>
      <c r="M297" s="66">
        <f t="shared" si="230"/>
        <v>1.1706034032650803E-3</v>
      </c>
      <c r="N297" s="66">
        <f t="shared" si="230"/>
        <v>1.163588561366594E-3</v>
      </c>
      <c r="O297" s="66">
        <f t="shared" si="230"/>
        <v>1.1295017894501543E-3</v>
      </c>
      <c r="P297" s="66">
        <f t="shared" si="230"/>
        <v>1.0915173078276542E-3</v>
      </c>
      <c r="Q297" s="66">
        <f t="shared" si="230"/>
        <v>1.0500702424566331E-3</v>
      </c>
      <c r="R297" s="66">
        <f t="shared" si="230"/>
        <v>1.0063692139444611E-3</v>
      </c>
      <c r="S297" s="66">
        <f t="shared" si="230"/>
        <v>9.6230398662464599E-4</v>
      </c>
      <c r="T297" s="66">
        <f t="shared" si="230"/>
        <v>9.211392464031614E-4</v>
      </c>
      <c r="U297" s="66">
        <f t="shared" si="230"/>
        <v>8.8348095001078257E-4</v>
      </c>
      <c r="V297" s="66">
        <f t="shared" si="230"/>
        <v>8.5034165457721807E-4</v>
      </c>
      <c r="W297" s="66">
        <f t="shared" si="230"/>
        <v>8.2188277602811798E-4</v>
      </c>
      <c r="X297" s="66">
        <f t="shared" si="230"/>
        <v>7.9764362997791598E-4</v>
      </c>
      <c r="Y297" s="66">
        <f t="shared" si="230"/>
        <v>7.7746248492457232E-4</v>
      </c>
      <c r="Z297" s="66">
        <f t="shared" si="230"/>
        <v>7.5992456370496501E-4</v>
      </c>
      <c r="AA297" s="66">
        <f t="shared" si="230"/>
        <v>7.4432225254313783E-4</v>
      </c>
      <c r="AB297" s="66">
        <f t="shared" si="230"/>
        <v>7.3009229398569853E-4</v>
      </c>
      <c r="AC297" s="66">
        <f t="shared" si="230"/>
        <v>7.1681395580462486E-4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2.9676751363664457E-2</v>
      </c>
      <c r="C299" s="67">
        <f t="shared" ref="C299:AC299" si="232">C288+C289+C290+C291+C292+C293+C294+C295+C296+C297+C298</f>
        <v>2.920714989292654E-2</v>
      </c>
      <c r="D299" s="67">
        <f t="shared" si="232"/>
        <v>2.873583060407546E-2</v>
      </c>
      <c r="E299" s="67">
        <f t="shared" si="232"/>
        <v>2.8423552028754601E-2</v>
      </c>
      <c r="F299" s="67">
        <f t="shared" si="232"/>
        <v>2.8107760404359153E-2</v>
      </c>
      <c r="G299" s="67">
        <f t="shared" si="232"/>
        <v>2.7787017661645853E-2</v>
      </c>
      <c r="H299" s="67">
        <f t="shared" si="232"/>
        <v>2.7459324341886956E-2</v>
      </c>
      <c r="I299" s="67">
        <f t="shared" si="232"/>
        <v>2.712192986719128E-2</v>
      </c>
      <c r="J299" s="67">
        <f t="shared" si="232"/>
        <v>2.7235852180523733E-2</v>
      </c>
      <c r="K299" s="67">
        <f t="shared" si="232"/>
        <v>2.7329576842627164E-2</v>
      </c>
      <c r="L299" s="67">
        <f t="shared" si="232"/>
        <v>2.7395763333870924E-2</v>
      </c>
      <c r="M299" s="67">
        <f t="shared" si="232"/>
        <v>2.7425374041799809E-2</v>
      </c>
      <c r="N299" s="67">
        <f t="shared" si="232"/>
        <v>2.7408235781535735E-2</v>
      </c>
      <c r="O299" s="67">
        <f t="shared" si="232"/>
        <v>2.6794073638392771E-2</v>
      </c>
      <c r="P299" s="67">
        <f t="shared" si="232"/>
        <v>2.6126323822633489E-2</v>
      </c>
      <c r="Q299" s="67">
        <f t="shared" si="232"/>
        <v>2.5408824173406577E-2</v>
      </c>
      <c r="R299" s="67">
        <f t="shared" si="232"/>
        <v>2.4655697756796185E-2</v>
      </c>
      <c r="S299" s="67">
        <f t="shared" si="232"/>
        <v>2.3891016404811866E-2</v>
      </c>
      <c r="T299" s="67">
        <f t="shared" si="232"/>
        <v>2.317215378628816E-2</v>
      </c>
      <c r="U299" s="67">
        <f t="shared" si="232"/>
        <v>2.2495997487190042E-2</v>
      </c>
      <c r="V299" s="67">
        <f t="shared" si="232"/>
        <v>2.1878829544572508E-2</v>
      </c>
      <c r="W299" s="67">
        <f t="shared" si="232"/>
        <v>2.1325202536807752E-2</v>
      </c>
      <c r="X299" s="67">
        <f t="shared" si="232"/>
        <v>2.0830395878233515E-2</v>
      </c>
      <c r="Y299" s="67">
        <f t="shared" si="232"/>
        <v>2.0400458555636852E-2</v>
      </c>
      <c r="Z299" s="67">
        <f t="shared" si="232"/>
        <v>2.0008595690240959E-2</v>
      </c>
      <c r="AA299" s="67">
        <f t="shared" si="232"/>
        <v>1.9644893713110449E-2</v>
      </c>
      <c r="AB299" s="67">
        <f t="shared" si="232"/>
        <v>1.9301306085896919E-2</v>
      </c>
      <c r="AC299" s="67">
        <f t="shared" si="232"/>
        <v>1.897174450614468E-2</v>
      </c>
    </row>
    <row r="301" spans="1:29" x14ac:dyDescent="0.25">
      <c r="B301" s="40"/>
    </row>
    <row r="324" spans="1:44" s="3" customFormat="1" ht="21" x14ac:dyDescent="0.35">
      <c r="A324" s="2" t="str">
        <f>'Parameter Input'!A248</f>
        <v>Short-sea:  Neo bulk</v>
      </c>
    </row>
    <row r="325" spans="1:44" s="3" customFormat="1" ht="21" x14ac:dyDescent="0.35">
      <c r="A325" s="2" t="s">
        <v>97</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Input'!$L$249</f>
        <v>30000000</v>
      </c>
      <c r="C334" s="42">
        <f>'Parameter Input'!$M$249</f>
        <v>18000000</v>
      </c>
      <c r="D334" s="1" t="s">
        <v>138</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Input'!$L$250</f>
        <v>-1500000</v>
      </c>
      <c r="C335" s="61">
        <f>'Parameter Input'!$M$250</f>
        <v>-1800000</v>
      </c>
      <c r="D335" s="1" t="s">
        <v>138</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Input'!$L$256</f>
        <v>0.06</v>
      </c>
      <c r="C338" s="91">
        <f>'Parameter Input'!$M$256</f>
        <v>0.06</v>
      </c>
      <c r="D338" s="1" t="s">
        <v>180</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Input'!$L$252</f>
        <v>338823.5294117647</v>
      </c>
      <c r="C340" s="61">
        <f>'Parameter Input'!$M$252</f>
        <v>338823.5294117647</v>
      </c>
      <c r="D340" s="1" t="s">
        <v>161</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Input'!$L$253</f>
        <v>589</v>
      </c>
      <c r="C342" s="61">
        <f>'Parameter Input'!$M$253</f>
        <v>519</v>
      </c>
      <c r="D342" s="1" t="s">
        <v>184</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Input'!$L$254</f>
        <v>0.23976160758395154</v>
      </c>
      <c r="C343" s="61">
        <f>'Parameter Input'!$M$254</f>
        <v>0.11428118371505049</v>
      </c>
      <c r="D343" s="1" t="s">
        <v>94</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458</v>
      </c>
      <c r="B344" s="115">
        <f>'Parameter Input'!$L$257</f>
        <v>0</v>
      </c>
      <c r="C344" s="116">
        <f>'Parameter Input'!$M$257</f>
        <v>0</v>
      </c>
      <c r="D344" s="1" t="s">
        <v>200</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Input'!$L$251</f>
        <v>25</v>
      </c>
      <c r="C345" s="61">
        <f>'Parameter Input'!$M$251</f>
        <v>25</v>
      </c>
      <c r="D345" s="1" t="s">
        <v>165</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Input'!$L$255</f>
        <v>0.08</v>
      </c>
      <c r="C349" s="46">
        <f>'Parameter Input'!$M$255</f>
        <v>7.0000000000000007E-2</v>
      </c>
      <c r="D349" s="1" t="s">
        <v>180</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0.18104231880665794</v>
      </c>
      <c r="C363" s="62">
        <f>'Parameter Input'!K6</f>
        <v>0.17732719010569079</v>
      </c>
      <c r="D363" s="62">
        <f>'Parameter Input'!L6</f>
        <v>0.17361206140472354</v>
      </c>
      <c r="E363" s="62">
        <f>'Parameter Input'!M6</f>
        <v>0.17118675002498271</v>
      </c>
      <c r="F363" s="62">
        <f>'Parameter Input'!N6</f>
        <v>0.16876143864524187</v>
      </c>
      <c r="G363" s="62">
        <f>'Parameter Input'!O6</f>
        <v>0.16633612726550104</v>
      </c>
      <c r="H363" s="62">
        <f>'Parameter Input'!P6</f>
        <v>0.1639108158857602</v>
      </c>
      <c r="I363" s="62">
        <f>'Parameter Input'!Q6</f>
        <v>0.16148550450601945</v>
      </c>
      <c r="J363" s="62">
        <f>'Parameter Input'!R6</f>
        <v>0.1627875388918204</v>
      </c>
      <c r="K363" s="62">
        <f>'Parameter Input'!S6</f>
        <v>0.16408957327762139</v>
      </c>
      <c r="L363" s="62">
        <f>'Parameter Input'!T6</f>
        <v>0.16539160766342234</v>
      </c>
      <c r="M363" s="62">
        <f>'Parameter Input'!U6</f>
        <v>0.16669364204922332</v>
      </c>
      <c r="N363" s="62">
        <f>'Parameter Input'!V6</f>
        <v>0.16799567643502425</v>
      </c>
      <c r="O363" s="62">
        <f>'Parameter Input'!W6</f>
        <v>0.16487244686609676</v>
      </c>
      <c r="P363" s="62">
        <f>'Parameter Input'!X6</f>
        <v>0.16174921729716923</v>
      </c>
      <c r="Q363" s="62">
        <f>'Parameter Input'!Y6</f>
        <v>0.15862598772824177</v>
      </c>
      <c r="R363" s="62">
        <f>'Parameter Input'!Z6</f>
        <v>0.15550275815931427</v>
      </c>
      <c r="S363" s="62">
        <f>'Parameter Input'!AA6</f>
        <v>0.15237952859038681</v>
      </c>
      <c r="T363" s="62">
        <f>'Parameter Input'!AB6</f>
        <v>0.14950198735980291</v>
      </c>
      <c r="U363" s="62">
        <f>'Parameter Input'!AC6</f>
        <v>0.14662444612921899</v>
      </c>
      <c r="V363" s="62">
        <f>'Parameter Input'!AD6</f>
        <v>0.14374690489863506</v>
      </c>
      <c r="W363" s="62">
        <f>'Parameter Input'!AE6</f>
        <v>0.14086936366805117</v>
      </c>
      <c r="X363" s="62">
        <f>'Parameter Input'!AF6</f>
        <v>0.13799182243746722</v>
      </c>
      <c r="Y363" s="62">
        <f>'Parameter Input'!AG6</f>
        <v>0.1352562604095163</v>
      </c>
      <c r="Z363" s="62">
        <f>'Parameter Input'!AH6</f>
        <v>0.13252069838156535</v>
      </c>
      <c r="AA363" s="62">
        <f>'Parameter Input'!AI6</f>
        <v>0.12978513635361441</v>
      </c>
      <c r="AB363" s="62">
        <f>'Parameter Input'!AJ6</f>
        <v>0.12704957432566347</v>
      </c>
      <c r="AC363" s="62">
        <f>'Parameter Input'!AK6</f>
        <v>0.12431401229771254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12792731.127093505</v>
      </c>
      <c r="C380" s="62">
        <f t="shared" ref="C380:AC380" si="283">C362*C363*C370</f>
        <v>12528799.071394671</v>
      </c>
      <c r="D380" s="62">
        <f t="shared" si="283"/>
        <v>12264328.443126084</v>
      </c>
      <c r="E380" s="62">
        <f t="shared" si="283"/>
        <v>12090201.317092478</v>
      </c>
      <c r="F380" s="62">
        <f t="shared" si="283"/>
        <v>11914969.557116391</v>
      </c>
      <c r="G380" s="62">
        <f t="shared" si="283"/>
        <v>11738191.13747659</v>
      </c>
      <c r="H380" s="62">
        <f t="shared" si="283"/>
        <v>11559256.07838391</v>
      </c>
      <c r="I380" s="62">
        <f t="shared" si="283"/>
        <v>11377331.944128966</v>
      </c>
      <c r="J380" s="62">
        <f t="shared" si="283"/>
        <v>11453553.581434283</v>
      </c>
      <c r="K380" s="62">
        <f t="shared" si="283"/>
        <v>11523210.322214071</v>
      </c>
      <c r="L380" s="62">
        <f t="shared" si="283"/>
        <v>11583881.043995168</v>
      </c>
      <c r="M380" s="62">
        <f t="shared" si="283"/>
        <v>11632564.942604586</v>
      </c>
      <c r="N380" s="62">
        <f t="shared" si="283"/>
        <v>11665851.888828779</v>
      </c>
      <c r="O380" s="62">
        <f t="shared" si="283"/>
        <v>11375108.904027309</v>
      </c>
      <c r="P380" s="62">
        <f t="shared" si="283"/>
        <v>11068372.534087626</v>
      </c>
      <c r="Q380" s="62">
        <f t="shared" si="283"/>
        <v>10747264.374170177</v>
      </c>
      <c r="R380" s="62">
        <f t="shared" si="283"/>
        <v>10416617.981834527</v>
      </c>
      <c r="S380" s="62">
        <f t="shared" si="283"/>
        <v>10084256.473865278</v>
      </c>
      <c r="T380" s="62">
        <f t="shared" si="283"/>
        <v>9775381.3652431425</v>
      </c>
      <c r="U380" s="62">
        <f t="shared" si="283"/>
        <v>9481483.2522856221</v>
      </c>
      <c r="V380" s="62">
        <f t="shared" si="283"/>
        <v>9207301.1564124171</v>
      </c>
      <c r="W380" s="62">
        <f t="shared" si="283"/>
        <v>8953843.9818064012</v>
      </c>
      <c r="X380" s="62">
        <f t="shared" si="283"/>
        <v>8719261.1138731912</v>
      </c>
      <c r="Y380" s="62">
        <f t="shared" si="283"/>
        <v>8509172.0481915157</v>
      </c>
      <c r="Z380" s="62">
        <f t="shared" si="283"/>
        <v>8310987.8682103679</v>
      </c>
      <c r="AA380" s="62">
        <f t="shared" si="283"/>
        <v>8121523.1022612676</v>
      </c>
      <c r="AB380" s="62">
        <f t="shared" si="283"/>
        <v>7938228.0712644216</v>
      </c>
      <c r="AC380" s="62">
        <f t="shared" si="283"/>
        <v>7759195.6795032695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16735078.937799945</v>
      </c>
      <c r="C382" s="64">
        <f t="shared" ref="C382:AC382" si="285">C373+C374+C375+C376+C377+C378+C379+C380+C381</f>
        <v>16470232.656374577</v>
      </c>
      <c r="D382" s="64">
        <f t="shared" si="285"/>
        <v>16204453.334341194</v>
      </c>
      <c r="E382" s="64">
        <f t="shared" si="285"/>
        <v>16028454.02984559</v>
      </c>
      <c r="F382" s="64">
        <f t="shared" si="285"/>
        <v>15850546.513730615</v>
      </c>
      <c r="G382" s="64">
        <f t="shared" si="285"/>
        <v>15669949.211825743</v>
      </c>
      <c r="H382" s="64">
        <f t="shared" si="285"/>
        <v>15485575.12751323</v>
      </c>
      <c r="I382" s="64">
        <f t="shared" si="285"/>
        <v>15295928.357140113</v>
      </c>
      <c r="J382" s="64">
        <f t="shared" si="285"/>
        <v>15361234.790390344</v>
      </c>
      <c r="K382" s="64">
        <f t="shared" si="285"/>
        <v>15415566.781603383</v>
      </c>
      <c r="L382" s="64">
        <f t="shared" si="285"/>
        <v>15454930.538430342</v>
      </c>
      <c r="M382" s="64">
        <f t="shared" si="285"/>
        <v>15474403.385182781</v>
      </c>
      <c r="N382" s="64">
        <f t="shared" si="285"/>
        <v>15468433.807840962</v>
      </c>
      <c r="O382" s="64">
        <f t="shared" si="285"/>
        <v>15126374.962936105</v>
      </c>
      <c r="P382" s="64">
        <f t="shared" si="285"/>
        <v>14755014.940702325</v>
      </c>
      <c r="Q382" s="64">
        <f t="shared" si="285"/>
        <v>14356360.253054187</v>
      </c>
      <c r="R382" s="64">
        <f t="shared" si="285"/>
        <v>13938026.290200429</v>
      </c>
      <c r="S382" s="64">
        <f t="shared" si="285"/>
        <v>13513093.373808261</v>
      </c>
      <c r="T382" s="64">
        <f t="shared" si="285"/>
        <v>13113468.488931006</v>
      </c>
      <c r="U382" s="64">
        <f t="shared" si="285"/>
        <v>12736958.986695487</v>
      </c>
      <c r="V382" s="64">
        <f t="shared" si="285"/>
        <v>12392568.974024044</v>
      </c>
      <c r="W382" s="64">
        <f t="shared" si="285"/>
        <v>12082887.831588155</v>
      </c>
      <c r="X382" s="64">
        <f t="shared" si="285"/>
        <v>11805403.580802983</v>
      </c>
      <c r="Y382" s="64">
        <f t="shared" si="285"/>
        <v>11563778.558029238</v>
      </c>
      <c r="Z382" s="64">
        <f t="shared" si="285"/>
        <v>11343046.624947367</v>
      </c>
      <c r="AA382" s="64">
        <f t="shared" si="285"/>
        <v>11137779.213918956</v>
      </c>
      <c r="AB382" s="64">
        <f t="shared" si="285"/>
        <v>10943563.583865833</v>
      </c>
      <c r="AC382" s="64">
        <f t="shared" si="285"/>
        <v>10757057.681976143</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106.60609272577921</v>
      </c>
      <c r="C392" s="66">
        <f t="shared" ref="C392:AC392" si="294">C362*C363*C370/C370</f>
        <v>104.40665892828892</v>
      </c>
      <c r="D392" s="66">
        <f t="shared" si="294"/>
        <v>102.2027370260507</v>
      </c>
      <c r="E392" s="66">
        <f t="shared" si="294"/>
        <v>100.75167764243731</v>
      </c>
      <c r="F392" s="66">
        <f t="shared" si="294"/>
        <v>99.291412975969919</v>
      </c>
      <c r="G392" s="66">
        <f t="shared" si="294"/>
        <v>97.818259478971584</v>
      </c>
      <c r="H392" s="66">
        <f t="shared" si="294"/>
        <v>96.327133986532573</v>
      </c>
      <c r="I392" s="66">
        <f t="shared" si="294"/>
        <v>94.811099534408044</v>
      </c>
      <c r="J392" s="66">
        <f t="shared" si="294"/>
        <v>95.446279845285702</v>
      </c>
      <c r="K392" s="66">
        <f t="shared" si="294"/>
        <v>96.026752685117259</v>
      </c>
      <c r="L392" s="66">
        <f t="shared" si="294"/>
        <v>96.532342033293062</v>
      </c>
      <c r="M392" s="66">
        <f t="shared" si="294"/>
        <v>96.938041188371557</v>
      </c>
      <c r="N392" s="66">
        <f t="shared" si="294"/>
        <v>97.215432406906487</v>
      </c>
      <c r="O392" s="66">
        <f t="shared" si="294"/>
        <v>94.792574200227577</v>
      </c>
      <c r="P392" s="66">
        <f t="shared" si="294"/>
        <v>92.236437784063554</v>
      </c>
      <c r="Q392" s="66">
        <f t="shared" si="294"/>
        <v>89.560536451418145</v>
      </c>
      <c r="R392" s="66">
        <f t="shared" si="294"/>
        <v>86.805149848621056</v>
      </c>
      <c r="S392" s="66">
        <f t="shared" si="294"/>
        <v>84.035470615543986</v>
      </c>
      <c r="T392" s="66">
        <f t="shared" si="294"/>
        <v>81.461511377026184</v>
      </c>
      <c r="U392" s="66">
        <f t="shared" si="294"/>
        <v>79.012360435713518</v>
      </c>
      <c r="V392" s="66">
        <f t="shared" si="294"/>
        <v>76.727509636770137</v>
      </c>
      <c r="W392" s="66">
        <f t="shared" si="294"/>
        <v>74.615366515053339</v>
      </c>
      <c r="X392" s="66">
        <f t="shared" si="294"/>
        <v>72.660509282276593</v>
      </c>
      <c r="Y392" s="66">
        <f t="shared" si="294"/>
        <v>70.909767068262624</v>
      </c>
      <c r="Z392" s="66">
        <f t="shared" si="294"/>
        <v>69.258232235086396</v>
      </c>
      <c r="AA392" s="66">
        <f t="shared" si="294"/>
        <v>67.679359185510563</v>
      </c>
      <c r="AB392" s="66">
        <f t="shared" si="294"/>
        <v>66.151900593870181</v>
      </c>
      <c r="AC392" s="66">
        <f t="shared" si="294"/>
        <v>64.659963995860579</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139.58936901201997</v>
      </c>
      <c r="C394" s="76">
        <f t="shared" ref="C394:AC394" si="297">C385+C386+C387-C388+C389+C390+C391+C392+C393</f>
        <v>137.38231666680861</v>
      </c>
      <c r="D394" s="76">
        <f t="shared" si="297"/>
        <v>135.16748898319707</v>
      </c>
      <c r="E394" s="76">
        <f t="shared" si="297"/>
        <v>133.70082811240036</v>
      </c>
      <c r="F394" s="76">
        <f t="shared" si="297"/>
        <v>132.21826547810892</v>
      </c>
      <c r="G394" s="76">
        <f t="shared" si="297"/>
        <v>130.71328796223497</v>
      </c>
      <c r="H394" s="76">
        <f t="shared" si="297"/>
        <v>129.1768372596307</v>
      </c>
      <c r="I394" s="76">
        <f t="shared" si="297"/>
        <v>127.5964475065214</v>
      </c>
      <c r="J394" s="76">
        <f t="shared" si="297"/>
        <v>128.14066778360666</v>
      </c>
      <c r="K394" s="76">
        <f t="shared" si="297"/>
        <v>128.59343437704865</v>
      </c>
      <c r="L394" s="76">
        <f t="shared" si="297"/>
        <v>128.92146568393997</v>
      </c>
      <c r="M394" s="76">
        <f t="shared" si="297"/>
        <v>129.08373940687696</v>
      </c>
      <c r="N394" s="76">
        <f t="shared" si="297"/>
        <v>129.03399292902847</v>
      </c>
      <c r="O394" s="76">
        <f t="shared" si="297"/>
        <v>126.18350255482133</v>
      </c>
      <c r="P394" s="76">
        <f t="shared" si="297"/>
        <v>123.08883570287315</v>
      </c>
      <c r="Q394" s="76">
        <f t="shared" si="297"/>
        <v>119.76671330580535</v>
      </c>
      <c r="R394" s="76">
        <f t="shared" si="297"/>
        <v>116.28059694869069</v>
      </c>
      <c r="S394" s="76">
        <f t="shared" si="297"/>
        <v>112.73948931208929</v>
      </c>
      <c r="T394" s="76">
        <f t="shared" si="297"/>
        <v>109.40928193811217</v>
      </c>
      <c r="U394" s="76">
        <f t="shared" si="297"/>
        <v>106.27170275281618</v>
      </c>
      <c r="V394" s="76">
        <f t="shared" si="297"/>
        <v>103.40178598055415</v>
      </c>
      <c r="W394" s="76">
        <f t="shared" si="297"/>
        <v>100.82110979358841</v>
      </c>
      <c r="X394" s="76">
        <f t="shared" si="297"/>
        <v>98.508741037045311</v>
      </c>
      <c r="Y394" s="76">
        <f t="shared" si="297"/>
        <v>96.495199180597439</v>
      </c>
      <c r="Z394" s="76">
        <f t="shared" si="297"/>
        <v>94.65576640491517</v>
      </c>
      <c r="AA394" s="76">
        <f t="shared" si="297"/>
        <v>92.94520464634509</v>
      </c>
      <c r="AB394" s="76">
        <f t="shared" si="297"/>
        <v>91.326741062569056</v>
      </c>
      <c r="AC394" s="76">
        <f t="shared" si="297"/>
        <v>89.772525213488322</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1.1281068013309969E-2</v>
      </c>
      <c r="C404" s="66">
        <f t="shared" ref="C404:AC404" si="306">C362*C363*C370/C370/(C367)</f>
        <v>1.104832369611523E-2</v>
      </c>
      <c r="D404" s="66">
        <f t="shared" si="306"/>
        <v>1.0815104447201133E-2</v>
      </c>
      <c r="E404" s="66">
        <f t="shared" si="306"/>
        <v>1.0661553189675906E-2</v>
      </c>
      <c r="F404" s="66">
        <f t="shared" si="306"/>
        <v>1.0507027828144964E-2</v>
      </c>
      <c r="G404" s="66">
        <f t="shared" si="306"/>
        <v>1.0351138569203342E-2</v>
      </c>
      <c r="H404" s="66">
        <f t="shared" si="306"/>
        <v>1.0193347511802389E-2</v>
      </c>
      <c r="I404" s="66">
        <f t="shared" si="306"/>
        <v>1.0032920585651644E-2</v>
      </c>
      <c r="J404" s="66">
        <f t="shared" si="306"/>
        <v>1.0100135433363567E-2</v>
      </c>
      <c r="K404" s="66">
        <f t="shared" si="306"/>
        <v>1.0161561130700238E-2</v>
      </c>
      <c r="L404" s="66">
        <f t="shared" si="306"/>
        <v>1.0215062649025721E-2</v>
      </c>
      <c r="M404" s="66">
        <f t="shared" si="306"/>
        <v>1.0257993776547255E-2</v>
      </c>
      <c r="N404" s="66">
        <f t="shared" si="306"/>
        <v>1.0287347344646189E-2</v>
      </c>
      <c r="O404" s="66">
        <f t="shared" si="306"/>
        <v>1.0030960232828314E-2</v>
      </c>
      <c r="P404" s="66">
        <f t="shared" si="306"/>
        <v>9.7604696067792127E-3</v>
      </c>
      <c r="Q404" s="66">
        <f t="shared" si="306"/>
        <v>9.4773054445945124E-3</v>
      </c>
      <c r="R404" s="66">
        <f t="shared" si="306"/>
        <v>9.1857301427112226E-3</v>
      </c>
      <c r="S404" s="66">
        <f t="shared" si="306"/>
        <v>8.8926423931792575E-3</v>
      </c>
      <c r="T404" s="66">
        <f t="shared" si="306"/>
        <v>8.6202657541826645E-3</v>
      </c>
      <c r="U404" s="66">
        <f t="shared" si="306"/>
        <v>8.3610963424035466E-3</v>
      </c>
      <c r="V404" s="66">
        <f t="shared" si="306"/>
        <v>8.1193131890762056E-3</v>
      </c>
      <c r="W404" s="66">
        <f t="shared" si="306"/>
        <v>7.8958059804289243E-3</v>
      </c>
      <c r="X404" s="66">
        <f t="shared" si="306"/>
        <v>7.6889427811932904E-3</v>
      </c>
      <c r="Y404" s="66">
        <f t="shared" si="306"/>
        <v>7.5036790548426054E-3</v>
      </c>
      <c r="Z404" s="66">
        <f t="shared" si="306"/>
        <v>7.3289134640303066E-3</v>
      </c>
      <c r="AA404" s="66">
        <f t="shared" si="306"/>
        <v>7.1618369508476788E-3</v>
      </c>
      <c r="AB404" s="66">
        <f t="shared" si="306"/>
        <v>7.0002011210444637E-3</v>
      </c>
      <c r="AC404" s="66">
        <f t="shared" si="306"/>
        <v>6.8423242323661987E-3</v>
      </c>
    </row>
    <row r="405" spans="1:29" x14ac:dyDescent="0.25">
      <c r="A405" s="59" t="str">
        <f>A368</f>
        <v>Market failure (av. utilization)</v>
      </c>
      <c r="B405" s="66">
        <f t="shared" ref="B405:AC405" si="307">B394/B368-B394/B367</f>
        <v>6.9512290824535299E-3</v>
      </c>
      <c r="C405" s="66">
        <f t="shared" si="307"/>
        <v>6.8413229588202198E-3</v>
      </c>
      <c r="D405" s="66">
        <f t="shared" si="307"/>
        <v>6.7310296412423018E-3</v>
      </c>
      <c r="E405" s="66">
        <f t="shared" si="307"/>
        <v>6.6579933078070482E-3</v>
      </c>
      <c r="F405" s="66">
        <f t="shared" si="307"/>
        <v>6.5841651031737988E-3</v>
      </c>
      <c r="G405" s="66">
        <f t="shared" si="307"/>
        <v>6.50922068906243E-3</v>
      </c>
      <c r="H405" s="66">
        <f t="shared" si="307"/>
        <v>6.4327089827391527E-3</v>
      </c>
      <c r="I405" s="66">
        <f t="shared" si="307"/>
        <v>6.3540092128986665E-3</v>
      </c>
      <c r="J405" s="66">
        <f t="shared" si="307"/>
        <v>6.3811101292801306E-3</v>
      </c>
      <c r="K405" s="66">
        <f t="shared" si="307"/>
        <v>6.4036568628471156E-3</v>
      </c>
      <c r="L405" s="66">
        <f t="shared" si="307"/>
        <v>6.419992066427134E-3</v>
      </c>
      <c r="M405" s="66">
        <f t="shared" si="307"/>
        <v>6.4280729240897318E-3</v>
      </c>
      <c r="N405" s="66">
        <f t="shared" si="307"/>
        <v>6.425595664066152E-3</v>
      </c>
      <c r="O405" s="66">
        <f t="shared" si="307"/>
        <v>6.2836478085189548E-3</v>
      </c>
      <c r="P405" s="66">
        <f t="shared" si="307"/>
        <v>6.1295405267537163E-3</v>
      </c>
      <c r="Q405" s="66">
        <f t="shared" si="307"/>
        <v>5.9641064827042796E-3</v>
      </c>
      <c r="R405" s="66">
        <f t="shared" si="307"/>
        <v>5.7905059171461243E-3</v>
      </c>
      <c r="S405" s="66">
        <f t="shared" si="307"/>
        <v>5.6141669125223392E-3</v>
      </c>
      <c r="T405" s="66">
        <f t="shared" si="307"/>
        <v>5.4483302552436799E-3</v>
      </c>
      <c r="U405" s="66">
        <f t="shared" si="307"/>
        <v>5.292086038110981E-3</v>
      </c>
      <c r="V405" s="66">
        <f t="shared" si="307"/>
        <v>5.1491707926824334E-3</v>
      </c>
      <c r="W405" s="66">
        <f t="shared" si="307"/>
        <v>5.0206590622390718E-3</v>
      </c>
      <c r="X405" s="66">
        <f t="shared" si="307"/>
        <v>4.9055084238802497E-3</v>
      </c>
      <c r="Y405" s="66">
        <f t="shared" si="307"/>
        <v>4.8052386769049434E-3</v>
      </c>
      <c r="Z405" s="66">
        <f t="shared" si="307"/>
        <v>4.71363916115357E-3</v>
      </c>
      <c r="AA405" s="66">
        <f t="shared" si="307"/>
        <v>4.6284571252459411E-3</v>
      </c>
      <c r="AB405" s="66">
        <f t="shared" si="307"/>
        <v>4.5478613663277444E-3</v>
      </c>
      <c r="AC405" s="66">
        <f t="shared" si="307"/>
        <v>4.4704649966256227E-3</v>
      </c>
    </row>
    <row r="406" spans="1:29" x14ac:dyDescent="0.25">
      <c r="A406" s="59" t="str">
        <f>A369</f>
        <v>Payload loss (fuel)</v>
      </c>
      <c r="B406" s="66">
        <f>B394/(B367-B369)-B394/B367</f>
        <v>1.284082962585361E-3</v>
      </c>
      <c r="C406" s="66">
        <f t="shared" ref="C406:AC406" si="308">C394/(C367-C369)-C394/C367</f>
        <v>1.2636170932335596E-3</v>
      </c>
      <c r="D406" s="66">
        <f t="shared" si="308"/>
        <v>1.2430156887153123E-3</v>
      </c>
      <c r="E406" s="66">
        <f t="shared" si="308"/>
        <v>1.2292028990673731E-3</v>
      </c>
      <c r="F406" s="66">
        <f t="shared" si="308"/>
        <v>1.2151130724520325E-3</v>
      </c>
      <c r="G406" s="66">
        <f t="shared" si="308"/>
        <v>1.200633560482306E-3</v>
      </c>
      <c r="H406" s="66">
        <f t="shared" si="308"/>
        <v>1.1856082713714144E-3</v>
      </c>
      <c r="I406" s="66">
        <f t="shared" si="308"/>
        <v>1.1698234330431156E-3</v>
      </c>
      <c r="J406" s="66">
        <f t="shared" si="308"/>
        <v>1.172996809239775E-3</v>
      </c>
      <c r="K406" s="66">
        <f t="shared" si="308"/>
        <v>1.1745833774396714E-3</v>
      </c>
      <c r="L406" s="66">
        <f t="shared" si="308"/>
        <v>1.174015430976609E-3</v>
      </c>
      <c r="M406" s="66">
        <f t="shared" si="308"/>
        <v>1.1706034032650803E-3</v>
      </c>
      <c r="N406" s="66">
        <f t="shared" si="308"/>
        <v>1.163588561366594E-3</v>
      </c>
      <c r="O406" s="66">
        <f t="shared" si="308"/>
        <v>1.1295017894501543E-3</v>
      </c>
      <c r="P406" s="66">
        <f t="shared" si="308"/>
        <v>1.0915173078276542E-3</v>
      </c>
      <c r="Q406" s="66">
        <f t="shared" si="308"/>
        <v>1.0500702424566331E-3</v>
      </c>
      <c r="R406" s="66">
        <f t="shared" si="308"/>
        <v>1.0063692139444611E-3</v>
      </c>
      <c r="S406" s="66">
        <f t="shared" si="308"/>
        <v>9.6230398662464599E-4</v>
      </c>
      <c r="T406" s="66">
        <f t="shared" si="308"/>
        <v>9.211392464031614E-4</v>
      </c>
      <c r="U406" s="66">
        <f t="shared" si="308"/>
        <v>8.8348095001078257E-4</v>
      </c>
      <c r="V406" s="66">
        <f t="shared" si="308"/>
        <v>8.5034165457721807E-4</v>
      </c>
      <c r="W406" s="66">
        <f t="shared" si="308"/>
        <v>8.2188277602811798E-4</v>
      </c>
      <c r="X406" s="66">
        <f t="shared" si="308"/>
        <v>7.9764362997791598E-4</v>
      </c>
      <c r="Y406" s="66">
        <f t="shared" si="308"/>
        <v>7.7746248492457232E-4</v>
      </c>
      <c r="Z406" s="66">
        <f t="shared" si="308"/>
        <v>7.5992456370496501E-4</v>
      </c>
      <c r="AA406" s="66">
        <f t="shared" si="308"/>
        <v>7.4432225254313783E-4</v>
      </c>
      <c r="AB406" s="66">
        <f t="shared" si="308"/>
        <v>7.3009229398569853E-4</v>
      </c>
      <c r="AC406" s="66">
        <f t="shared" si="308"/>
        <v>7.1681395580462486E-4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2.2992877245920678E-2</v>
      </c>
      <c r="C408" s="67">
        <f t="shared" ref="C408:AC408" si="310">C397+C398+C399+C400+C401+C402+C403+C404+C405+C406+C407</f>
        <v>2.2628954740214785E-2</v>
      </c>
      <c r="D408" s="67">
        <f t="shared" si="310"/>
        <v>2.2263686718265549E-2</v>
      </c>
      <c r="E408" s="67">
        <f t="shared" si="310"/>
        <v>2.2021635386632432E-2</v>
      </c>
      <c r="F408" s="67">
        <f t="shared" si="310"/>
        <v>2.1776832420538191E-2</v>
      </c>
      <c r="G408" s="67">
        <f t="shared" si="310"/>
        <v>2.1528151614470435E-2</v>
      </c>
      <c r="H408" s="67">
        <f t="shared" si="310"/>
        <v>2.1274027243099305E-2</v>
      </c>
      <c r="I408" s="67">
        <f t="shared" si="310"/>
        <v>2.1012305624019484E-2</v>
      </c>
      <c r="J408" s="67">
        <f t="shared" si="310"/>
        <v>2.1100169363908218E-2</v>
      </c>
      <c r="K408" s="67">
        <f t="shared" si="310"/>
        <v>2.1172214474504937E-2</v>
      </c>
      <c r="L408" s="67">
        <f t="shared" si="310"/>
        <v>2.1222694039229439E-2</v>
      </c>
      <c r="M408" s="67">
        <f t="shared" si="310"/>
        <v>2.1244534691713526E-2</v>
      </c>
      <c r="N408" s="67">
        <f t="shared" si="310"/>
        <v>2.1229778412241357E-2</v>
      </c>
      <c r="O408" s="67">
        <f t="shared" si="310"/>
        <v>2.0752104591739928E-2</v>
      </c>
      <c r="P408" s="67">
        <f t="shared" si="310"/>
        <v>2.023253485460106E-2</v>
      </c>
      <c r="Q408" s="67">
        <f t="shared" si="310"/>
        <v>1.967410640157554E-2</v>
      </c>
      <c r="R408" s="67">
        <f t="shared" si="310"/>
        <v>1.9087903605694137E-2</v>
      </c>
      <c r="S408" s="67">
        <f t="shared" si="310"/>
        <v>1.8492778988924992E-2</v>
      </c>
      <c r="T408" s="67">
        <f t="shared" si="310"/>
        <v>1.7933374694707696E-2</v>
      </c>
      <c r="U408" s="67">
        <f t="shared" si="310"/>
        <v>1.7407453219775632E-2</v>
      </c>
      <c r="V408" s="67">
        <f t="shared" si="310"/>
        <v>1.6927703782377852E-2</v>
      </c>
      <c r="W408" s="67">
        <f t="shared" si="310"/>
        <v>1.6497645746193251E-2</v>
      </c>
      <c r="X408" s="67">
        <f t="shared" si="310"/>
        <v>1.6113560855271731E-2</v>
      </c>
      <c r="Y408" s="67">
        <f t="shared" si="310"/>
        <v>1.5780036750920552E-2</v>
      </c>
      <c r="Z408" s="67">
        <f t="shared" si="310"/>
        <v>1.5476250342977905E-2</v>
      </c>
      <c r="AA408" s="67">
        <f t="shared" si="310"/>
        <v>1.5194454169604736E-2</v>
      </c>
      <c r="AB408" s="67">
        <f t="shared" si="310"/>
        <v>1.4928362464427932E-2</v>
      </c>
      <c r="AC408" s="67">
        <f t="shared" si="310"/>
        <v>1.4673220470927728E-2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99</v>
      </c>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f>'Parameter Input'!$L$261</f>
        <v>19500000</v>
      </c>
      <c r="C11" s="42">
        <f>'Parameter Input'!$M$261</f>
        <v>15000000</v>
      </c>
      <c r="D11" s="1" t="s">
        <v>138</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151</v>
      </c>
      <c r="B12" s="60">
        <f>'Parameter Input'!$L$262</f>
        <v>-975000</v>
      </c>
      <c r="C12" s="61">
        <f>'Parameter Input'!$M$262</f>
        <v>-1500000</v>
      </c>
      <c r="D12" s="1" t="s">
        <v>138</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137</v>
      </c>
      <c r="B13" s="60">
        <f>'Parameter Input'!B212</f>
        <v>1000000</v>
      </c>
      <c r="C13" s="61">
        <f>'Parameter Input'!C212</f>
        <v>1000000</v>
      </c>
      <c r="D13" s="1" t="s">
        <v>138</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148</v>
      </c>
      <c r="B14" s="60">
        <f>'Parameter Input'!B213</f>
        <v>-100000</v>
      </c>
      <c r="C14" s="61">
        <f>'Parameter Input'!C213</f>
        <v>-100000</v>
      </c>
      <c r="D14" s="1" t="s">
        <v>138</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203</v>
      </c>
      <c r="B15" s="92">
        <f>'Parameter Input'!$L$268</f>
        <v>0.06</v>
      </c>
      <c r="C15" s="91">
        <f>'Parameter Input'!$M$268</f>
        <v>0.06</v>
      </c>
      <c r="D15" s="1" t="s">
        <v>180</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160</v>
      </c>
      <c r="B16" s="60">
        <f>'Parameter Input'!B214</f>
        <v>1208235.294117647</v>
      </c>
      <c r="C16" s="61">
        <f>'Parameter Input'!C214</f>
        <v>1208235.294117647</v>
      </c>
      <c r="D16" s="1" t="s">
        <v>161</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175</v>
      </c>
      <c r="B17" s="60">
        <f>'Parameter Input'!$L$264</f>
        <v>488235.29411764705</v>
      </c>
      <c r="C17" s="61">
        <f>'Parameter Input'!$M$264</f>
        <v>488235.29411764705</v>
      </c>
      <c r="D17" s="1" t="s">
        <v>161</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199</v>
      </c>
      <c r="B18" s="92">
        <f>'Parameter Input'!B219</f>
        <v>0.8458018624557011</v>
      </c>
      <c r="C18" s="61">
        <f>'Parameter Input'!C219</f>
        <v>0.8458018624557011</v>
      </c>
      <c r="D18" s="1" t="s">
        <v>200</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183</v>
      </c>
      <c r="B19" s="60">
        <f>'Parameter Input'!$L$265</f>
        <v>647</v>
      </c>
      <c r="C19" s="61">
        <f>'Parameter Input'!$M$265</f>
        <v>600</v>
      </c>
      <c r="D19" s="1" t="s">
        <v>184</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191</v>
      </c>
      <c r="B20" s="78">
        <f>'Parameter Input'!$L$266</f>
        <v>0.46076973995226939</v>
      </c>
      <c r="C20" s="61">
        <f>'Parameter Input'!$M$266</f>
        <v>0.14224714585492179</v>
      </c>
      <c r="D20" s="1" t="s">
        <v>94</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458</v>
      </c>
      <c r="B21" s="115">
        <f>'Parameter Input'!$L$269</f>
        <v>0</v>
      </c>
      <c r="C21" s="116">
        <f>'Parameter Input'!$M$269</f>
        <v>0</v>
      </c>
      <c r="D21" s="1" t="s">
        <v>200</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164</v>
      </c>
      <c r="B22" s="60">
        <f>'Parameter Input'!$L$263</f>
        <v>25</v>
      </c>
      <c r="C22" s="61">
        <f>'Parameter Input'!$M$263</f>
        <v>25</v>
      </c>
      <c r="D22" s="1" t="s">
        <v>165</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194</v>
      </c>
      <c r="B23" s="60">
        <f>'Parameter Input'!B218</f>
        <v>25</v>
      </c>
      <c r="C23" s="61">
        <f>'Parameter Input'!C218</f>
        <v>25</v>
      </c>
      <c r="D23" s="1" t="s">
        <v>165</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502</v>
      </c>
      <c r="B24" s="43">
        <f>'Parameter Input'!B215</f>
        <v>9450</v>
      </c>
      <c r="C24" s="44">
        <f>'Parameter Input'!C215</f>
        <v>9450</v>
      </c>
      <c r="D24" s="1" t="s">
        <v>172</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179</v>
      </c>
      <c r="B25" s="45">
        <f>'Parameter Input'!B216</f>
        <v>0.68</v>
      </c>
      <c r="C25" s="46">
        <f>'Parameter Input'!C216</f>
        <v>0.68</v>
      </c>
      <c r="D25" s="1" t="s">
        <v>180</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197</v>
      </c>
      <c r="B26" s="45">
        <f>'Parameter Input'!$L$267</f>
        <v>0.04</v>
      </c>
      <c r="C26" s="46">
        <f>'Parameter Input'!$M$267</f>
        <v>0.04</v>
      </c>
      <c r="D26" s="1" t="s">
        <v>180</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188</v>
      </c>
      <c r="B27" s="49">
        <f>'Parameter Input'!B217</f>
        <v>120000</v>
      </c>
      <c r="C27" s="50">
        <f>'Parameter Input'!C217</f>
        <v>120000</v>
      </c>
      <c r="D27" s="1" t="s">
        <v>189</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503</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0.36417427635318367</v>
      </c>
      <c r="C40" s="66">
        <f>'Parameter Input'!K7</f>
        <v>0.34953957198802377</v>
      </c>
      <c r="D40" s="66">
        <f>'Parameter Input'!L7</f>
        <v>0.33490486762286403</v>
      </c>
      <c r="E40" s="66">
        <f>'Parameter Input'!M7</f>
        <v>0.32172366231345256</v>
      </c>
      <c r="F40" s="66">
        <f>'Parameter Input'!N7</f>
        <v>0.30854245700404115</v>
      </c>
      <c r="G40" s="66">
        <f>'Parameter Input'!O7</f>
        <v>0.29536125169462968</v>
      </c>
      <c r="H40" s="66">
        <f>'Parameter Input'!P7</f>
        <v>0.28218004638521826</v>
      </c>
      <c r="I40" s="66">
        <f>'Parameter Input'!Q7</f>
        <v>0.26899884107580674</v>
      </c>
      <c r="J40" s="66">
        <f>'Parameter Input'!R7</f>
        <v>0.26271894785871058</v>
      </c>
      <c r="K40" s="66">
        <f>'Parameter Input'!S7</f>
        <v>0.25643905464161443</v>
      </c>
      <c r="L40" s="66">
        <f>'Parameter Input'!T7</f>
        <v>0.25015916142451827</v>
      </c>
      <c r="M40" s="66">
        <f>'Parameter Input'!U7</f>
        <v>0.24387926820742209</v>
      </c>
      <c r="N40" s="66">
        <f>'Parameter Input'!V7</f>
        <v>0.23759937499032585</v>
      </c>
      <c r="O40" s="66">
        <f>'Parameter Input'!W7</f>
        <v>0.22988467822493394</v>
      </c>
      <c r="P40" s="66">
        <f>'Parameter Input'!X7</f>
        <v>0.22216998145954203</v>
      </c>
      <c r="Q40" s="66">
        <f>'Parameter Input'!Y7</f>
        <v>0.21445528469415012</v>
      </c>
      <c r="R40" s="66">
        <f>'Parameter Input'!Z7</f>
        <v>0.20674058792875821</v>
      </c>
      <c r="S40" s="66">
        <f>'Parameter Input'!AA7</f>
        <v>0.19902589116336625</v>
      </c>
      <c r="T40" s="66">
        <f>'Parameter Input'!AB7</f>
        <v>0.19368220926450147</v>
      </c>
      <c r="U40" s="66">
        <f>'Parameter Input'!AC7</f>
        <v>0.18833852736563667</v>
      </c>
      <c r="V40" s="66">
        <f>'Parameter Input'!AD7</f>
        <v>0.18299484546677189</v>
      </c>
      <c r="W40" s="66">
        <f>'Parameter Input'!AE7</f>
        <v>0.17765116356790711</v>
      </c>
      <c r="X40" s="66">
        <f>'Parameter Input'!AF7</f>
        <v>0.17230748166904239</v>
      </c>
      <c r="Y40" s="66">
        <f>'Parameter Input'!AG7</f>
        <v>0.16851782325418166</v>
      </c>
      <c r="Z40" s="66">
        <f>'Parameter Input'!AH7</f>
        <v>0.16472816483932096</v>
      </c>
      <c r="AA40" s="66">
        <f>'Parameter Input'!AI7</f>
        <v>0.16093850642446025</v>
      </c>
      <c r="AB40" s="66">
        <f>'Parameter Input'!AJ7</f>
        <v>0.15714884800959955</v>
      </c>
      <c r="AC40" s="66">
        <f>'Parameter Input'!AK7</f>
        <v>0.15335918959473879</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197</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503</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28269979.834549442</v>
      </c>
      <c r="C57" s="62">
        <f t="shared" ref="C57:AC57" si="49">C39*C40*C47</f>
        <v>27132049.532666638</v>
      </c>
      <c r="D57" s="62">
        <f t="shared" si="49"/>
        <v>25993501.704920452</v>
      </c>
      <c r="E57" s="62">
        <f t="shared" si="49"/>
        <v>24966917.34405838</v>
      </c>
      <c r="F57" s="62">
        <f t="shared" si="49"/>
        <v>23939168.963635609</v>
      </c>
      <c r="G57" s="62">
        <f t="shared" si="49"/>
        <v>22909854.96483615</v>
      </c>
      <c r="H57" s="62">
        <f t="shared" si="49"/>
        <v>21878451.309795085</v>
      </c>
      <c r="I57" s="62">
        <f t="shared" si="49"/>
        <v>20844287.393317983</v>
      </c>
      <c r="J57" s="62">
        <f t="shared" si="49"/>
        <v>20340859.561817177</v>
      </c>
      <c r="K57" s="62">
        <f t="shared" si="49"/>
        <v>19831607.098048601</v>
      </c>
      <c r="L57" s="62">
        <f t="shared" si="49"/>
        <v>19314710.882095419</v>
      </c>
      <c r="M57" s="62">
        <f t="shared" si="49"/>
        <v>18788084.16200728</v>
      </c>
      <c r="N57" s="62">
        <f t="shared" si="49"/>
        <v>18249617.444858335</v>
      </c>
      <c r="O57" s="62">
        <f t="shared" si="49"/>
        <v>17587916.124284193</v>
      </c>
      <c r="P57" s="62">
        <f t="shared" si="49"/>
        <v>16913525.419663437</v>
      </c>
      <c r="Q57" s="62">
        <f t="shared" si="49"/>
        <v>16228734.558987197</v>
      </c>
      <c r="R57" s="62">
        <f t="shared" si="49"/>
        <v>15538667.819530513</v>
      </c>
      <c r="S57" s="62">
        <f t="shared" si="49"/>
        <v>14850834.104735333</v>
      </c>
      <c r="T57" s="62">
        <f t="shared" si="49"/>
        <v>14349073.652146816</v>
      </c>
      <c r="U57" s="62">
        <f t="shared" si="49"/>
        <v>13861982.810570983</v>
      </c>
      <c r="V57" s="62">
        <f t="shared" si="49"/>
        <v>13393371.771557385</v>
      </c>
      <c r="W57" s="62">
        <f t="shared" si="49"/>
        <v>12943720.795706693</v>
      </c>
      <c r="X57" s="62">
        <f t="shared" si="49"/>
        <v>12511047.856875328</v>
      </c>
      <c r="Y57" s="62">
        <f t="shared" si="49"/>
        <v>12204734.212598935</v>
      </c>
      <c r="Z57" s="62">
        <f t="shared" si="49"/>
        <v>11908500.422232762</v>
      </c>
      <c r="AA57" s="62">
        <f t="shared" si="49"/>
        <v>11619631.45088187</v>
      </c>
      <c r="AB57" s="62">
        <f t="shared" si="49"/>
        <v>11335961.64067078</v>
      </c>
      <c r="AC57" s="62">
        <f t="shared" si="49"/>
        <v>11055875.713812558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504</v>
      </c>
      <c r="B59" s="64">
        <f>B50+B51+B52+B53+B54+B55+B56+B57+B58</f>
        <v>31586637.323473189</v>
      </c>
      <c r="C59" s="64">
        <f t="shared" ref="C59:AC59" si="51">C50+C51+C52+C53+C54+C55+C56+C57+C58</f>
        <v>30448333.526933815</v>
      </c>
      <c r="D59" s="64">
        <f t="shared" si="51"/>
        <v>29309251.049905669</v>
      </c>
      <c r="E59" s="64">
        <f t="shared" si="51"/>
        <v>28281901.835647535</v>
      </c>
      <c r="F59" s="64">
        <f t="shared" si="51"/>
        <v>27253060.310948513</v>
      </c>
      <c r="G59" s="64">
        <f t="shared" si="51"/>
        <v>26222186.159028567</v>
      </c>
      <c r="H59" s="64">
        <f t="shared" si="51"/>
        <v>25188560.463196471</v>
      </c>
      <c r="I59" s="64">
        <f t="shared" si="51"/>
        <v>24151241.56732963</v>
      </c>
      <c r="J59" s="64">
        <f t="shared" si="51"/>
        <v>23643354.475635588</v>
      </c>
      <c r="K59" s="64">
        <f t="shared" si="51"/>
        <v>23127841.291007426</v>
      </c>
      <c r="L59" s="64">
        <f t="shared" si="51"/>
        <v>22602240.400347367</v>
      </c>
      <c r="M59" s="64">
        <f t="shared" si="51"/>
        <v>22063679.896878634</v>
      </c>
      <c r="N59" s="64">
        <f t="shared" si="51"/>
        <v>21509175.453638699</v>
      </c>
      <c r="O59" s="64">
        <f t="shared" si="51"/>
        <v>20826509.726802807</v>
      </c>
      <c r="P59" s="64">
        <f t="shared" si="51"/>
        <v>20125717.89593995</v>
      </c>
      <c r="Q59" s="64">
        <f t="shared" si="51"/>
        <v>19409246.441617634</v>
      </c>
      <c r="R59" s="64">
        <f t="shared" si="51"/>
        <v>18683356.121522456</v>
      </c>
      <c r="S59" s="64">
        <f t="shared" si="51"/>
        <v>17957703.59962767</v>
      </c>
      <c r="T59" s="64">
        <f t="shared" si="51"/>
        <v>17418868.543325171</v>
      </c>
      <c r="U59" s="64">
        <f t="shared" si="51"/>
        <v>16898027.926861376</v>
      </c>
      <c r="V59" s="64">
        <f t="shared" si="51"/>
        <v>16400734.385253374</v>
      </c>
      <c r="W59" s="64">
        <f t="shared" si="51"/>
        <v>15928113.861569745</v>
      </c>
      <c r="X59" s="64">
        <f t="shared" si="51"/>
        <v>15477914.138280567</v>
      </c>
      <c r="Y59" s="64">
        <f t="shared" si="51"/>
        <v>15158716.901777536</v>
      </c>
      <c r="Z59" s="64">
        <f t="shared" si="51"/>
        <v>14853271.52935192</v>
      </c>
      <c r="AA59" s="64">
        <f t="shared" si="51"/>
        <v>14557946.59934058</v>
      </c>
      <c r="AB59" s="64">
        <f t="shared" si="51"/>
        <v>14269815.324880887</v>
      </c>
      <c r="AC59" s="64">
        <f t="shared" si="51"/>
        <v>13986676.195714056</v>
      </c>
    </row>
    <row r="60" spans="1:29" ht="15.75" thickBot="1" x14ac:dyDescent="0.3">
      <c r="AC60" s="32"/>
    </row>
    <row r="61" spans="1:29" ht="15.75" thickBot="1" x14ac:dyDescent="0.3">
      <c r="A61" s="26" t="s">
        <v>503</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235.58316528791201</v>
      </c>
      <c r="C69" s="66">
        <f t="shared" ref="C69:AC69" si="60">C39*C40*C47/C47</f>
        <v>226.100412772222</v>
      </c>
      <c r="D69" s="66">
        <f t="shared" si="60"/>
        <v>216.61251420767044</v>
      </c>
      <c r="E69" s="66">
        <f t="shared" si="60"/>
        <v>208.05764453381983</v>
      </c>
      <c r="F69" s="66">
        <f t="shared" si="60"/>
        <v>199.49307469696342</v>
      </c>
      <c r="G69" s="66">
        <f t="shared" si="60"/>
        <v>190.91545804030125</v>
      </c>
      <c r="H69" s="66">
        <f t="shared" si="60"/>
        <v>182.32042758162572</v>
      </c>
      <c r="I69" s="66">
        <f t="shared" si="60"/>
        <v>173.70239494431652</v>
      </c>
      <c r="J69" s="66">
        <f t="shared" si="60"/>
        <v>169.50716301514313</v>
      </c>
      <c r="K69" s="66">
        <f t="shared" si="60"/>
        <v>165.26339248373836</v>
      </c>
      <c r="L69" s="66">
        <f t="shared" si="60"/>
        <v>160.95592401746183</v>
      </c>
      <c r="M69" s="66">
        <f t="shared" si="60"/>
        <v>156.56736801672733</v>
      </c>
      <c r="N69" s="66">
        <f t="shared" si="60"/>
        <v>152.08014537381945</v>
      </c>
      <c r="O69" s="66">
        <f t="shared" si="60"/>
        <v>146.56596770236828</v>
      </c>
      <c r="P69" s="66">
        <f t="shared" si="60"/>
        <v>140.94604516386198</v>
      </c>
      <c r="Q69" s="66">
        <f t="shared" si="60"/>
        <v>135.23945465822663</v>
      </c>
      <c r="R69" s="66">
        <f t="shared" si="60"/>
        <v>129.48889849608761</v>
      </c>
      <c r="S69" s="66">
        <f t="shared" si="60"/>
        <v>123.75695087279445</v>
      </c>
      <c r="T69" s="66">
        <f t="shared" si="60"/>
        <v>119.57561376789013</v>
      </c>
      <c r="U69" s="66">
        <f t="shared" si="60"/>
        <v>115.51652342142486</v>
      </c>
      <c r="V69" s="66">
        <f t="shared" si="60"/>
        <v>111.61143142964488</v>
      </c>
      <c r="W69" s="66">
        <f t="shared" si="60"/>
        <v>107.86433996422244</v>
      </c>
      <c r="X69" s="66">
        <f t="shared" si="60"/>
        <v>104.25873214062774</v>
      </c>
      <c r="Y69" s="66">
        <f t="shared" si="60"/>
        <v>101.70611843832445</v>
      </c>
      <c r="Z69" s="66">
        <f t="shared" si="60"/>
        <v>99.237503518606346</v>
      </c>
      <c r="AA69" s="66">
        <f t="shared" si="60"/>
        <v>96.830262090682254</v>
      </c>
      <c r="AB69" s="66">
        <f t="shared" si="60"/>
        <v>94.466347005589839</v>
      </c>
      <c r="AC69" s="66">
        <f t="shared" si="60"/>
        <v>92.132297615104648</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187</v>
      </c>
      <c r="B71" s="76">
        <f>B62+B63+B64-B65+B66+B67+B68+B69+B70</f>
        <v>263.35235555929705</v>
      </c>
      <c r="C71" s="76">
        <f t="shared" ref="C71:AC71" si="63">C62+C63+C64-C65+C66+C67+C68+C69+C70</f>
        <v>253.8664905881356</v>
      </c>
      <c r="D71" s="76">
        <f t="shared" si="63"/>
        <v>244.37413661290105</v>
      </c>
      <c r="E71" s="76">
        <f t="shared" si="63"/>
        <v>235.81289316074992</v>
      </c>
      <c r="F71" s="76">
        <f t="shared" si="63"/>
        <v>227.23921378825807</v>
      </c>
      <c r="G71" s="76">
        <f t="shared" si="63"/>
        <v>218.64859585559185</v>
      </c>
      <c r="H71" s="76">
        <f t="shared" si="63"/>
        <v>210.03504839032439</v>
      </c>
      <c r="I71" s="76">
        <f t="shared" si="63"/>
        <v>201.3907242581007</v>
      </c>
      <c r="J71" s="76">
        <f t="shared" si="63"/>
        <v>197.158331827317</v>
      </c>
      <c r="K71" s="76">
        <f t="shared" si="63"/>
        <v>192.86238862208234</v>
      </c>
      <c r="L71" s="76">
        <f t="shared" si="63"/>
        <v>188.48238119991521</v>
      </c>
      <c r="M71" s="76">
        <f t="shared" si="63"/>
        <v>183.9943770043424</v>
      </c>
      <c r="N71" s="76">
        <f t="shared" si="63"/>
        <v>179.37350664400958</v>
      </c>
      <c r="O71" s="76">
        <f t="shared" si="63"/>
        <v>173.68462558704385</v>
      </c>
      <c r="P71" s="76">
        <f t="shared" si="63"/>
        <v>167.84469366318672</v>
      </c>
      <c r="Q71" s="76">
        <f t="shared" si="63"/>
        <v>161.87409821050073</v>
      </c>
      <c r="R71" s="76">
        <f t="shared" si="63"/>
        <v>155.82501220970758</v>
      </c>
      <c r="S71" s="76">
        <f t="shared" si="63"/>
        <v>149.77790786058438</v>
      </c>
      <c r="T71" s="76">
        <f t="shared" si="63"/>
        <v>145.28761572473019</v>
      </c>
      <c r="U71" s="76">
        <f t="shared" si="63"/>
        <v>140.94727725419858</v>
      </c>
      <c r="V71" s="76">
        <f t="shared" si="63"/>
        <v>136.80316440746526</v>
      </c>
      <c r="W71" s="76">
        <f t="shared" si="63"/>
        <v>132.86466004343501</v>
      </c>
      <c r="X71" s="76">
        <f t="shared" si="63"/>
        <v>129.11299568269186</v>
      </c>
      <c r="Y71" s="76">
        <f t="shared" si="63"/>
        <v>126.45301871183325</v>
      </c>
      <c r="Z71" s="76">
        <f t="shared" si="63"/>
        <v>123.90764060828646</v>
      </c>
      <c r="AA71" s="76">
        <f t="shared" si="63"/>
        <v>121.44659952485861</v>
      </c>
      <c r="AB71" s="76">
        <f t="shared" si="63"/>
        <v>119.04550557102786</v>
      </c>
      <c r="AC71" s="76">
        <f t="shared" si="63"/>
        <v>116.68601282797093</v>
      </c>
    </row>
    <row r="72" spans="1:29" ht="15.75" thickBot="1" x14ac:dyDescent="0.3"/>
    <row r="73" spans="1:29" ht="15.75" thickBot="1" x14ac:dyDescent="0.3">
      <c r="A73" s="26" t="s">
        <v>503</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2.4929435480202329E-2</v>
      </c>
      <c r="C81" s="66">
        <f t="shared" ref="C81:AC81" si="72">C39*C40*C47/C47/(C44)</f>
        <v>2.3925969605526138E-2</v>
      </c>
      <c r="D81" s="66">
        <f t="shared" si="72"/>
        <v>2.2921959175414862E-2</v>
      </c>
      <c r="E81" s="66">
        <f t="shared" si="72"/>
        <v>2.2016681961250777E-2</v>
      </c>
      <c r="F81" s="66">
        <f t="shared" si="72"/>
        <v>2.1110378274810944E-2</v>
      </c>
      <c r="G81" s="66">
        <f t="shared" si="72"/>
        <v>2.020269397251865E-2</v>
      </c>
      <c r="H81" s="66">
        <f t="shared" si="72"/>
        <v>1.9293166939854573E-2</v>
      </c>
      <c r="I81" s="66">
        <f t="shared" si="72"/>
        <v>1.8381205814213389E-2</v>
      </c>
      <c r="J81" s="66">
        <f t="shared" si="72"/>
        <v>1.7937265927528374E-2</v>
      </c>
      <c r="K81" s="66">
        <f t="shared" si="72"/>
        <v>1.7488189680818875E-2</v>
      </c>
      <c r="L81" s="66">
        <f t="shared" si="72"/>
        <v>1.7032372911900722E-2</v>
      </c>
      <c r="M81" s="66">
        <f t="shared" si="72"/>
        <v>1.6567975451505536E-2</v>
      </c>
      <c r="N81" s="66">
        <f t="shared" si="72"/>
        <v>1.6093137076594651E-2</v>
      </c>
      <c r="O81" s="66">
        <f t="shared" si="72"/>
        <v>1.5509626211890823E-2</v>
      </c>
      <c r="P81" s="66">
        <f t="shared" si="72"/>
        <v>1.491492541416529E-2</v>
      </c>
      <c r="Q81" s="66">
        <f t="shared" si="72"/>
        <v>1.4311053402986945E-2</v>
      </c>
      <c r="R81" s="66">
        <f t="shared" si="72"/>
        <v>1.3702528941384932E-2</v>
      </c>
      <c r="S81" s="66">
        <f t="shared" si="72"/>
        <v>1.3095973637332746E-2</v>
      </c>
      <c r="T81" s="66">
        <f t="shared" si="72"/>
        <v>1.2653504102422237E-2</v>
      </c>
      <c r="U81" s="66">
        <f t="shared" si="72"/>
        <v>1.2223970732425912E-2</v>
      </c>
      <c r="V81" s="66">
        <f t="shared" si="72"/>
        <v>1.1810733484618505E-2</v>
      </c>
      <c r="W81" s="66">
        <f t="shared" si="72"/>
        <v>1.1414215869229888E-2</v>
      </c>
      <c r="X81" s="66">
        <f t="shared" si="72"/>
        <v>1.1032670067791295E-2</v>
      </c>
      <c r="Y81" s="66">
        <f t="shared" si="72"/>
        <v>1.0762552215695709E-2</v>
      </c>
      <c r="Z81" s="66">
        <f t="shared" si="72"/>
        <v>1.0501323123662048E-2</v>
      </c>
      <c r="AA81" s="66">
        <f t="shared" si="72"/>
        <v>1.0246588581024577E-2</v>
      </c>
      <c r="AB81" s="66">
        <f t="shared" si="72"/>
        <v>9.9964388365703528E-3</v>
      </c>
      <c r="AC81" s="66">
        <f t="shared" si="72"/>
        <v>9.7494494830798577E-3</v>
      </c>
    </row>
    <row r="82" spans="1:29" x14ac:dyDescent="0.25">
      <c r="A82" s="59" t="str">
        <f>A45</f>
        <v>Market failure (av. utilization)</v>
      </c>
      <c r="B82" s="66">
        <f t="shared" ref="B82:AC82" si="73">B71/B45-B71/B44</f>
        <v>1.3114340768592438E-2</v>
      </c>
      <c r="C82" s="66">
        <f t="shared" si="73"/>
        <v>1.2641966540336655E-2</v>
      </c>
      <c r="D82" s="66">
        <f t="shared" si="73"/>
        <v>1.2169269174623142E-2</v>
      </c>
      <c r="E82" s="66">
        <f t="shared" si="73"/>
        <v>1.1742938968478046E-2</v>
      </c>
      <c r="F82" s="66">
        <f t="shared" si="73"/>
        <v>1.13159894821417E-2</v>
      </c>
      <c r="G82" s="66">
        <f t="shared" si="73"/>
        <v>1.0888196494520597E-2</v>
      </c>
      <c r="H82" s="66">
        <f t="shared" si="73"/>
        <v>1.0459261668985958E-2</v>
      </c>
      <c r="I82" s="66">
        <f t="shared" si="73"/>
        <v>1.0028794236319982E-2</v>
      </c>
      <c r="J82" s="66">
        <f t="shared" si="73"/>
        <v>9.8180308410739832E-3</v>
      </c>
      <c r="K82" s="66">
        <f t="shared" si="73"/>
        <v>9.6041027636268803E-3</v>
      </c>
      <c r="L82" s="66">
        <f t="shared" si="73"/>
        <v>9.3859884817884889E-3</v>
      </c>
      <c r="M82" s="66">
        <f t="shared" si="73"/>
        <v>9.1624962093665649E-3</v>
      </c>
      <c r="N82" s="66">
        <f t="shared" si="73"/>
        <v>8.932387507949429E-3</v>
      </c>
      <c r="O82" s="66">
        <f t="shared" si="73"/>
        <v>8.6490943336218519E-3</v>
      </c>
      <c r="P82" s="66">
        <f t="shared" si="73"/>
        <v>8.358279174014896E-3</v>
      </c>
      <c r="Q82" s="66">
        <f t="shared" si="73"/>
        <v>8.0609572716091211E-3</v>
      </c>
      <c r="R82" s="66">
        <f t="shared" si="73"/>
        <v>7.7597267206826019E-3</v>
      </c>
      <c r="S82" s="66">
        <f t="shared" si="73"/>
        <v>7.4585948514452188E-3</v>
      </c>
      <c r="T82" s="66">
        <f t="shared" si="73"/>
        <v>7.2349886448667359E-3</v>
      </c>
      <c r="U82" s="66">
        <f t="shared" si="73"/>
        <v>7.0188497854565095E-3</v>
      </c>
      <c r="V82" s="66">
        <f t="shared" si="73"/>
        <v>6.8124825101756725E-3</v>
      </c>
      <c r="W82" s="66">
        <f t="shared" si="73"/>
        <v>6.616354063787612E-3</v>
      </c>
      <c r="X82" s="66">
        <f t="shared" si="73"/>
        <v>6.4295298192439104E-3</v>
      </c>
      <c r="Y82" s="66">
        <f t="shared" si="73"/>
        <v>6.2970690924037676E-3</v>
      </c>
      <c r="Z82" s="66">
        <f t="shared" si="73"/>
        <v>6.1703151252181215E-3</v>
      </c>
      <c r="AA82" s="66">
        <f t="shared" si="73"/>
        <v>6.0477609473941381E-3</v>
      </c>
      <c r="AB82" s="66">
        <f t="shared" si="73"/>
        <v>5.9281919985572501E-3</v>
      </c>
      <c r="AC82" s="66">
        <f t="shared" si="73"/>
        <v>5.8106946942033423E-3</v>
      </c>
    </row>
    <row r="83" spans="1:29" x14ac:dyDescent="0.25">
      <c r="A83" s="59" t="str">
        <f>A46</f>
        <v>Payload loss (fuel)</v>
      </c>
      <c r="B83" s="66">
        <f>B71/(B44-B46)-B71/B44</f>
        <v>1.1611655888857896E-3</v>
      </c>
      <c r="C83" s="66">
        <f t="shared" ref="C83:AC83" si="74">C71/(C44-C46)-C71/C44</f>
        <v>1.119340787425642E-3</v>
      </c>
      <c r="D83" s="66">
        <f t="shared" si="74"/>
        <v>1.0774873748364243E-3</v>
      </c>
      <c r="E83" s="66">
        <f t="shared" si="74"/>
        <v>1.0397393878339919E-3</v>
      </c>
      <c r="F83" s="66">
        <f t="shared" si="74"/>
        <v>1.0019365687312966E-3</v>
      </c>
      <c r="G83" s="66">
        <f t="shared" si="74"/>
        <v>9.6405906461901128E-4</v>
      </c>
      <c r="H83" s="66">
        <f t="shared" si="74"/>
        <v>9.2608046027480018E-4</v>
      </c>
      <c r="I83" s="66">
        <f t="shared" si="74"/>
        <v>8.8796615634082962E-4</v>
      </c>
      <c r="J83" s="66">
        <f t="shared" si="74"/>
        <v>8.6930481405342666E-4</v>
      </c>
      <c r="K83" s="66">
        <f t="shared" si="74"/>
        <v>8.5036326552946281E-4</v>
      </c>
      <c r="L83" s="66">
        <f t="shared" si="74"/>
        <v>8.3105106349169039E-4</v>
      </c>
      <c r="M83" s="66">
        <f t="shared" si="74"/>
        <v>8.1126268520433087E-4</v>
      </c>
      <c r="N83" s="66">
        <f t="shared" si="74"/>
        <v>7.9088847726635492E-4</v>
      </c>
      <c r="O83" s="66">
        <f t="shared" si="74"/>
        <v>7.6580522745610391E-4</v>
      </c>
      <c r="P83" s="66">
        <f t="shared" si="74"/>
        <v>7.4005596853257E-4</v>
      </c>
      <c r="Q83" s="66">
        <f t="shared" si="74"/>
        <v>7.1373059175705578E-4</v>
      </c>
      <c r="R83" s="66">
        <f t="shared" si="74"/>
        <v>6.8705913672710561E-4</v>
      </c>
      <c r="S83" s="66">
        <f t="shared" si="74"/>
        <v>6.6039641913837738E-4</v>
      </c>
      <c r="T83" s="66">
        <f t="shared" si="74"/>
        <v>6.4059795293090922E-4</v>
      </c>
      <c r="U83" s="66">
        <f t="shared" si="74"/>
        <v>6.2146065808729549E-4</v>
      </c>
      <c r="V83" s="66">
        <f t="shared" si="74"/>
        <v>6.0318855558847209E-4</v>
      </c>
      <c r="W83" s="66">
        <f t="shared" si="74"/>
        <v>5.8582301606452912E-4</v>
      </c>
      <c r="X83" s="66">
        <f t="shared" si="74"/>
        <v>5.6928128607888762E-4</v>
      </c>
      <c r="Y83" s="66">
        <f t="shared" si="74"/>
        <v>5.5755299255658315E-4</v>
      </c>
      <c r="Z83" s="66">
        <f t="shared" si="74"/>
        <v>5.4632998504535596E-4</v>
      </c>
      <c r="AA83" s="66">
        <f t="shared" si="74"/>
        <v>5.3547883388385675E-4</v>
      </c>
      <c r="AB83" s="66">
        <f t="shared" si="74"/>
        <v>5.2489199987225746E-4</v>
      </c>
      <c r="AC83" s="66">
        <f t="shared" si="74"/>
        <v>5.1448859271592019E-4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505</v>
      </c>
      <c r="B85" s="67">
        <f>B74+B75+B76+B77+B78+B79+B80+B81+B82+B83+B84</f>
        <v>4.2129683891405201E-2</v>
      </c>
      <c r="C85" s="67">
        <f t="shared" ref="C85:AC85" si="76">C74+C75+C76+C77+C78+C79+C80+C81+C82+C83+C84</f>
        <v>4.0611689626645735E-2</v>
      </c>
      <c r="D85" s="67">
        <f t="shared" si="76"/>
        <v>3.9092656946201787E-2</v>
      </c>
      <c r="E85" s="67">
        <f t="shared" si="76"/>
        <v>3.7722627064995927E-2</v>
      </c>
      <c r="F85" s="67">
        <f t="shared" si="76"/>
        <v>3.6350607101092142E-2</v>
      </c>
      <c r="G85" s="67">
        <f t="shared" si="76"/>
        <v>3.4975876510663917E-2</v>
      </c>
      <c r="H85" s="67">
        <f t="shared" si="76"/>
        <v>3.3597476576523962E-2</v>
      </c>
      <c r="I85" s="67">
        <f t="shared" si="76"/>
        <v>3.2214151545508815E-2</v>
      </c>
      <c r="J85" s="67">
        <f t="shared" si="76"/>
        <v>3.1536854593077659E-2</v>
      </c>
      <c r="K85" s="67">
        <f t="shared" si="76"/>
        <v>3.0849387802531499E-2</v>
      </c>
      <c r="L85" s="67">
        <f t="shared" si="76"/>
        <v>3.0148468469748758E-2</v>
      </c>
      <c r="M85" s="67">
        <f t="shared" si="76"/>
        <v>2.9430266740142881E-2</v>
      </c>
      <c r="N85" s="67">
        <f t="shared" si="76"/>
        <v>2.8690802840276364E-2</v>
      </c>
      <c r="O85" s="67">
        <f t="shared" si="76"/>
        <v>2.7780428420692425E-2</v>
      </c>
      <c r="P85" s="67">
        <f t="shared" si="76"/>
        <v>2.6845881787997156E-2</v>
      </c>
      <c r="Q85" s="67">
        <f t="shared" si="76"/>
        <v>2.5890425466203595E-2</v>
      </c>
      <c r="R85" s="67">
        <f t="shared" si="76"/>
        <v>2.4922408539528273E-2</v>
      </c>
      <c r="S85" s="67">
        <f t="shared" si="76"/>
        <v>2.3954708730572722E-2</v>
      </c>
      <c r="T85" s="67">
        <f t="shared" si="76"/>
        <v>2.3236140868807494E-2</v>
      </c>
      <c r="U85" s="67">
        <f t="shared" si="76"/>
        <v>2.2541569638306926E-2</v>
      </c>
      <c r="V85" s="67">
        <f t="shared" si="76"/>
        <v>2.1878399800555479E-2</v>
      </c>
      <c r="W85" s="67">
        <f t="shared" si="76"/>
        <v>2.1248132866068851E-2</v>
      </c>
      <c r="X85" s="67">
        <f t="shared" si="76"/>
        <v>2.0647765371884147E-2</v>
      </c>
      <c r="Y85" s="67">
        <f t="shared" si="76"/>
        <v>2.0222097306986396E-2</v>
      </c>
      <c r="Z85" s="67">
        <f t="shared" si="76"/>
        <v>1.9814768152020018E-2</v>
      </c>
      <c r="AA85" s="67">
        <f t="shared" si="76"/>
        <v>1.9420935195158577E-2</v>
      </c>
      <c r="AB85" s="67">
        <f t="shared" si="76"/>
        <v>1.90366953960317E-2</v>
      </c>
      <c r="AC85" s="67">
        <f t="shared" si="76"/>
        <v>1.86591129127694E-2</v>
      </c>
    </row>
    <row r="87" spans="1:29" x14ac:dyDescent="0.25">
      <c r="B87" s="40"/>
    </row>
    <row r="107" spans="1:2" s="3" customFormat="1" ht="21" x14ac:dyDescent="0.35">
      <c r="A107" s="2" t="str">
        <f>'Parameter Input'!A223</f>
        <v>Short-sea: Container</v>
      </c>
    </row>
    <row r="108" spans="1:2" s="3" customFormat="1" ht="21" x14ac:dyDescent="0.35">
      <c r="A108" s="2" t="s">
        <v>99</v>
      </c>
    </row>
    <row r="109" spans="1:2" x14ac:dyDescent="0.25">
      <c r="A109" s="33" t="s">
        <v>491</v>
      </c>
    </row>
    <row r="110" spans="1:2" x14ac:dyDescent="0.25">
      <c r="A110" s="33" t="s">
        <v>492</v>
      </c>
    </row>
    <row r="111" spans="1:2" ht="15.75" thickBot="1" x14ac:dyDescent="0.3">
      <c r="A111" s="34" t="s">
        <v>493</v>
      </c>
      <c r="B111" s="34"/>
    </row>
    <row r="112" spans="1:2" ht="15.75" thickBot="1" x14ac:dyDescent="0.3">
      <c r="A112" s="39" t="s">
        <v>494</v>
      </c>
      <c r="B112" s="35"/>
    </row>
    <row r="113" spans="1:44" ht="15.75" thickBot="1" x14ac:dyDescent="0.3">
      <c r="A113" s="38" t="s">
        <v>495</v>
      </c>
      <c r="B113" s="36"/>
    </row>
    <row r="114" spans="1:44" ht="15.75" thickBot="1" x14ac:dyDescent="0.3"/>
    <row r="115" spans="1:44" x14ac:dyDescent="0.25">
      <c r="A115" s="5" t="s">
        <v>496</v>
      </c>
      <c r="B115" s="6">
        <v>2023</v>
      </c>
      <c r="C115" s="6">
        <v>2050</v>
      </c>
      <c r="D115" s="7"/>
      <c r="E115" s="5" t="s">
        <v>497</v>
      </c>
      <c r="F115" s="8"/>
      <c r="G115" s="8"/>
      <c r="H115" s="8"/>
      <c r="I115" s="8"/>
      <c r="J115" s="8"/>
      <c r="K115" s="9"/>
      <c r="L115" s="10" t="s">
        <v>129</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498</v>
      </c>
      <c r="C116" s="3" t="s">
        <v>499</v>
      </c>
      <c r="D116" s="16" t="s">
        <v>86</v>
      </c>
      <c r="E116" s="17"/>
      <c r="F116" s="18"/>
      <c r="G116" s="18"/>
      <c r="H116" s="18"/>
      <c r="I116" s="18"/>
      <c r="J116" s="18"/>
      <c r="K116" s="19"/>
      <c r="L116" s="20" t="s">
        <v>87</v>
      </c>
      <c r="M116" s="20" t="s">
        <v>500</v>
      </c>
      <c r="N116" s="20" t="s">
        <v>501</v>
      </c>
      <c r="O116" s="20" t="s">
        <v>88</v>
      </c>
      <c r="P116" s="21" t="s">
        <v>89</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141</v>
      </c>
      <c r="B117" s="41">
        <f>'Parameter Input'!$L$261</f>
        <v>19500000</v>
      </c>
      <c r="C117" s="42">
        <f>'Parameter Input'!$M$261</f>
        <v>15000000</v>
      </c>
      <c r="D117" s="1" t="s">
        <v>138</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151</v>
      </c>
      <c r="B118" s="60">
        <f>'Parameter Input'!$L$262</f>
        <v>-975000</v>
      </c>
      <c r="C118" s="61">
        <f>'Parameter Input'!$M$262</f>
        <v>-1500000</v>
      </c>
      <c r="D118" s="1" t="s">
        <v>138</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137</v>
      </c>
      <c r="B119" s="60">
        <f>'Parameter Input'!B224</f>
        <v>5000000</v>
      </c>
      <c r="C119" s="61">
        <f>'Parameter Input'!C224</f>
        <v>5000000</v>
      </c>
      <c r="D119" s="1" t="s">
        <v>138</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148</v>
      </c>
      <c r="B120" s="60">
        <f>'Parameter Input'!B225</f>
        <v>-500000</v>
      </c>
      <c r="C120" s="61">
        <f>'Parameter Input'!C225</f>
        <v>-500000</v>
      </c>
      <c r="D120" s="1" t="s">
        <v>138</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203</v>
      </c>
      <c r="B121" s="92">
        <f>'Parameter Input'!$L$268</f>
        <v>0.06</v>
      </c>
      <c r="C121" s="91">
        <f>'Parameter Input'!$M$268</f>
        <v>0.06</v>
      </c>
      <c r="D121" s="1" t="s">
        <v>180</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160</v>
      </c>
      <c r="B122" s="60">
        <f>'Parameter Input'!B226</f>
        <v>1208235.294117647</v>
      </c>
      <c r="C122" s="61">
        <f>'Parameter Input'!C226</f>
        <v>1208235.294117647</v>
      </c>
      <c r="D122" s="1" t="s">
        <v>161</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175</v>
      </c>
      <c r="B123" s="60">
        <f>'Parameter Input'!$L$264</f>
        <v>488235.29411764705</v>
      </c>
      <c r="C123" s="61">
        <f>'Parameter Input'!$M$264</f>
        <v>488235.29411764705</v>
      </c>
      <c r="D123" s="1" t="s">
        <v>161</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199</v>
      </c>
      <c r="B124" s="92">
        <f>'Parameter Input'!B231</f>
        <v>1.6886890630966982</v>
      </c>
      <c r="C124" s="61">
        <f>'Parameter Input'!C231</f>
        <v>1.6886890630966982</v>
      </c>
      <c r="D124" s="1" t="s">
        <v>200</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183</v>
      </c>
      <c r="B125" s="60">
        <f>'Parameter Input'!$L$265</f>
        <v>647</v>
      </c>
      <c r="C125" s="61">
        <f>'Parameter Input'!$M$265</f>
        <v>600</v>
      </c>
      <c r="D125" s="1" t="s">
        <v>184</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191</v>
      </c>
      <c r="B126" s="78">
        <f>'Parameter Input'!$L$266</f>
        <v>0.46076973995226939</v>
      </c>
      <c r="C126" s="61">
        <f>'Parameter Input'!$M$266</f>
        <v>0.14224714585492179</v>
      </c>
      <c r="D126" s="1" t="s">
        <v>94</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458</v>
      </c>
      <c r="B127" s="115">
        <f>'Parameter Input'!$L$269</f>
        <v>0</v>
      </c>
      <c r="C127" s="116">
        <f>'Parameter Input'!$M$269</f>
        <v>0</v>
      </c>
      <c r="D127" s="1" t="s">
        <v>200</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164</v>
      </c>
      <c r="B128" s="60">
        <f>'Parameter Input'!$L$263</f>
        <v>25</v>
      </c>
      <c r="C128" s="61">
        <f>'Parameter Input'!$M$263</f>
        <v>25</v>
      </c>
      <c r="D128" s="1" t="s">
        <v>165</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194</v>
      </c>
      <c r="B129" s="60">
        <f>'Parameter Input'!B230</f>
        <v>25</v>
      </c>
      <c r="C129" s="61">
        <f>'Parameter Input'!C230</f>
        <v>25</v>
      </c>
      <c r="D129" s="1" t="s">
        <v>165</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502</v>
      </c>
      <c r="B130" s="43">
        <f>'Parameter Input'!B227</f>
        <v>9450</v>
      </c>
      <c r="C130" s="44">
        <f>'Parameter Input'!C227</f>
        <v>9450</v>
      </c>
      <c r="D130" s="1" t="s">
        <v>172</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179</v>
      </c>
      <c r="B131" s="45">
        <f>'Parameter Input'!B228</f>
        <v>0.57333333333333336</v>
      </c>
      <c r="C131" s="46">
        <f>'Parameter Input'!C228</f>
        <v>0.57333333333333336</v>
      </c>
      <c r="D131" s="1" t="s">
        <v>180</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197</v>
      </c>
      <c r="B132" s="45">
        <f>'Parameter Input'!$L$267</f>
        <v>0.04</v>
      </c>
      <c r="C132" s="46">
        <f>'Parameter Input'!$M$267</f>
        <v>0.04</v>
      </c>
      <c r="D132" s="1" t="s">
        <v>180</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188</v>
      </c>
      <c r="B133" s="49">
        <f>'Parameter Input'!B229</f>
        <v>120000</v>
      </c>
      <c r="C133" s="50">
        <f>'Parameter Input'!C229</f>
        <v>120000</v>
      </c>
      <c r="D133" s="1" t="s">
        <v>189</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503</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0.36417427635318367</v>
      </c>
      <c r="C146" s="62">
        <f>'Parameter Input'!K7</f>
        <v>0.34953957198802377</v>
      </c>
      <c r="D146" s="62">
        <f>'Parameter Input'!L7</f>
        <v>0.33490486762286403</v>
      </c>
      <c r="E146" s="62">
        <f>'Parameter Input'!M7</f>
        <v>0.32172366231345256</v>
      </c>
      <c r="F146" s="62">
        <f>'Parameter Input'!N7</f>
        <v>0.30854245700404115</v>
      </c>
      <c r="G146" s="62">
        <f>'Parameter Input'!O7</f>
        <v>0.29536125169462968</v>
      </c>
      <c r="H146" s="62">
        <f>'Parameter Input'!P7</f>
        <v>0.28218004638521826</v>
      </c>
      <c r="I146" s="62">
        <f>'Parameter Input'!Q7</f>
        <v>0.26899884107580674</v>
      </c>
      <c r="J146" s="62">
        <f>'Parameter Input'!R7</f>
        <v>0.26271894785871058</v>
      </c>
      <c r="K146" s="62">
        <f>'Parameter Input'!S7</f>
        <v>0.25643905464161443</v>
      </c>
      <c r="L146" s="62">
        <f>'Parameter Input'!T7</f>
        <v>0.25015916142451827</v>
      </c>
      <c r="M146" s="62">
        <f>'Parameter Input'!U7</f>
        <v>0.24387926820742209</v>
      </c>
      <c r="N146" s="62">
        <f>'Parameter Input'!V7</f>
        <v>0.23759937499032585</v>
      </c>
      <c r="O146" s="62">
        <f>'Parameter Input'!W7</f>
        <v>0.22988467822493394</v>
      </c>
      <c r="P146" s="62">
        <f>'Parameter Input'!X7</f>
        <v>0.22216998145954203</v>
      </c>
      <c r="Q146" s="62">
        <f>'Parameter Input'!Y7</f>
        <v>0.21445528469415012</v>
      </c>
      <c r="R146" s="62">
        <f>'Parameter Input'!Z7</f>
        <v>0.20674058792875821</v>
      </c>
      <c r="S146" s="62">
        <f>'Parameter Input'!AA7</f>
        <v>0.19902589116336625</v>
      </c>
      <c r="T146" s="62">
        <f>'Parameter Input'!AB7</f>
        <v>0.19368220926450147</v>
      </c>
      <c r="U146" s="62">
        <f>'Parameter Input'!AC7</f>
        <v>0.18833852736563667</v>
      </c>
      <c r="V146" s="62">
        <f>'Parameter Input'!AD7</f>
        <v>0.18299484546677189</v>
      </c>
      <c r="W146" s="62">
        <f>'Parameter Input'!AE7</f>
        <v>0.17765116356790711</v>
      </c>
      <c r="X146" s="62">
        <f>'Parameter Input'!AF7</f>
        <v>0.17230748166904239</v>
      </c>
      <c r="Y146" s="62">
        <f>'Parameter Input'!AG7</f>
        <v>0.16851782325418166</v>
      </c>
      <c r="Z146" s="62">
        <f>'Parameter Input'!AH7</f>
        <v>0.16472816483932096</v>
      </c>
      <c r="AA146" s="62">
        <f>'Parameter Input'!AI7</f>
        <v>0.16093850642446025</v>
      </c>
      <c r="AB146" s="62">
        <f>'Parameter Input'!AJ7</f>
        <v>0.15714884800959955</v>
      </c>
      <c r="AC146" s="62">
        <f>'Parameter Input'!AK7</f>
        <v>0.15335918959473879</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197</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503</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28269979.834549442</v>
      </c>
      <c r="C163" s="62">
        <f t="shared" ref="C163:AC163" si="127">C145*C146*C153</f>
        <v>27132049.532666638</v>
      </c>
      <c r="D163" s="62">
        <f t="shared" si="127"/>
        <v>25993501.704920452</v>
      </c>
      <c r="E163" s="62">
        <f t="shared" si="127"/>
        <v>24966917.34405838</v>
      </c>
      <c r="F163" s="62">
        <f t="shared" si="127"/>
        <v>23939168.963635609</v>
      </c>
      <c r="G163" s="62">
        <f t="shared" si="127"/>
        <v>22909854.96483615</v>
      </c>
      <c r="H163" s="62">
        <f t="shared" si="127"/>
        <v>21878451.309795085</v>
      </c>
      <c r="I163" s="62">
        <f t="shared" si="127"/>
        <v>20844287.393317983</v>
      </c>
      <c r="J163" s="62">
        <f t="shared" si="127"/>
        <v>20340859.561817177</v>
      </c>
      <c r="K163" s="62">
        <f t="shared" si="127"/>
        <v>19831607.098048601</v>
      </c>
      <c r="L163" s="62">
        <f t="shared" si="127"/>
        <v>19314710.882095419</v>
      </c>
      <c r="M163" s="62">
        <f t="shared" si="127"/>
        <v>18788084.16200728</v>
      </c>
      <c r="N163" s="62">
        <f t="shared" si="127"/>
        <v>18249617.444858335</v>
      </c>
      <c r="O163" s="62">
        <f t="shared" si="127"/>
        <v>17587916.124284193</v>
      </c>
      <c r="P163" s="62">
        <f t="shared" si="127"/>
        <v>16913525.419663437</v>
      </c>
      <c r="Q163" s="62">
        <f t="shared" si="127"/>
        <v>16228734.558987197</v>
      </c>
      <c r="R163" s="62">
        <f t="shared" si="127"/>
        <v>15538667.819530513</v>
      </c>
      <c r="S163" s="62">
        <f t="shared" si="127"/>
        <v>14850834.104735333</v>
      </c>
      <c r="T163" s="62">
        <f t="shared" si="127"/>
        <v>14349073.652146816</v>
      </c>
      <c r="U163" s="62">
        <f t="shared" si="127"/>
        <v>13861982.810570983</v>
      </c>
      <c r="V163" s="62">
        <f t="shared" si="127"/>
        <v>13393371.771557385</v>
      </c>
      <c r="W163" s="62">
        <f t="shared" si="127"/>
        <v>12943720.795706693</v>
      </c>
      <c r="X163" s="62">
        <f t="shared" si="127"/>
        <v>12511047.856875328</v>
      </c>
      <c r="Y163" s="62">
        <f t="shared" si="127"/>
        <v>12204734.212598935</v>
      </c>
      <c r="Z163" s="62">
        <f t="shared" si="127"/>
        <v>11908500.422232762</v>
      </c>
      <c r="AA163" s="62">
        <f t="shared" si="127"/>
        <v>11619631.45088187</v>
      </c>
      <c r="AB163" s="62">
        <f t="shared" si="127"/>
        <v>11335961.64067078</v>
      </c>
      <c r="AC163" s="62">
        <f t="shared" si="127"/>
        <v>11055875.713812558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504</v>
      </c>
      <c r="B165" s="64">
        <f>B156+B157+B158+B159+B160+B161+B162+B163+B164</f>
        <v>31969399.973114297</v>
      </c>
      <c r="C165" s="64">
        <f t="shared" ref="C165:AC165" si="129">C156+C157+C158+C159+C160+C161+C162+C163+C164</f>
        <v>30831096.176574919</v>
      </c>
      <c r="D165" s="64">
        <f t="shared" si="129"/>
        <v>29692013.699546777</v>
      </c>
      <c r="E165" s="64">
        <f t="shared" si="129"/>
        <v>28664664.485288642</v>
      </c>
      <c r="F165" s="64">
        <f t="shared" si="129"/>
        <v>27635822.960589617</v>
      </c>
      <c r="G165" s="64">
        <f t="shared" si="129"/>
        <v>26604948.808669671</v>
      </c>
      <c r="H165" s="64">
        <f t="shared" si="129"/>
        <v>25571323.112837579</v>
      </c>
      <c r="I165" s="64">
        <f t="shared" si="129"/>
        <v>24534004.216970734</v>
      </c>
      <c r="J165" s="64">
        <f t="shared" si="129"/>
        <v>24026117.125276692</v>
      </c>
      <c r="K165" s="64">
        <f t="shared" si="129"/>
        <v>23510603.94064853</v>
      </c>
      <c r="L165" s="64">
        <f t="shared" si="129"/>
        <v>22985003.049988475</v>
      </c>
      <c r="M165" s="64">
        <f t="shared" si="129"/>
        <v>22446442.546519741</v>
      </c>
      <c r="N165" s="64">
        <f t="shared" si="129"/>
        <v>21891938.103279803</v>
      </c>
      <c r="O165" s="64">
        <f t="shared" si="129"/>
        <v>21209272.376443911</v>
      </c>
      <c r="P165" s="64">
        <f t="shared" si="129"/>
        <v>20508480.545581054</v>
      </c>
      <c r="Q165" s="64">
        <f t="shared" si="129"/>
        <v>19792009.091258742</v>
      </c>
      <c r="R165" s="64">
        <f t="shared" si="129"/>
        <v>19066118.77116356</v>
      </c>
      <c r="S165" s="64">
        <f t="shared" si="129"/>
        <v>18340466.249268774</v>
      </c>
      <c r="T165" s="64">
        <f t="shared" si="129"/>
        <v>17801631.192966275</v>
      </c>
      <c r="U165" s="64">
        <f t="shared" si="129"/>
        <v>17280790.57650248</v>
      </c>
      <c r="V165" s="64">
        <f t="shared" si="129"/>
        <v>16783497.034894481</v>
      </c>
      <c r="W165" s="64">
        <f t="shared" si="129"/>
        <v>16310876.511210851</v>
      </c>
      <c r="X165" s="64">
        <f t="shared" si="129"/>
        <v>15860676.787921675</v>
      </c>
      <c r="Y165" s="64">
        <f t="shared" si="129"/>
        <v>15541479.551418642</v>
      </c>
      <c r="Z165" s="64">
        <f t="shared" si="129"/>
        <v>15236034.178993028</v>
      </c>
      <c r="AA165" s="64">
        <f t="shared" si="129"/>
        <v>14940709.248981684</v>
      </c>
      <c r="AB165" s="64">
        <f t="shared" si="129"/>
        <v>14652577.974521995</v>
      </c>
      <c r="AC165" s="64">
        <f t="shared" si="129"/>
        <v>14369438.845355162</v>
      </c>
    </row>
    <row r="166" spans="1:29" ht="15.75" thickBot="1" x14ac:dyDescent="0.3">
      <c r="AC166" s="32"/>
    </row>
    <row r="167" spans="1:29" ht="15.75" thickBot="1" x14ac:dyDescent="0.3">
      <c r="A167" s="26" t="s">
        <v>503</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235.58316528791201</v>
      </c>
      <c r="C175" s="66">
        <f t="shared" ref="C175:AC175" si="138">C145*C146*C153/C153</f>
        <v>226.100412772222</v>
      </c>
      <c r="D175" s="66">
        <f t="shared" si="138"/>
        <v>216.61251420767044</v>
      </c>
      <c r="E175" s="66">
        <f t="shared" si="138"/>
        <v>208.05764453381983</v>
      </c>
      <c r="F175" s="66">
        <f t="shared" si="138"/>
        <v>199.49307469696342</v>
      </c>
      <c r="G175" s="66">
        <f t="shared" si="138"/>
        <v>190.91545804030125</v>
      </c>
      <c r="H175" s="66">
        <f t="shared" si="138"/>
        <v>182.32042758162572</v>
      </c>
      <c r="I175" s="66">
        <f t="shared" si="138"/>
        <v>173.70239494431652</v>
      </c>
      <c r="J175" s="66">
        <f t="shared" si="138"/>
        <v>169.50716301514313</v>
      </c>
      <c r="K175" s="66">
        <f t="shared" si="138"/>
        <v>165.26339248373836</v>
      </c>
      <c r="L175" s="66">
        <f t="shared" si="138"/>
        <v>160.95592401746183</v>
      </c>
      <c r="M175" s="66">
        <f t="shared" si="138"/>
        <v>156.56736801672733</v>
      </c>
      <c r="N175" s="66">
        <f t="shared" si="138"/>
        <v>152.08014537381945</v>
      </c>
      <c r="O175" s="66">
        <f t="shared" si="138"/>
        <v>146.56596770236828</v>
      </c>
      <c r="P175" s="66">
        <f t="shared" si="138"/>
        <v>140.94604516386198</v>
      </c>
      <c r="Q175" s="66">
        <f t="shared" si="138"/>
        <v>135.23945465822663</v>
      </c>
      <c r="R175" s="66">
        <f t="shared" si="138"/>
        <v>129.48889849608761</v>
      </c>
      <c r="S175" s="66">
        <f t="shared" si="138"/>
        <v>123.75695087279445</v>
      </c>
      <c r="T175" s="66">
        <f t="shared" si="138"/>
        <v>119.57561376789013</v>
      </c>
      <c r="U175" s="66">
        <f t="shared" si="138"/>
        <v>115.51652342142486</v>
      </c>
      <c r="V175" s="66">
        <f t="shared" si="138"/>
        <v>111.61143142964488</v>
      </c>
      <c r="W175" s="66">
        <f t="shared" si="138"/>
        <v>107.86433996422244</v>
      </c>
      <c r="X175" s="66">
        <f t="shared" si="138"/>
        <v>104.25873214062774</v>
      </c>
      <c r="Y175" s="66">
        <f t="shared" si="138"/>
        <v>101.70611843832445</v>
      </c>
      <c r="Z175" s="66">
        <f t="shared" si="138"/>
        <v>99.237503518606346</v>
      </c>
      <c r="AA175" s="66">
        <f t="shared" si="138"/>
        <v>96.830262090682254</v>
      </c>
      <c r="AB175" s="66">
        <f t="shared" si="138"/>
        <v>94.466347005589839</v>
      </c>
      <c r="AC175" s="66">
        <f t="shared" si="138"/>
        <v>92.132297615104648</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187</v>
      </c>
      <c r="B177" s="76">
        <f>B168+B169+B170-B171+B172+B173+B174+B175+B176</f>
        <v>267.06355576105472</v>
      </c>
      <c r="C177" s="76">
        <f t="shared" ref="C177:AC177" si="141">C168+C169+C170-C171+C172+C173+C174+C175+C176</f>
        <v>257.57769078989332</v>
      </c>
      <c r="D177" s="76">
        <f t="shared" si="141"/>
        <v>248.08533681465875</v>
      </c>
      <c r="E177" s="76">
        <f t="shared" si="141"/>
        <v>239.52409336250761</v>
      </c>
      <c r="F177" s="76">
        <f t="shared" si="141"/>
        <v>230.95041399001579</v>
      </c>
      <c r="G177" s="76">
        <f t="shared" si="141"/>
        <v>222.35979605734957</v>
      </c>
      <c r="H177" s="76">
        <f t="shared" si="141"/>
        <v>213.74624859208211</v>
      </c>
      <c r="I177" s="76">
        <f t="shared" si="141"/>
        <v>205.10192445985842</v>
      </c>
      <c r="J177" s="76">
        <f t="shared" si="141"/>
        <v>200.86953202907472</v>
      </c>
      <c r="K177" s="76">
        <f t="shared" si="141"/>
        <v>196.57358882384005</v>
      </c>
      <c r="L177" s="76">
        <f t="shared" si="141"/>
        <v>192.1935814016729</v>
      </c>
      <c r="M177" s="76">
        <f t="shared" si="141"/>
        <v>187.70557720610012</v>
      </c>
      <c r="N177" s="76">
        <f t="shared" si="141"/>
        <v>183.0847068457673</v>
      </c>
      <c r="O177" s="76">
        <f t="shared" si="141"/>
        <v>177.39582578880155</v>
      </c>
      <c r="P177" s="76">
        <f t="shared" si="141"/>
        <v>171.55589386494441</v>
      </c>
      <c r="Q177" s="76">
        <f t="shared" si="141"/>
        <v>165.58529841225845</v>
      </c>
      <c r="R177" s="76">
        <f t="shared" si="141"/>
        <v>159.5362124114653</v>
      </c>
      <c r="S177" s="76">
        <f t="shared" si="141"/>
        <v>153.48910806234207</v>
      </c>
      <c r="T177" s="76">
        <f t="shared" si="141"/>
        <v>148.99881592648791</v>
      </c>
      <c r="U177" s="76">
        <f t="shared" si="141"/>
        <v>144.6584774559563</v>
      </c>
      <c r="V177" s="76">
        <f t="shared" si="141"/>
        <v>140.51436460922295</v>
      </c>
      <c r="W177" s="76">
        <f t="shared" si="141"/>
        <v>136.5758602451927</v>
      </c>
      <c r="X177" s="76">
        <f t="shared" si="141"/>
        <v>132.82419588444958</v>
      </c>
      <c r="Y177" s="76">
        <f t="shared" si="141"/>
        <v>130.16421891359096</v>
      </c>
      <c r="Z177" s="76">
        <f t="shared" si="141"/>
        <v>127.61884081004416</v>
      </c>
      <c r="AA177" s="76">
        <f t="shared" si="141"/>
        <v>125.15779972661633</v>
      </c>
      <c r="AB177" s="76">
        <f t="shared" si="141"/>
        <v>122.75670577278557</v>
      </c>
      <c r="AC177" s="76">
        <f t="shared" si="141"/>
        <v>120.39721302972863</v>
      </c>
    </row>
    <row r="178" spans="1:29" ht="15.75" thickBot="1" x14ac:dyDescent="0.3"/>
    <row r="179" spans="1:29" ht="15.75" thickBot="1" x14ac:dyDescent="0.3">
      <c r="A179" s="26" t="s">
        <v>503</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2.4929435480202329E-2</v>
      </c>
      <c r="C187" s="66">
        <f t="shared" ref="C187:AC187" si="150">C145*C146*C153/C153/(C150)</f>
        <v>2.3925969605526138E-2</v>
      </c>
      <c r="D187" s="66">
        <f t="shared" si="150"/>
        <v>2.2921959175414862E-2</v>
      </c>
      <c r="E187" s="66">
        <f t="shared" si="150"/>
        <v>2.2016681961250777E-2</v>
      </c>
      <c r="F187" s="66">
        <f t="shared" si="150"/>
        <v>2.1110378274810944E-2</v>
      </c>
      <c r="G187" s="66">
        <f t="shared" si="150"/>
        <v>2.020269397251865E-2</v>
      </c>
      <c r="H187" s="66">
        <f t="shared" si="150"/>
        <v>1.9293166939854573E-2</v>
      </c>
      <c r="I187" s="66">
        <f t="shared" si="150"/>
        <v>1.8381205814213389E-2</v>
      </c>
      <c r="J187" s="66">
        <f t="shared" si="150"/>
        <v>1.7937265927528374E-2</v>
      </c>
      <c r="K187" s="66">
        <f t="shared" si="150"/>
        <v>1.7488189680818875E-2</v>
      </c>
      <c r="L187" s="66">
        <f t="shared" si="150"/>
        <v>1.7032372911900722E-2</v>
      </c>
      <c r="M187" s="66">
        <f t="shared" si="150"/>
        <v>1.6567975451505536E-2</v>
      </c>
      <c r="N187" s="66">
        <f t="shared" si="150"/>
        <v>1.6093137076594651E-2</v>
      </c>
      <c r="O187" s="66">
        <f t="shared" si="150"/>
        <v>1.5509626211890823E-2</v>
      </c>
      <c r="P187" s="66">
        <f t="shared" si="150"/>
        <v>1.491492541416529E-2</v>
      </c>
      <c r="Q187" s="66">
        <f t="shared" si="150"/>
        <v>1.4311053402986945E-2</v>
      </c>
      <c r="R187" s="66">
        <f t="shared" si="150"/>
        <v>1.3702528941384932E-2</v>
      </c>
      <c r="S187" s="66">
        <f t="shared" si="150"/>
        <v>1.3095973637332746E-2</v>
      </c>
      <c r="T187" s="66">
        <f t="shared" si="150"/>
        <v>1.2653504102422237E-2</v>
      </c>
      <c r="U187" s="66">
        <f t="shared" si="150"/>
        <v>1.2223970732425912E-2</v>
      </c>
      <c r="V187" s="66">
        <f t="shared" si="150"/>
        <v>1.1810733484618505E-2</v>
      </c>
      <c r="W187" s="66">
        <f t="shared" si="150"/>
        <v>1.1414215869229888E-2</v>
      </c>
      <c r="X187" s="66">
        <f t="shared" si="150"/>
        <v>1.1032670067791295E-2</v>
      </c>
      <c r="Y187" s="66">
        <f t="shared" si="150"/>
        <v>1.0762552215695709E-2</v>
      </c>
      <c r="Z187" s="66">
        <f t="shared" si="150"/>
        <v>1.0501323123662048E-2</v>
      </c>
      <c r="AA187" s="66">
        <f t="shared" si="150"/>
        <v>1.0246588581024577E-2</v>
      </c>
      <c r="AB187" s="66">
        <f t="shared" si="150"/>
        <v>9.9964388365703528E-3</v>
      </c>
      <c r="AC187" s="66">
        <f t="shared" si="150"/>
        <v>9.7494494830798577E-3</v>
      </c>
    </row>
    <row r="188" spans="1:29" x14ac:dyDescent="0.25">
      <c r="A188" s="59" t="str">
        <f>A151</f>
        <v>Market failure (av. utilization)</v>
      </c>
      <c r="B188" s="66">
        <f t="shared" ref="B188:AC188" si="151">B177/B151-B177/B150</f>
        <v>2.1031213939593334E-2</v>
      </c>
      <c r="C188" s="66">
        <f t="shared" si="151"/>
        <v>2.0284203532119079E-2</v>
      </c>
      <c r="D188" s="66">
        <f t="shared" si="151"/>
        <v>1.953668211657212E-2</v>
      </c>
      <c r="E188" s="66">
        <f t="shared" si="151"/>
        <v>1.8862485511505461E-2</v>
      </c>
      <c r="F188" s="66">
        <f t="shared" si="151"/>
        <v>1.8187309579624722E-2</v>
      </c>
      <c r="G188" s="66">
        <f t="shared" si="151"/>
        <v>1.7510799738735535E-2</v>
      </c>
      <c r="H188" s="66">
        <f t="shared" si="151"/>
        <v>1.6832484200680762E-2</v>
      </c>
      <c r="I188" s="66">
        <f t="shared" si="151"/>
        <v>1.615174500483689E-2</v>
      </c>
      <c r="J188" s="66">
        <f t="shared" si="151"/>
        <v>1.5818444751889729E-2</v>
      </c>
      <c r="K188" s="66">
        <f t="shared" si="151"/>
        <v>1.5480139885229189E-2</v>
      </c>
      <c r="L188" s="66">
        <f t="shared" si="151"/>
        <v>1.5135214974414994E-2</v>
      </c>
      <c r="M188" s="66">
        <f t="shared" si="151"/>
        <v>1.4781785334305905E-2</v>
      </c>
      <c r="N188" s="66">
        <f t="shared" si="151"/>
        <v>1.4417892504157873E-2</v>
      </c>
      <c r="O188" s="66">
        <f t="shared" si="151"/>
        <v>1.396989399591891E-2</v>
      </c>
      <c r="P188" s="66">
        <f t="shared" si="151"/>
        <v>1.3510000255145121E-2</v>
      </c>
      <c r="Q188" s="66">
        <f t="shared" si="151"/>
        <v>1.3039816781573201E-2</v>
      </c>
      <c r="R188" s="66">
        <f t="shared" si="151"/>
        <v>1.2563452189410334E-2</v>
      </c>
      <c r="S188" s="66">
        <f t="shared" si="151"/>
        <v>1.2087243652011678E-2</v>
      </c>
      <c r="T188" s="66">
        <f t="shared" si="151"/>
        <v>1.1733633836957334E-2</v>
      </c>
      <c r="U188" s="66">
        <f t="shared" si="151"/>
        <v>1.1391832849983023E-2</v>
      </c>
      <c r="V188" s="66">
        <f t="shared" si="151"/>
        <v>1.1065484600701695E-2</v>
      </c>
      <c r="W188" s="66">
        <f t="shared" si="151"/>
        <v>1.0755327987808948E-2</v>
      </c>
      <c r="X188" s="66">
        <f t="shared" si="151"/>
        <v>1.045988499643752E-2</v>
      </c>
      <c r="Y188" s="66">
        <f t="shared" si="151"/>
        <v>1.0250412219108921E-2</v>
      </c>
      <c r="Z188" s="66">
        <f t="shared" si="151"/>
        <v>1.0049964084954875E-2</v>
      </c>
      <c r="AA188" s="66">
        <f t="shared" si="151"/>
        <v>9.856157478163461E-3</v>
      </c>
      <c r="AB188" s="66">
        <f t="shared" si="151"/>
        <v>9.6670716986074507E-3</v>
      </c>
      <c r="AC188" s="66">
        <f t="shared" si="151"/>
        <v>9.4812620080012688E-3</v>
      </c>
    </row>
    <row r="189" spans="1:29" x14ac:dyDescent="0.25">
      <c r="A189" s="59" t="str">
        <f>A152</f>
        <v>Payload loss (fuel)</v>
      </c>
      <c r="B189" s="66">
        <f>B177/(B150-B152)-B177/B150</f>
        <v>1.1775289054720209E-3</v>
      </c>
      <c r="C189" s="66">
        <f t="shared" ref="C189:AC189" si="152">C177/(C150-C152)-C177/C150</f>
        <v>1.1357041040118768E-3</v>
      </c>
      <c r="D189" s="66">
        <f t="shared" si="152"/>
        <v>1.0938506914226556E-3</v>
      </c>
      <c r="E189" s="66">
        <f t="shared" si="152"/>
        <v>1.0561027044202267E-3</v>
      </c>
      <c r="F189" s="66">
        <f t="shared" si="152"/>
        <v>1.0182998853175314E-3</v>
      </c>
      <c r="G189" s="66">
        <f t="shared" si="152"/>
        <v>9.8042238120524261E-4</v>
      </c>
      <c r="H189" s="66">
        <f t="shared" si="152"/>
        <v>9.4244377686103151E-4</v>
      </c>
      <c r="I189" s="66">
        <f t="shared" si="152"/>
        <v>9.0432947292706789E-4</v>
      </c>
      <c r="J189" s="66">
        <f t="shared" si="152"/>
        <v>8.8566813063965799E-4</v>
      </c>
      <c r="K189" s="66">
        <f t="shared" si="152"/>
        <v>8.6672658211569761E-4</v>
      </c>
      <c r="L189" s="66">
        <f t="shared" si="152"/>
        <v>8.4741438007792172E-4</v>
      </c>
      <c r="M189" s="66">
        <f t="shared" si="152"/>
        <v>8.276260017905622E-4</v>
      </c>
      <c r="N189" s="66">
        <f t="shared" si="152"/>
        <v>8.0725179385258625E-4</v>
      </c>
      <c r="O189" s="66">
        <f t="shared" si="152"/>
        <v>7.8216854404233524E-4</v>
      </c>
      <c r="P189" s="66">
        <f t="shared" si="152"/>
        <v>7.564192851188048E-4</v>
      </c>
      <c r="Q189" s="66">
        <f t="shared" si="152"/>
        <v>7.3009390834329058E-4</v>
      </c>
      <c r="R189" s="66">
        <f t="shared" si="152"/>
        <v>7.0342245331333694E-4</v>
      </c>
      <c r="S189" s="66">
        <f t="shared" si="152"/>
        <v>6.7675973572461218E-4</v>
      </c>
      <c r="T189" s="66">
        <f t="shared" si="152"/>
        <v>6.5696126951714229E-4</v>
      </c>
      <c r="U189" s="66">
        <f t="shared" si="152"/>
        <v>6.3782397467352855E-4</v>
      </c>
      <c r="V189" s="66">
        <f t="shared" si="152"/>
        <v>6.1955187217470516E-4</v>
      </c>
      <c r="W189" s="66">
        <f t="shared" si="152"/>
        <v>6.0218633265076218E-4</v>
      </c>
      <c r="X189" s="66">
        <f t="shared" si="152"/>
        <v>5.8564460266512068E-4</v>
      </c>
      <c r="Y189" s="66">
        <f t="shared" si="152"/>
        <v>5.7391630914281622E-4</v>
      </c>
      <c r="Z189" s="66">
        <f t="shared" si="152"/>
        <v>5.6269330163158729E-4</v>
      </c>
      <c r="AA189" s="66">
        <f t="shared" si="152"/>
        <v>5.5184215047008982E-4</v>
      </c>
      <c r="AB189" s="66">
        <f t="shared" si="152"/>
        <v>5.4125531645849052E-4</v>
      </c>
      <c r="AC189" s="66">
        <f t="shared" si="152"/>
        <v>5.3085190930215326E-4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505</v>
      </c>
      <c r="B191" s="67">
        <f>B180+B181+B182+B183+B184+B185+B186+B187+B188+B189+B190</f>
        <v>5.0400453579734043E-2</v>
      </c>
      <c r="C191" s="67">
        <f t="shared" ref="C191:AC191" si="154">C180+C181+C182+C183+C184+C185+C186+C187+C188+C189+C190</f>
        <v>4.8607823135756102E-2</v>
      </c>
      <c r="D191" s="67">
        <f t="shared" si="154"/>
        <v>4.6813966405478705E-2</v>
      </c>
      <c r="E191" s="67">
        <f t="shared" si="154"/>
        <v>4.5196070125351297E-2</v>
      </c>
      <c r="F191" s="67">
        <f t="shared" si="154"/>
        <v>4.3575823715903114E-2</v>
      </c>
      <c r="G191" s="67">
        <f t="shared" si="154"/>
        <v>4.1952376272206798E-2</v>
      </c>
      <c r="H191" s="67">
        <f t="shared" si="154"/>
        <v>4.0324595625546716E-2</v>
      </c>
      <c r="I191" s="67">
        <f t="shared" si="154"/>
        <v>3.8690998831353671E-2</v>
      </c>
      <c r="J191" s="67">
        <f t="shared" si="154"/>
        <v>3.7891165021221355E-2</v>
      </c>
      <c r="K191" s="67">
        <f t="shared" si="154"/>
        <v>3.7079321441461754E-2</v>
      </c>
      <c r="L191" s="67">
        <f t="shared" si="154"/>
        <v>3.6251591479703207E-2</v>
      </c>
      <c r="M191" s="67">
        <f t="shared" si="154"/>
        <v>3.5403452382410175E-2</v>
      </c>
      <c r="N191" s="67">
        <f t="shared" si="154"/>
        <v>3.4530204353812752E-2</v>
      </c>
      <c r="O191" s="67">
        <f t="shared" si="154"/>
        <v>3.3455124600317437E-2</v>
      </c>
      <c r="P191" s="67">
        <f t="shared" si="154"/>
        <v>3.2351499386455332E-2</v>
      </c>
      <c r="Q191" s="67">
        <f t="shared" si="154"/>
        <v>3.1223181493495625E-2</v>
      </c>
      <c r="R191" s="67">
        <f t="shared" si="154"/>
        <v>3.0080030525583952E-2</v>
      </c>
      <c r="S191" s="67">
        <f t="shared" si="154"/>
        <v>2.8937254048467132E-2</v>
      </c>
      <c r="T191" s="67">
        <f t="shared" si="154"/>
        <v>2.8088682578226044E-2</v>
      </c>
      <c r="U191" s="67">
        <f t="shared" si="154"/>
        <v>2.7268449220161386E-2</v>
      </c>
      <c r="V191" s="67">
        <f t="shared" si="154"/>
        <v>2.6485298408409449E-2</v>
      </c>
      <c r="W191" s="67">
        <f t="shared" si="154"/>
        <v>2.5741003307418134E-2</v>
      </c>
      <c r="X191" s="67">
        <f t="shared" si="154"/>
        <v>2.5032017066405704E-2</v>
      </c>
      <c r="Y191" s="67">
        <f t="shared" si="154"/>
        <v>2.4529336951019498E-2</v>
      </c>
      <c r="Z191" s="67">
        <f t="shared" si="154"/>
        <v>2.404831362908472E-2</v>
      </c>
      <c r="AA191" s="67">
        <f t="shared" si="154"/>
        <v>2.3583228243255851E-2</v>
      </c>
      <c r="AB191" s="67">
        <f t="shared" si="154"/>
        <v>2.3129471613409849E-2</v>
      </c>
      <c r="AC191" s="67">
        <f t="shared" si="154"/>
        <v>2.2683576743895276E-2</v>
      </c>
    </row>
    <row r="193" spans="2:2" x14ac:dyDescent="0.25">
      <c r="B193" s="40"/>
    </row>
    <row r="215" spans="1:44" s="3" customFormat="1" ht="21" x14ac:dyDescent="0.35">
      <c r="A215" s="2" t="str">
        <f>'Parameter Input'!A235</f>
        <v>Short-sea: Break bulk</v>
      </c>
    </row>
    <row r="216" spans="1:44" s="3" customFormat="1" ht="21" x14ac:dyDescent="0.35">
      <c r="A216" s="2" t="s">
        <v>99</v>
      </c>
    </row>
    <row r="217" spans="1:44" x14ac:dyDescent="0.25">
      <c r="A217" s="33" t="s">
        <v>491</v>
      </c>
    </row>
    <row r="218" spans="1:44" x14ac:dyDescent="0.25">
      <c r="A218" s="33" t="s">
        <v>492</v>
      </c>
    </row>
    <row r="219" spans="1:44" ht="15.75" thickBot="1" x14ac:dyDescent="0.3">
      <c r="A219" s="34" t="s">
        <v>493</v>
      </c>
      <c r="B219" s="34"/>
    </row>
    <row r="220" spans="1:44" ht="15.75" thickBot="1" x14ac:dyDescent="0.3">
      <c r="A220" s="39" t="s">
        <v>494</v>
      </c>
      <c r="B220" s="35"/>
    </row>
    <row r="221" spans="1:44" ht="15.75" thickBot="1" x14ac:dyDescent="0.3">
      <c r="A221" s="38" t="s">
        <v>495</v>
      </c>
      <c r="B221" s="36"/>
    </row>
    <row r="222" spans="1:44" ht="15.75" thickBot="1" x14ac:dyDescent="0.3"/>
    <row r="223" spans="1:44" x14ac:dyDescent="0.25">
      <c r="A223" s="5" t="s">
        <v>496</v>
      </c>
      <c r="B223" s="6">
        <v>2023</v>
      </c>
      <c r="C223" s="6">
        <v>2050</v>
      </c>
      <c r="D223" s="7"/>
      <c r="E223" s="5" t="s">
        <v>497</v>
      </c>
      <c r="F223" s="8"/>
      <c r="G223" s="8"/>
      <c r="H223" s="8"/>
      <c r="I223" s="8"/>
      <c r="J223" s="8"/>
      <c r="K223" s="9"/>
      <c r="L223" s="10" t="s">
        <v>129</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498</v>
      </c>
      <c r="C224" s="3" t="s">
        <v>499</v>
      </c>
      <c r="D224" s="16" t="s">
        <v>86</v>
      </c>
      <c r="E224" s="17"/>
      <c r="F224" s="18"/>
      <c r="G224" s="18"/>
      <c r="H224" s="18"/>
      <c r="I224" s="18"/>
      <c r="J224" s="18"/>
      <c r="K224" s="19"/>
      <c r="L224" s="20" t="s">
        <v>87</v>
      </c>
      <c r="M224" s="20" t="s">
        <v>500</v>
      </c>
      <c r="N224" s="20" t="s">
        <v>501</v>
      </c>
      <c r="O224" s="20" t="s">
        <v>88</v>
      </c>
      <c r="P224" s="21" t="s">
        <v>89</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141</v>
      </c>
      <c r="B225" s="41">
        <f>'Parameter Input'!$L$261</f>
        <v>19500000</v>
      </c>
      <c r="C225" s="42">
        <f>'Parameter Input'!$M$261</f>
        <v>15000000</v>
      </c>
      <c r="D225" s="1" t="s">
        <v>138</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151</v>
      </c>
      <c r="B226" s="60">
        <f>'Parameter Input'!$L$262</f>
        <v>-975000</v>
      </c>
      <c r="C226" s="61">
        <f>'Parameter Input'!$M$262</f>
        <v>-1500000</v>
      </c>
      <c r="D226" s="1" t="s">
        <v>138</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137</v>
      </c>
      <c r="B227" s="60">
        <f>'Parameter Input'!B236</f>
        <v>1000000</v>
      </c>
      <c r="C227" s="61">
        <f>'Parameter Input'!C236</f>
        <v>1000000</v>
      </c>
      <c r="D227" s="1" t="s">
        <v>138</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148</v>
      </c>
      <c r="B228" s="60">
        <f>'Parameter Input'!B237</f>
        <v>-100000</v>
      </c>
      <c r="C228" s="61">
        <f>'Parameter Input'!C237</f>
        <v>-100000</v>
      </c>
      <c r="D228" s="1" t="s">
        <v>138</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203</v>
      </c>
      <c r="B229" s="92">
        <f>'Parameter Input'!$L$268</f>
        <v>0.06</v>
      </c>
      <c r="C229" s="91">
        <f>'Parameter Input'!$M$268</f>
        <v>0.06</v>
      </c>
      <c r="D229" s="1" t="s">
        <v>180</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160</v>
      </c>
      <c r="B230" s="60">
        <f>'Parameter Input'!B238</f>
        <v>1208235.294117647</v>
      </c>
      <c r="C230" s="61">
        <f>'Parameter Input'!C238</f>
        <v>1208235.294117647</v>
      </c>
      <c r="D230" s="1" t="s">
        <v>161</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175</v>
      </c>
      <c r="B231" s="60">
        <f>'Parameter Input'!$L$264</f>
        <v>488235.29411764705</v>
      </c>
      <c r="C231" s="61">
        <f>'Parameter Input'!$M$264</f>
        <v>488235.29411764705</v>
      </c>
      <c r="D231" s="1" t="s">
        <v>161</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199</v>
      </c>
      <c r="B232" s="92">
        <f>'Parameter Input'!B243</f>
        <v>0.81280569096848254</v>
      </c>
      <c r="C232" s="61">
        <f>'Parameter Input'!C243</f>
        <v>0.81280569096848254</v>
      </c>
      <c r="D232" s="1" t="s">
        <v>200</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183</v>
      </c>
      <c r="B233" s="60">
        <f>'Parameter Input'!$L$265</f>
        <v>647</v>
      </c>
      <c r="C233" s="61">
        <f>'Parameter Input'!$M$265</f>
        <v>600</v>
      </c>
      <c r="D233" s="1" t="s">
        <v>184</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191</v>
      </c>
      <c r="B234" s="78">
        <f>'Parameter Input'!$L$266</f>
        <v>0.46076973995226939</v>
      </c>
      <c r="C234" s="61">
        <f>'Parameter Input'!$M$266</f>
        <v>0.14224714585492179</v>
      </c>
      <c r="D234" s="1" t="s">
        <v>94</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458</v>
      </c>
      <c r="B235" s="115">
        <f>'Parameter Input'!$L$269</f>
        <v>0</v>
      </c>
      <c r="C235" s="116">
        <f>'Parameter Input'!$M$269</f>
        <v>0</v>
      </c>
      <c r="D235" s="1" t="s">
        <v>200</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164</v>
      </c>
      <c r="B236" s="60">
        <f>'Parameter Input'!$L$263</f>
        <v>25</v>
      </c>
      <c r="C236" s="61">
        <f>'Parameter Input'!$M$263</f>
        <v>25</v>
      </c>
      <c r="D236" s="1" t="s">
        <v>165</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194</v>
      </c>
      <c r="B237" s="60">
        <f>'Parameter Input'!B242</f>
        <v>25</v>
      </c>
      <c r="C237" s="61">
        <f>'Parameter Input'!C242</f>
        <v>25</v>
      </c>
      <c r="D237" s="1" t="s">
        <v>165</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502</v>
      </c>
      <c r="B238" s="43">
        <f>'Parameter Input'!B239</f>
        <v>9450</v>
      </c>
      <c r="C238" s="44">
        <f>'Parameter Input'!C239</f>
        <v>9450</v>
      </c>
      <c r="D238" s="1" t="s">
        <v>172</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179</v>
      </c>
      <c r="B239" s="45">
        <f>'Parameter Input'!B240</f>
        <v>0.52</v>
      </c>
      <c r="C239" s="46">
        <f>'Parameter Input'!C240</f>
        <v>0.52</v>
      </c>
      <c r="D239" s="1" t="s">
        <v>180</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197</v>
      </c>
      <c r="B240" s="45">
        <f>'Parameter Input'!$L$267</f>
        <v>0.04</v>
      </c>
      <c r="C240" s="46">
        <f>'Parameter Input'!$M$267</f>
        <v>0.04</v>
      </c>
      <c r="D240" s="1" t="s">
        <v>180</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188</v>
      </c>
      <c r="B241" s="49">
        <f>'Parameter Input'!B241</f>
        <v>120000</v>
      </c>
      <c r="C241" s="50">
        <f>'Parameter Input'!C241</f>
        <v>120000</v>
      </c>
      <c r="D241" s="1" t="s">
        <v>189</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503</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0.36417427635318367</v>
      </c>
      <c r="C254" s="62">
        <f>'Parameter Input'!K7</f>
        <v>0.34953957198802377</v>
      </c>
      <c r="D254" s="62">
        <f>'Parameter Input'!L7</f>
        <v>0.33490486762286403</v>
      </c>
      <c r="E254" s="62">
        <f>'Parameter Input'!M7</f>
        <v>0.32172366231345256</v>
      </c>
      <c r="F254" s="62">
        <f>'Parameter Input'!N7</f>
        <v>0.30854245700404115</v>
      </c>
      <c r="G254" s="62">
        <f>'Parameter Input'!O7</f>
        <v>0.29536125169462968</v>
      </c>
      <c r="H254" s="62">
        <f>'Parameter Input'!P7</f>
        <v>0.28218004638521826</v>
      </c>
      <c r="I254" s="62">
        <f>'Parameter Input'!Q7</f>
        <v>0.26899884107580674</v>
      </c>
      <c r="J254" s="62">
        <f>'Parameter Input'!R7</f>
        <v>0.26271894785871058</v>
      </c>
      <c r="K254" s="62">
        <f>'Parameter Input'!S7</f>
        <v>0.25643905464161443</v>
      </c>
      <c r="L254" s="62">
        <f>'Parameter Input'!T7</f>
        <v>0.25015916142451827</v>
      </c>
      <c r="M254" s="62">
        <f>'Parameter Input'!U7</f>
        <v>0.24387926820742209</v>
      </c>
      <c r="N254" s="62">
        <f>'Parameter Input'!V7</f>
        <v>0.23759937499032585</v>
      </c>
      <c r="O254" s="62">
        <f>'Parameter Input'!W7</f>
        <v>0.22988467822493394</v>
      </c>
      <c r="P254" s="62">
        <f>'Parameter Input'!X7</f>
        <v>0.22216998145954203</v>
      </c>
      <c r="Q254" s="62">
        <f>'Parameter Input'!Y7</f>
        <v>0.21445528469415012</v>
      </c>
      <c r="R254" s="62">
        <f>'Parameter Input'!Z7</f>
        <v>0.20674058792875821</v>
      </c>
      <c r="S254" s="62">
        <f>'Parameter Input'!AA7</f>
        <v>0.19902589116336625</v>
      </c>
      <c r="T254" s="62">
        <f>'Parameter Input'!AB7</f>
        <v>0.19368220926450147</v>
      </c>
      <c r="U254" s="62">
        <f>'Parameter Input'!AC7</f>
        <v>0.18833852736563667</v>
      </c>
      <c r="V254" s="62">
        <f>'Parameter Input'!AD7</f>
        <v>0.18299484546677189</v>
      </c>
      <c r="W254" s="62">
        <f>'Parameter Input'!AE7</f>
        <v>0.17765116356790711</v>
      </c>
      <c r="X254" s="62">
        <f>'Parameter Input'!AF7</f>
        <v>0.17230748166904239</v>
      </c>
      <c r="Y254" s="62">
        <f>'Parameter Input'!AG7</f>
        <v>0.16851782325418166</v>
      </c>
      <c r="Z254" s="62">
        <f>'Parameter Input'!AH7</f>
        <v>0.16472816483932096</v>
      </c>
      <c r="AA254" s="62">
        <f>'Parameter Input'!AI7</f>
        <v>0.16093850642446025</v>
      </c>
      <c r="AB254" s="62">
        <f>'Parameter Input'!AJ7</f>
        <v>0.15714884800959955</v>
      </c>
      <c r="AC254" s="62">
        <f>'Parameter Input'!AK7</f>
        <v>0.15335918959473879</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197</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503</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28269979.834549442</v>
      </c>
      <c r="C271" s="62">
        <f t="shared" ref="C271:AC271" si="205">C253*C254*C261</f>
        <v>27132049.532666638</v>
      </c>
      <c r="D271" s="62">
        <f t="shared" si="205"/>
        <v>25993501.704920452</v>
      </c>
      <c r="E271" s="62">
        <f t="shared" si="205"/>
        <v>24966917.34405838</v>
      </c>
      <c r="F271" s="62">
        <f t="shared" si="205"/>
        <v>23939168.963635609</v>
      </c>
      <c r="G271" s="62">
        <f t="shared" si="205"/>
        <v>22909854.96483615</v>
      </c>
      <c r="H271" s="62">
        <f t="shared" si="205"/>
        <v>21878451.309795085</v>
      </c>
      <c r="I271" s="62">
        <f t="shared" si="205"/>
        <v>20844287.393317983</v>
      </c>
      <c r="J271" s="62">
        <f t="shared" si="205"/>
        <v>20340859.561817177</v>
      </c>
      <c r="K271" s="62">
        <f t="shared" si="205"/>
        <v>19831607.098048601</v>
      </c>
      <c r="L271" s="62">
        <f t="shared" si="205"/>
        <v>19314710.882095419</v>
      </c>
      <c r="M271" s="62">
        <f t="shared" si="205"/>
        <v>18788084.16200728</v>
      </c>
      <c r="N271" s="62">
        <f t="shared" si="205"/>
        <v>18249617.444858335</v>
      </c>
      <c r="O271" s="62">
        <f t="shared" si="205"/>
        <v>17587916.124284193</v>
      </c>
      <c r="P271" s="62">
        <f t="shared" si="205"/>
        <v>16913525.419663437</v>
      </c>
      <c r="Q271" s="62">
        <f t="shared" si="205"/>
        <v>16228734.558987197</v>
      </c>
      <c r="R271" s="62">
        <f t="shared" si="205"/>
        <v>15538667.819530513</v>
      </c>
      <c r="S271" s="62">
        <f t="shared" si="205"/>
        <v>14850834.104735333</v>
      </c>
      <c r="T271" s="62">
        <f t="shared" si="205"/>
        <v>14349073.652146816</v>
      </c>
      <c r="U271" s="62">
        <f t="shared" si="205"/>
        <v>13861982.810570983</v>
      </c>
      <c r="V271" s="62">
        <f t="shared" si="205"/>
        <v>13393371.771557385</v>
      </c>
      <c r="W271" s="62">
        <f t="shared" si="205"/>
        <v>12943720.795706693</v>
      </c>
      <c r="X271" s="62">
        <f t="shared" si="205"/>
        <v>12511047.856875328</v>
      </c>
      <c r="Y271" s="62">
        <f t="shared" si="205"/>
        <v>12204734.212598935</v>
      </c>
      <c r="Z271" s="62">
        <f t="shared" si="205"/>
        <v>11908500.422232762</v>
      </c>
      <c r="AA271" s="62">
        <f t="shared" si="205"/>
        <v>11619631.45088187</v>
      </c>
      <c r="AB271" s="62">
        <f t="shared" si="205"/>
        <v>11335961.64067078</v>
      </c>
      <c r="AC271" s="62">
        <f t="shared" si="205"/>
        <v>11055875.713812558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504</v>
      </c>
      <c r="B273" s="64">
        <f>B264+B265+B266+B267+B268+B269+B270+B271+B272</f>
        <v>31582677.782894723</v>
      </c>
      <c r="C273" s="64">
        <f t="shared" ref="C273:AC273" si="207">C264+C265+C266+C267+C268+C269+C270+C271+C272</f>
        <v>30444373.986355349</v>
      </c>
      <c r="D273" s="64">
        <f t="shared" si="207"/>
        <v>29305291.509327203</v>
      </c>
      <c r="E273" s="64">
        <f t="shared" si="207"/>
        <v>28277942.295069069</v>
      </c>
      <c r="F273" s="64">
        <f t="shared" si="207"/>
        <v>27249100.770370048</v>
      </c>
      <c r="G273" s="64">
        <f t="shared" si="207"/>
        <v>26218226.618450101</v>
      </c>
      <c r="H273" s="64">
        <f t="shared" si="207"/>
        <v>25184600.922618005</v>
      </c>
      <c r="I273" s="64">
        <f t="shared" si="207"/>
        <v>24147282.026751164</v>
      </c>
      <c r="J273" s="64">
        <f t="shared" si="207"/>
        <v>23639394.935057119</v>
      </c>
      <c r="K273" s="64">
        <f t="shared" si="207"/>
        <v>23123881.75042896</v>
      </c>
      <c r="L273" s="64">
        <f t="shared" si="207"/>
        <v>22598280.859768901</v>
      </c>
      <c r="M273" s="64">
        <f t="shared" si="207"/>
        <v>22059720.356300168</v>
      </c>
      <c r="N273" s="64">
        <f t="shared" si="207"/>
        <v>21505215.913060233</v>
      </c>
      <c r="O273" s="64">
        <f t="shared" si="207"/>
        <v>20822550.186224341</v>
      </c>
      <c r="P273" s="64">
        <f t="shared" si="207"/>
        <v>20121758.355361484</v>
      </c>
      <c r="Q273" s="64">
        <f t="shared" si="207"/>
        <v>19405286.901039168</v>
      </c>
      <c r="R273" s="64">
        <f t="shared" si="207"/>
        <v>18679396.58094399</v>
      </c>
      <c r="S273" s="64">
        <f t="shared" si="207"/>
        <v>17953744.059049204</v>
      </c>
      <c r="T273" s="64">
        <f t="shared" si="207"/>
        <v>17414909.002746705</v>
      </c>
      <c r="U273" s="64">
        <f t="shared" si="207"/>
        <v>16894068.38628291</v>
      </c>
      <c r="V273" s="64">
        <f t="shared" si="207"/>
        <v>16396774.844674908</v>
      </c>
      <c r="W273" s="64">
        <f t="shared" si="207"/>
        <v>15924154.32099128</v>
      </c>
      <c r="X273" s="64">
        <f t="shared" si="207"/>
        <v>15473954.597702101</v>
      </c>
      <c r="Y273" s="64">
        <f t="shared" si="207"/>
        <v>15154757.36119907</v>
      </c>
      <c r="Z273" s="64">
        <f t="shared" si="207"/>
        <v>14849311.988773454</v>
      </c>
      <c r="AA273" s="64">
        <f t="shared" si="207"/>
        <v>14553987.058762114</v>
      </c>
      <c r="AB273" s="64">
        <f t="shared" si="207"/>
        <v>14265855.784302421</v>
      </c>
      <c r="AC273" s="64">
        <f t="shared" si="207"/>
        <v>13982716.655135591</v>
      </c>
    </row>
    <row r="274" spans="1:29" ht="15.75" thickBot="1" x14ac:dyDescent="0.3">
      <c r="AC274" s="32"/>
    </row>
    <row r="275" spans="1:29" ht="15.75" thickBot="1" x14ac:dyDescent="0.3">
      <c r="A275" s="26" t="s">
        <v>503</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235.58316528791201</v>
      </c>
      <c r="C283" s="66">
        <f t="shared" ref="C283:AC283" si="216">C253*C254*C261/C261</f>
        <v>226.100412772222</v>
      </c>
      <c r="D283" s="66">
        <f t="shared" si="216"/>
        <v>216.61251420767044</v>
      </c>
      <c r="E283" s="66">
        <f t="shared" si="216"/>
        <v>208.05764453381983</v>
      </c>
      <c r="F283" s="66">
        <f t="shared" si="216"/>
        <v>199.49307469696342</v>
      </c>
      <c r="G283" s="66">
        <f t="shared" si="216"/>
        <v>190.91545804030125</v>
      </c>
      <c r="H283" s="66">
        <f t="shared" si="216"/>
        <v>182.32042758162572</v>
      </c>
      <c r="I283" s="66">
        <f t="shared" si="216"/>
        <v>173.70239494431652</v>
      </c>
      <c r="J283" s="66">
        <f t="shared" si="216"/>
        <v>169.50716301514313</v>
      </c>
      <c r="K283" s="66">
        <f t="shared" si="216"/>
        <v>165.26339248373836</v>
      </c>
      <c r="L283" s="66">
        <f t="shared" si="216"/>
        <v>160.95592401746183</v>
      </c>
      <c r="M283" s="66">
        <f t="shared" si="216"/>
        <v>156.56736801672733</v>
      </c>
      <c r="N283" s="66">
        <f t="shared" si="216"/>
        <v>152.08014537381945</v>
      </c>
      <c r="O283" s="66">
        <f t="shared" si="216"/>
        <v>146.56596770236828</v>
      </c>
      <c r="P283" s="66">
        <f t="shared" si="216"/>
        <v>140.94604516386198</v>
      </c>
      <c r="Q283" s="66">
        <f t="shared" si="216"/>
        <v>135.23945465822663</v>
      </c>
      <c r="R283" s="66">
        <f t="shared" si="216"/>
        <v>129.48889849608761</v>
      </c>
      <c r="S283" s="66">
        <f t="shared" si="216"/>
        <v>123.75695087279445</v>
      </c>
      <c r="T283" s="66">
        <f t="shared" si="216"/>
        <v>119.57561376789013</v>
      </c>
      <c r="U283" s="66">
        <f t="shared" si="216"/>
        <v>115.51652342142486</v>
      </c>
      <c r="V283" s="66">
        <f t="shared" si="216"/>
        <v>111.61143142964488</v>
      </c>
      <c r="W283" s="66">
        <f t="shared" si="216"/>
        <v>107.86433996422244</v>
      </c>
      <c r="X283" s="66">
        <f t="shared" si="216"/>
        <v>104.25873214062774</v>
      </c>
      <c r="Y283" s="66">
        <f t="shared" si="216"/>
        <v>101.70611843832445</v>
      </c>
      <c r="Z283" s="66">
        <f t="shared" si="216"/>
        <v>99.237503518606346</v>
      </c>
      <c r="AA283" s="66">
        <f t="shared" si="216"/>
        <v>96.830262090682254</v>
      </c>
      <c r="AB283" s="66">
        <f t="shared" si="216"/>
        <v>94.466347005589839</v>
      </c>
      <c r="AC283" s="66">
        <f t="shared" si="216"/>
        <v>92.132297615104648</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187</v>
      </c>
      <c r="B285" s="76">
        <f>B276+B277+B278-B279+B280+B281+B282+B283+B284</f>
        <v>263.31935938780981</v>
      </c>
      <c r="C285" s="76">
        <f t="shared" ref="C285:AC285" si="219">C276+C277+C278-C279+C280+C281+C282+C283+C284</f>
        <v>253.83349441664836</v>
      </c>
      <c r="D285" s="76">
        <f t="shared" si="219"/>
        <v>244.34114044141381</v>
      </c>
      <c r="E285" s="76">
        <f t="shared" si="219"/>
        <v>235.77989698926268</v>
      </c>
      <c r="F285" s="76">
        <f t="shared" si="219"/>
        <v>227.20621761677086</v>
      </c>
      <c r="G285" s="76">
        <f t="shared" si="219"/>
        <v>218.61559968410461</v>
      </c>
      <c r="H285" s="76">
        <f t="shared" si="219"/>
        <v>210.00205221883718</v>
      </c>
      <c r="I285" s="76">
        <f t="shared" si="219"/>
        <v>201.35772808661346</v>
      </c>
      <c r="J285" s="76">
        <f t="shared" si="219"/>
        <v>197.12533565582979</v>
      </c>
      <c r="K285" s="76">
        <f t="shared" si="219"/>
        <v>192.82939245059512</v>
      </c>
      <c r="L285" s="76">
        <f t="shared" si="219"/>
        <v>188.44938502842797</v>
      </c>
      <c r="M285" s="76">
        <f t="shared" si="219"/>
        <v>183.96138083285518</v>
      </c>
      <c r="N285" s="76">
        <f t="shared" si="219"/>
        <v>179.34051047252237</v>
      </c>
      <c r="O285" s="76">
        <f t="shared" si="219"/>
        <v>173.65162941555661</v>
      </c>
      <c r="P285" s="76">
        <f t="shared" si="219"/>
        <v>167.81169749169948</v>
      </c>
      <c r="Q285" s="76">
        <f t="shared" si="219"/>
        <v>161.84110203901352</v>
      </c>
      <c r="R285" s="76">
        <f t="shared" si="219"/>
        <v>155.79201603822037</v>
      </c>
      <c r="S285" s="76">
        <f t="shared" si="219"/>
        <v>149.74491168909714</v>
      </c>
      <c r="T285" s="76">
        <f t="shared" si="219"/>
        <v>145.25461955324297</v>
      </c>
      <c r="U285" s="76">
        <f t="shared" si="219"/>
        <v>140.91428108271137</v>
      </c>
      <c r="V285" s="76">
        <f t="shared" si="219"/>
        <v>136.77016823597802</v>
      </c>
      <c r="W285" s="76">
        <f t="shared" si="219"/>
        <v>132.8316638719478</v>
      </c>
      <c r="X285" s="76">
        <f t="shared" si="219"/>
        <v>129.07999951120465</v>
      </c>
      <c r="Y285" s="76">
        <f t="shared" si="219"/>
        <v>126.42002254034603</v>
      </c>
      <c r="Z285" s="76">
        <f t="shared" si="219"/>
        <v>123.87464443679923</v>
      </c>
      <c r="AA285" s="76">
        <f t="shared" si="219"/>
        <v>121.4136033533714</v>
      </c>
      <c r="AB285" s="76">
        <f t="shared" si="219"/>
        <v>119.01250939954065</v>
      </c>
      <c r="AC285" s="76">
        <f t="shared" si="219"/>
        <v>116.6530166564837</v>
      </c>
    </row>
    <row r="286" spans="1:29" ht="15.75" thickBot="1" x14ac:dyDescent="0.3"/>
    <row r="287" spans="1:29" ht="15.75" thickBot="1" x14ac:dyDescent="0.3">
      <c r="A287" s="26" t="s">
        <v>503</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2.4929435480202329E-2</v>
      </c>
      <c r="C295" s="66">
        <f t="shared" ref="C295:AC295" si="228">C253*C254*C261/C261/(C258)</f>
        <v>2.3925969605526138E-2</v>
      </c>
      <c r="D295" s="66">
        <f t="shared" si="228"/>
        <v>2.2921959175414862E-2</v>
      </c>
      <c r="E295" s="66">
        <f t="shared" si="228"/>
        <v>2.2016681961250777E-2</v>
      </c>
      <c r="F295" s="66">
        <f t="shared" si="228"/>
        <v>2.1110378274810944E-2</v>
      </c>
      <c r="G295" s="66">
        <f t="shared" si="228"/>
        <v>2.020269397251865E-2</v>
      </c>
      <c r="H295" s="66">
        <f t="shared" si="228"/>
        <v>1.9293166939854573E-2</v>
      </c>
      <c r="I295" s="66">
        <f t="shared" si="228"/>
        <v>1.8381205814213389E-2</v>
      </c>
      <c r="J295" s="66">
        <f t="shared" si="228"/>
        <v>1.7937265927528374E-2</v>
      </c>
      <c r="K295" s="66">
        <f t="shared" si="228"/>
        <v>1.7488189680818875E-2</v>
      </c>
      <c r="L295" s="66">
        <f t="shared" si="228"/>
        <v>1.7032372911900722E-2</v>
      </c>
      <c r="M295" s="66">
        <f t="shared" si="228"/>
        <v>1.6567975451505536E-2</v>
      </c>
      <c r="N295" s="66">
        <f t="shared" si="228"/>
        <v>1.6093137076594651E-2</v>
      </c>
      <c r="O295" s="66">
        <f t="shared" si="228"/>
        <v>1.5509626211890823E-2</v>
      </c>
      <c r="P295" s="66">
        <f t="shared" si="228"/>
        <v>1.491492541416529E-2</v>
      </c>
      <c r="Q295" s="66">
        <f t="shared" si="228"/>
        <v>1.4311053402986945E-2</v>
      </c>
      <c r="R295" s="66">
        <f t="shared" si="228"/>
        <v>1.3702528941384932E-2</v>
      </c>
      <c r="S295" s="66">
        <f t="shared" si="228"/>
        <v>1.3095973637332746E-2</v>
      </c>
      <c r="T295" s="66">
        <f t="shared" si="228"/>
        <v>1.2653504102422237E-2</v>
      </c>
      <c r="U295" s="66">
        <f t="shared" si="228"/>
        <v>1.2223970732425912E-2</v>
      </c>
      <c r="V295" s="66">
        <f t="shared" si="228"/>
        <v>1.1810733484618505E-2</v>
      </c>
      <c r="W295" s="66">
        <f t="shared" si="228"/>
        <v>1.1414215869229888E-2</v>
      </c>
      <c r="X295" s="66">
        <f t="shared" si="228"/>
        <v>1.1032670067791295E-2</v>
      </c>
      <c r="Y295" s="66">
        <f t="shared" si="228"/>
        <v>1.0762552215695709E-2</v>
      </c>
      <c r="Z295" s="66">
        <f t="shared" si="228"/>
        <v>1.0501323123662048E-2</v>
      </c>
      <c r="AA295" s="66">
        <f t="shared" si="228"/>
        <v>1.0246588581024577E-2</v>
      </c>
      <c r="AB295" s="66">
        <f t="shared" si="228"/>
        <v>9.9964388365703528E-3</v>
      </c>
      <c r="AC295" s="66">
        <f t="shared" si="228"/>
        <v>9.7494494830798577E-3</v>
      </c>
    </row>
    <row r="296" spans="1:29" x14ac:dyDescent="0.25">
      <c r="A296" s="59" t="str">
        <f>A259</f>
        <v>Market failure (av. utilization)</v>
      </c>
      <c r="B296" s="66">
        <f t="shared" ref="B296:AC296" si="229">B285/B259-B285/B258</f>
        <v>2.5721060746062008E-2</v>
      </c>
      <c r="C296" s="66">
        <f t="shared" si="229"/>
        <v>2.4794480529098745E-2</v>
      </c>
      <c r="D296" s="66">
        <f t="shared" si="229"/>
        <v>2.3867266465583768E-2</v>
      </c>
      <c r="E296" s="66">
        <f t="shared" si="229"/>
        <v>2.3031003368914549E-2</v>
      </c>
      <c r="F296" s="66">
        <f t="shared" si="229"/>
        <v>2.2193525530331711E-2</v>
      </c>
      <c r="G296" s="66">
        <f t="shared" si="229"/>
        <v>2.1354393131536472E-2</v>
      </c>
      <c r="H296" s="66">
        <f t="shared" si="229"/>
        <v>2.0513020973756992E-2</v>
      </c>
      <c r="I296" s="66">
        <f t="shared" si="229"/>
        <v>1.9668642548142951E-2</v>
      </c>
      <c r="J296" s="66">
        <f t="shared" si="229"/>
        <v>1.9255222042083492E-2</v>
      </c>
      <c r="K296" s="66">
        <f t="shared" si="229"/>
        <v>1.883559389016802E-2</v>
      </c>
      <c r="L296" s="66">
        <f t="shared" si="229"/>
        <v>1.8407754337331179E-2</v>
      </c>
      <c r="M296" s="66">
        <f t="shared" si="229"/>
        <v>1.796936564911894E-2</v>
      </c>
      <c r="N296" s="66">
        <f t="shared" si="229"/>
        <v>1.7517998580954562E-2</v>
      </c>
      <c r="O296" s="66">
        <f t="shared" si="229"/>
        <v>1.6962308123619693E-2</v>
      </c>
      <c r="P296" s="66">
        <f t="shared" si="229"/>
        <v>1.6391863002852208E-2</v>
      </c>
      <c r="Q296" s="66">
        <f t="shared" si="229"/>
        <v>1.5808654655825496E-2</v>
      </c>
      <c r="R296" s="66">
        <f t="shared" si="229"/>
        <v>1.521777934439271E-2</v>
      </c>
      <c r="S296" s="66">
        <f t="shared" si="229"/>
        <v>1.4627097600888608E-2</v>
      </c>
      <c r="T296" s="66">
        <f t="shared" si="229"/>
        <v>1.4188485426446202E-2</v>
      </c>
      <c r="U296" s="66">
        <f t="shared" si="229"/>
        <v>1.3764520740679988E-2</v>
      </c>
      <c r="V296" s="66">
        <f t="shared" si="229"/>
        <v>1.3359723393013728E-2</v>
      </c>
      <c r="W296" s="66">
        <f t="shared" si="229"/>
        <v>1.2975009902021762E-2</v>
      </c>
      <c r="X296" s="66">
        <f t="shared" si="229"/>
        <v>1.2608546960801431E-2</v>
      </c>
      <c r="Y296" s="66">
        <f t="shared" si="229"/>
        <v>1.2348720150461149E-2</v>
      </c>
      <c r="Z296" s="66">
        <f t="shared" si="229"/>
        <v>1.2100087368673917E-2</v>
      </c>
      <c r="AA296" s="66">
        <f t="shared" si="229"/>
        <v>1.1859692635249955E-2</v>
      </c>
      <c r="AB296" s="66">
        <f t="shared" si="229"/>
        <v>1.1625153543300674E-2</v>
      </c>
      <c r="AC296" s="66">
        <f t="shared" si="229"/>
        <v>1.1394678061683388E-2</v>
      </c>
    </row>
    <row r="297" spans="1:29" x14ac:dyDescent="0.25">
      <c r="A297" s="59" t="str">
        <f>A260</f>
        <v>Payload loss (fuel)</v>
      </c>
      <c r="B297" s="66">
        <f>B285/(B258-B260)-B285/B258</f>
        <v>1.1610201031208543E-3</v>
      </c>
      <c r="C297" s="66">
        <f t="shared" ref="C297:AC297" si="230">C285/(C258-C260)-C285/C258</f>
        <v>1.1191953016607067E-3</v>
      </c>
      <c r="D297" s="66">
        <f t="shared" si="230"/>
        <v>1.0773418890714891E-3</v>
      </c>
      <c r="E297" s="66">
        <f t="shared" si="230"/>
        <v>1.0395939020690602E-3</v>
      </c>
      <c r="F297" s="66">
        <f t="shared" si="230"/>
        <v>1.0017910829663614E-3</v>
      </c>
      <c r="G297" s="66">
        <f t="shared" si="230"/>
        <v>9.6391357885407605E-4</v>
      </c>
      <c r="H297" s="66">
        <f t="shared" si="230"/>
        <v>9.2593497450986495E-4</v>
      </c>
      <c r="I297" s="66">
        <f t="shared" si="230"/>
        <v>8.8782067057589786E-4</v>
      </c>
      <c r="J297" s="66">
        <f t="shared" si="230"/>
        <v>8.6915932828849143E-4</v>
      </c>
      <c r="K297" s="66">
        <f t="shared" si="230"/>
        <v>8.5021777976452759E-4</v>
      </c>
      <c r="L297" s="66">
        <f t="shared" si="230"/>
        <v>8.3090557772675516E-4</v>
      </c>
      <c r="M297" s="66">
        <f t="shared" si="230"/>
        <v>8.1111719943939564E-4</v>
      </c>
      <c r="N297" s="66">
        <f t="shared" si="230"/>
        <v>7.9074299150141969E-4</v>
      </c>
      <c r="O297" s="66">
        <f t="shared" si="230"/>
        <v>7.6565974169116868E-4</v>
      </c>
      <c r="P297" s="66">
        <f t="shared" si="230"/>
        <v>7.3991048276763477E-4</v>
      </c>
      <c r="Q297" s="66">
        <f t="shared" si="230"/>
        <v>7.1358510599212055E-4</v>
      </c>
      <c r="R297" s="66">
        <f t="shared" si="230"/>
        <v>6.8691365096217039E-4</v>
      </c>
      <c r="S297" s="66">
        <f t="shared" si="230"/>
        <v>6.6025093337344562E-4</v>
      </c>
      <c r="T297" s="66">
        <f t="shared" si="230"/>
        <v>6.4045246716597573E-4</v>
      </c>
      <c r="U297" s="66">
        <f t="shared" si="230"/>
        <v>6.2131517232236026E-4</v>
      </c>
      <c r="V297" s="66">
        <f t="shared" si="230"/>
        <v>6.0304306982353686E-4</v>
      </c>
      <c r="W297" s="66">
        <f t="shared" si="230"/>
        <v>5.8567753029959389E-4</v>
      </c>
      <c r="X297" s="66">
        <f t="shared" si="230"/>
        <v>5.6913580031395412E-4</v>
      </c>
      <c r="Y297" s="66">
        <f t="shared" si="230"/>
        <v>5.5740750679164966E-4</v>
      </c>
      <c r="Z297" s="66">
        <f t="shared" si="230"/>
        <v>5.4618449928042073E-4</v>
      </c>
      <c r="AA297" s="66">
        <f t="shared" si="230"/>
        <v>5.3533334811892153E-4</v>
      </c>
      <c r="AB297" s="66">
        <f t="shared" si="230"/>
        <v>5.2474651410732223E-4</v>
      </c>
      <c r="AC297" s="66">
        <f t="shared" si="230"/>
        <v>5.143431069509867E-4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505</v>
      </c>
      <c r="B299" s="67">
        <f>B288+B289+B290+B291+B292+B293+B294+B295+B296+B297+B298</f>
        <v>5.47327667247514E-2</v>
      </c>
      <c r="C299" s="67">
        <f t="shared" ref="C299:AC299" si="232">C288+C289+C290+C291+C292+C293+C294+C295+C296+C297+C298</f>
        <v>5.2760566471284451E-2</v>
      </c>
      <c r="D299" s="67">
        <f t="shared" si="232"/>
        <v>5.0787017093039039E-2</v>
      </c>
      <c r="E299" s="67">
        <f t="shared" si="232"/>
        <v>4.9007054321309071E-2</v>
      </c>
      <c r="F299" s="67">
        <f t="shared" si="232"/>
        <v>4.7224506005158789E-2</v>
      </c>
      <c r="G299" s="67">
        <f t="shared" si="232"/>
        <v>4.5438436003556418E-2</v>
      </c>
      <c r="H299" s="67">
        <f t="shared" si="232"/>
        <v>4.3647598737171625E-2</v>
      </c>
      <c r="I299" s="67">
        <f t="shared" si="232"/>
        <v>4.1850362713208411E-2</v>
      </c>
      <c r="J299" s="67">
        <f t="shared" si="232"/>
        <v>4.0970408649963805E-2</v>
      </c>
      <c r="K299" s="67">
        <f t="shared" si="232"/>
        <v>4.0077241784949272E-2</v>
      </c>
      <c r="L299" s="67">
        <f t="shared" si="232"/>
        <v>3.9166597181168078E-2</v>
      </c>
      <c r="M299" s="67">
        <f t="shared" si="232"/>
        <v>3.823349903577189E-2</v>
      </c>
      <c r="N299" s="67">
        <f t="shared" si="232"/>
        <v>3.7272776769158127E-2</v>
      </c>
      <c r="O299" s="67">
        <f t="shared" si="232"/>
        <v>3.6090005066566892E-2</v>
      </c>
      <c r="P299" s="67">
        <f t="shared" si="232"/>
        <v>3.4875828472711097E-2</v>
      </c>
      <c r="Q299" s="67">
        <f t="shared" si="232"/>
        <v>3.3634485706296596E-2</v>
      </c>
      <c r="R299" s="67">
        <f t="shared" si="232"/>
        <v>3.2376824019115014E-2</v>
      </c>
      <c r="S299" s="67">
        <f t="shared" si="232"/>
        <v>3.1119574335892745E-2</v>
      </c>
      <c r="T299" s="67">
        <f t="shared" si="232"/>
        <v>3.0186000506263591E-2</v>
      </c>
      <c r="U299" s="67">
        <f t="shared" si="232"/>
        <v>2.9283603449407031E-2</v>
      </c>
      <c r="V299" s="67">
        <f t="shared" si="232"/>
        <v>2.8422003539270161E-2</v>
      </c>
      <c r="W299" s="67">
        <f t="shared" si="232"/>
        <v>2.7603151560179624E-2</v>
      </c>
      <c r="X299" s="67">
        <f t="shared" si="232"/>
        <v>2.6823145369318298E-2</v>
      </c>
      <c r="Y299" s="67">
        <f t="shared" si="232"/>
        <v>2.6270111220920409E-2</v>
      </c>
      <c r="Z299" s="67">
        <f t="shared" si="232"/>
        <v>2.5740903251352445E-2</v>
      </c>
      <c r="AA299" s="67">
        <f t="shared" si="232"/>
        <v>2.5229229738891024E-2</v>
      </c>
      <c r="AB299" s="67">
        <f t="shared" si="232"/>
        <v>2.4730019796651754E-2</v>
      </c>
      <c r="AC299" s="67">
        <f t="shared" si="232"/>
        <v>2.4239459136126077E-2</v>
      </c>
    </row>
    <row r="301" spans="1:29" x14ac:dyDescent="0.25">
      <c r="B301" s="40"/>
    </row>
    <row r="324" spans="1:44" s="3" customFormat="1" ht="21" x14ac:dyDescent="0.35">
      <c r="A324" s="2" t="str">
        <f>'Parameter Input'!A248</f>
        <v>Short-sea:  Neo bulk</v>
      </c>
    </row>
    <row r="325" spans="1:44" s="3" customFormat="1" ht="21" x14ac:dyDescent="0.35">
      <c r="A325" s="2" t="s">
        <v>99</v>
      </c>
    </row>
    <row r="326" spans="1:44" x14ac:dyDescent="0.25">
      <c r="A326" s="33" t="s">
        <v>491</v>
      </c>
    </row>
    <row r="327" spans="1:44" x14ac:dyDescent="0.25">
      <c r="A327" s="33" t="s">
        <v>492</v>
      </c>
    </row>
    <row r="328" spans="1:44" ht="15.75" thickBot="1" x14ac:dyDescent="0.3">
      <c r="A328" s="34" t="s">
        <v>493</v>
      </c>
      <c r="B328" s="34"/>
    </row>
    <row r="329" spans="1:44" ht="15.75" thickBot="1" x14ac:dyDescent="0.3">
      <c r="A329" s="39" t="s">
        <v>494</v>
      </c>
      <c r="B329" s="35"/>
    </row>
    <row r="330" spans="1:44" ht="15.75" thickBot="1" x14ac:dyDescent="0.3">
      <c r="A330" s="38" t="s">
        <v>495</v>
      </c>
      <c r="B330" s="36"/>
    </row>
    <row r="331" spans="1:44" ht="15.75" thickBot="1" x14ac:dyDescent="0.3"/>
    <row r="332" spans="1:44" x14ac:dyDescent="0.25">
      <c r="A332" s="5" t="s">
        <v>496</v>
      </c>
      <c r="B332" s="6">
        <v>2023</v>
      </c>
      <c r="C332" s="6">
        <v>2050</v>
      </c>
      <c r="D332" s="7"/>
      <c r="E332" s="5" t="s">
        <v>497</v>
      </c>
      <c r="F332" s="8"/>
      <c r="G332" s="8"/>
      <c r="H332" s="8"/>
      <c r="I332" s="8"/>
      <c r="J332" s="8"/>
      <c r="K332" s="9"/>
      <c r="L332" s="10" t="s">
        <v>129</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498</v>
      </c>
      <c r="C333" s="3" t="s">
        <v>499</v>
      </c>
      <c r="D333" s="16" t="s">
        <v>86</v>
      </c>
      <c r="E333" s="17"/>
      <c r="F333" s="18"/>
      <c r="G333" s="18"/>
      <c r="H333" s="18"/>
      <c r="I333" s="18"/>
      <c r="J333" s="18"/>
      <c r="K333" s="19"/>
      <c r="L333" s="20" t="s">
        <v>87</v>
      </c>
      <c r="M333" s="20" t="s">
        <v>500</v>
      </c>
      <c r="N333" s="20" t="s">
        <v>501</v>
      </c>
      <c r="O333" s="20" t="s">
        <v>88</v>
      </c>
      <c r="P333" s="21" t="s">
        <v>89</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141</v>
      </c>
      <c r="B334" s="41">
        <f>'Parameter Input'!$L$261</f>
        <v>19500000</v>
      </c>
      <c r="C334" s="42">
        <f>'Parameter Input'!$M$261</f>
        <v>15000000</v>
      </c>
      <c r="D334" s="1" t="s">
        <v>138</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151</v>
      </c>
      <c r="B335" s="60">
        <f>'Parameter Input'!$L$262</f>
        <v>-975000</v>
      </c>
      <c r="C335" s="61">
        <f>'Parameter Input'!$M$262</f>
        <v>-1500000</v>
      </c>
      <c r="D335" s="1" t="s">
        <v>138</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137</v>
      </c>
      <c r="B336" s="60">
        <f>'Parameter Input'!B249</f>
        <v>1000000</v>
      </c>
      <c r="C336" s="61">
        <f>'Parameter Input'!C249</f>
        <v>1000000</v>
      </c>
      <c r="D336" s="1" t="s">
        <v>138</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148</v>
      </c>
      <c r="B337" s="60">
        <f>'Parameter Input'!B250</f>
        <v>-100000</v>
      </c>
      <c r="C337" s="61">
        <f>'Parameter Input'!C250</f>
        <v>-100000</v>
      </c>
      <c r="D337" s="1" t="s">
        <v>138</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203</v>
      </c>
      <c r="B338" s="92">
        <f>'Parameter Input'!$L$268</f>
        <v>0.06</v>
      </c>
      <c r="C338" s="91">
        <f>'Parameter Input'!$M$268</f>
        <v>0.06</v>
      </c>
      <c r="D338" s="1" t="s">
        <v>180</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160</v>
      </c>
      <c r="B339" s="60">
        <f>'Parameter Input'!B251</f>
        <v>1208235.294117647</v>
      </c>
      <c r="C339" s="61">
        <f>'Parameter Input'!C251</f>
        <v>1208235.294117647</v>
      </c>
      <c r="D339" s="1" t="s">
        <v>161</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175</v>
      </c>
      <c r="B340" s="60">
        <f>'Parameter Input'!$L$264</f>
        <v>488235.29411764705</v>
      </c>
      <c r="C340" s="61">
        <f>'Parameter Input'!$M$264</f>
        <v>488235.29411764705</v>
      </c>
      <c r="D340" s="1" t="s">
        <v>161</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199</v>
      </c>
      <c r="B341" s="92">
        <f>'Parameter Input'!B256</f>
        <v>0.81280569096848254</v>
      </c>
      <c r="C341" s="61">
        <f>'Parameter Input'!C256</f>
        <v>0.81280569096848254</v>
      </c>
      <c r="D341" s="1" t="s">
        <v>200</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183</v>
      </c>
      <c r="B342" s="60">
        <f>'Parameter Input'!$L$265</f>
        <v>647</v>
      </c>
      <c r="C342" s="61">
        <f>'Parameter Input'!$M$265</f>
        <v>600</v>
      </c>
      <c r="D342" s="1" t="s">
        <v>184</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191</v>
      </c>
      <c r="B343" s="78">
        <f>'Parameter Input'!$L$266</f>
        <v>0.46076973995226939</v>
      </c>
      <c r="C343" s="61">
        <f>'Parameter Input'!$M$266</f>
        <v>0.14224714585492179</v>
      </c>
      <c r="D343" s="1" t="s">
        <v>94</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458</v>
      </c>
      <c r="B344" s="115">
        <f>'Parameter Input'!$L$269</f>
        <v>0</v>
      </c>
      <c r="C344" s="116">
        <f>'Parameter Input'!$M$269</f>
        <v>0</v>
      </c>
      <c r="D344" s="1" t="s">
        <v>200</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164</v>
      </c>
      <c r="B345" s="60">
        <f>'Parameter Input'!$L$263</f>
        <v>25</v>
      </c>
      <c r="C345" s="61">
        <f>'Parameter Input'!$M$263</f>
        <v>25</v>
      </c>
      <c r="D345" s="1" t="s">
        <v>165</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194</v>
      </c>
      <c r="B346" s="60">
        <f>'Parameter Input'!B255</f>
        <v>25</v>
      </c>
      <c r="C346" s="61">
        <f>'Parameter Input'!C255</f>
        <v>25</v>
      </c>
      <c r="D346" s="1" t="s">
        <v>165</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502</v>
      </c>
      <c r="B347" s="43">
        <f>'Parameter Input'!B252</f>
        <v>9450</v>
      </c>
      <c r="C347" s="44">
        <f>'Parameter Input'!C252</f>
        <v>9450</v>
      </c>
      <c r="D347" s="1" t="s">
        <v>172</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179</v>
      </c>
      <c r="B348" s="45">
        <f>'Parameter Input'!B253</f>
        <v>0.68</v>
      </c>
      <c r="C348" s="46">
        <f>'Parameter Input'!C253</f>
        <v>0.68</v>
      </c>
      <c r="D348" s="1" t="s">
        <v>180</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197</v>
      </c>
      <c r="B349" s="45">
        <f>'Parameter Input'!$L$267</f>
        <v>0.04</v>
      </c>
      <c r="C349" s="46">
        <f>'Parameter Input'!$M$267</f>
        <v>0.04</v>
      </c>
      <c r="D349" s="1" t="s">
        <v>180</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188</v>
      </c>
      <c r="B350" s="49">
        <f>'Parameter Input'!B254</f>
        <v>120000</v>
      </c>
      <c r="C350" s="50">
        <f>'Parameter Input'!C254</f>
        <v>120000</v>
      </c>
      <c r="D350" s="1" t="s">
        <v>189</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503</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0.36417427635318367</v>
      </c>
      <c r="C363" s="62">
        <f>'Parameter Input'!K7</f>
        <v>0.34953957198802377</v>
      </c>
      <c r="D363" s="62">
        <f>'Parameter Input'!L7</f>
        <v>0.33490486762286403</v>
      </c>
      <c r="E363" s="62">
        <f>'Parameter Input'!M7</f>
        <v>0.32172366231345256</v>
      </c>
      <c r="F363" s="62">
        <f>'Parameter Input'!N7</f>
        <v>0.30854245700404115</v>
      </c>
      <c r="G363" s="62">
        <f>'Parameter Input'!O7</f>
        <v>0.29536125169462968</v>
      </c>
      <c r="H363" s="62">
        <f>'Parameter Input'!P7</f>
        <v>0.28218004638521826</v>
      </c>
      <c r="I363" s="62">
        <f>'Parameter Input'!Q7</f>
        <v>0.26899884107580674</v>
      </c>
      <c r="J363" s="62">
        <f>'Parameter Input'!R7</f>
        <v>0.26271894785871058</v>
      </c>
      <c r="K363" s="62">
        <f>'Parameter Input'!S7</f>
        <v>0.25643905464161443</v>
      </c>
      <c r="L363" s="62">
        <f>'Parameter Input'!T7</f>
        <v>0.25015916142451827</v>
      </c>
      <c r="M363" s="62">
        <f>'Parameter Input'!U7</f>
        <v>0.24387926820742209</v>
      </c>
      <c r="N363" s="62">
        <f>'Parameter Input'!V7</f>
        <v>0.23759937499032585</v>
      </c>
      <c r="O363" s="62">
        <f>'Parameter Input'!W7</f>
        <v>0.22988467822493394</v>
      </c>
      <c r="P363" s="62">
        <f>'Parameter Input'!X7</f>
        <v>0.22216998145954203</v>
      </c>
      <c r="Q363" s="62">
        <f>'Parameter Input'!Y7</f>
        <v>0.21445528469415012</v>
      </c>
      <c r="R363" s="62">
        <f>'Parameter Input'!Z7</f>
        <v>0.20674058792875821</v>
      </c>
      <c r="S363" s="62">
        <f>'Parameter Input'!AA7</f>
        <v>0.19902589116336625</v>
      </c>
      <c r="T363" s="62">
        <f>'Parameter Input'!AB7</f>
        <v>0.19368220926450147</v>
      </c>
      <c r="U363" s="62">
        <f>'Parameter Input'!AC7</f>
        <v>0.18833852736563667</v>
      </c>
      <c r="V363" s="62">
        <f>'Parameter Input'!AD7</f>
        <v>0.18299484546677189</v>
      </c>
      <c r="W363" s="62">
        <f>'Parameter Input'!AE7</f>
        <v>0.17765116356790711</v>
      </c>
      <c r="X363" s="62">
        <f>'Parameter Input'!AF7</f>
        <v>0.17230748166904239</v>
      </c>
      <c r="Y363" s="62">
        <f>'Parameter Input'!AG7</f>
        <v>0.16851782325418166</v>
      </c>
      <c r="Z363" s="62">
        <f>'Parameter Input'!AH7</f>
        <v>0.16472816483932096</v>
      </c>
      <c r="AA363" s="62">
        <f>'Parameter Input'!AI7</f>
        <v>0.16093850642446025</v>
      </c>
      <c r="AB363" s="62">
        <f>'Parameter Input'!AJ7</f>
        <v>0.15714884800959955</v>
      </c>
      <c r="AC363" s="62">
        <f>'Parameter Input'!AK7</f>
        <v>0.15335918959473879</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197</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503</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28269979.834549442</v>
      </c>
      <c r="C380" s="62">
        <f t="shared" ref="C380:AC380" si="283">C362*C363*C370</f>
        <v>27132049.532666638</v>
      </c>
      <c r="D380" s="62">
        <f t="shared" si="283"/>
        <v>25993501.704920452</v>
      </c>
      <c r="E380" s="62">
        <f t="shared" si="283"/>
        <v>24966917.34405838</v>
      </c>
      <c r="F380" s="62">
        <f t="shared" si="283"/>
        <v>23939168.963635609</v>
      </c>
      <c r="G380" s="62">
        <f t="shared" si="283"/>
        <v>22909854.96483615</v>
      </c>
      <c r="H380" s="62">
        <f t="shared" si="283"/>
        <v>21878451.309795085</v>
      </c>
      <c r="I380" s="62">
        <f t="shared" si="283"/>
        <v>20844287.393317983</v>
      </c>
      <c r="J380" s="62">
        <f t="shared" si="283"/>
        <v>20340859.561817177</v>
      </c>
      <c r="K380" s="62">
        <f t="shared" si="283"/>
        <v>19831607.098048601</v>
      </c>
      <c r="L380" s="62">
        <f t="shared" si="283"/>
        <v>19314710.882095419</v>
      </c>
      <c r="M380" s="62">
        <f t="shared" si="283"/>
        <v>18788084.16200728</v>
      </c>
      <c r="N380" s="62">
        <f t="shared" si="283"/>
        <v>18249617.444858335</v>
      </c>
      <c r="O380" s="62">
        <f t="shared" si="283"/>
        <v>17587916.124284193</v>
      </c>
      <c r="P380" s="62">
        <f t="shared" si="283"/>
        <v>16913525.419663437</v>
      </c>
      <c r="Q380" s="62">
        <f t="shared" si="283"/>
        <v>16228734.558987197</v>
      </c>
      <c r="R380" s="62">
        <f t="shared" si="283"/>
        <v>15538667.819530513</v>
      </c>
      <c r="S380" s="62">
        <f t="shared" si="283"/>
        <v>14850834.104735333</v>
      </c>
      <c r="T380" s="62">
        <f t="shared" si="283"/>
        <v>14349073.652146816</v>
      </c>
      <c r="U380" s="62">
        <f t="shared" si="283"/>
        <v>13861982.810570983</v>
      </c>
      <c r="V380" s="62">
        <f t="shared" si="283"/>
        <v>13393371.771557385</v>
      </c>
      <c r="W380" s="62">
        <f t="shared" si="283"/>
        <v>12943720.795706693</v>
      </c>
      <c r="X380" s="62">
        <f t="shared" si="283"/>
        <v>12511047.856875328</v>
      </c>
      <c r="Y380" s="62">
        <f t="shared" si="283"/>
        <v>12204734.212598935</v>
      </c>
      <c r="Z380" s="62">
        <f t="shared" si="283"/>
        <v>11908500.422232762</v>
      </c>
      <c r="AA380" s="62">
        <f t="shared" si="283"/>
        <v>11619631.45088187</v>
      </c>
      <c r="AB380" s="62">
        <f t="shared" si="283"/>
        <v>11335961.64067078</v>
      </c>
      <c r="AC380" s="62">
        <f t="shared" si="283"/>
        <v>11055875.713812558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504</v>
      </c>
      <c r="B382" s="64">
        <f>B373+B374+B375+B376+B377+B378+B379+B380+B381</f>
        <v>31582677.782894723</v>
      </c>
      <c r="C382" s="64">
        <f t="shared" ref="C382:AC382" si="285">C373+C374+C375+C376+C377+C378+C379+C380+C381</f>
        <v>30444373.986355349</v>
      </c>
      <c r="D382" s="64">
        <f t="shared" si="285"/>
        <v>29305291.509327203</v>
      </c>
      <c r="E382" s="64">
        <f t="shared" si="285"/>
        <v>28277942.295069069</v>
      </c>
      <c r="F382" s="64">
        <f t="shared" si="285"/>
        <v>27249100.770370048</v>
      </c>
      <c r="G382" s="64">
        <f t="shared" si="285"/>
        <v>26218226.618450101</v>
      </c>
      <c r="H382" s="64">
        <f t="shared" si="285"/>
        <v>25184600.922618005</v>
      </c>
      <c r="I382" s="64">
        <f t="shared" si="285"/>
        <v>24147282.026751164</v>
      </c>
      <c r="J382" s="64">
        <f t="shared" si="285"/>
        <v>23639394.935057119</v>
      </c>
      <c r="K382" s="64">
        <f t="shared" si="285"/>
        <v>23123881.75042896</v>
      </c>
      <c r="L382" s="64">
        <f t="shared" si="285"/>
        <v>22598280.859768901</v>
      </c>
      <c r="M382" s="64">
        <f t="shared" si="285"/>
        <v>22059720.356300168</v>
      </c>
      <c r="N382" s="64">
        <f t="shared" si="285"/>
        <v>21505215.913060233</v>
      </c>
      <c r="O382" s="64">
        <f t="shared" si="285"/>
        <v>20822550.186224341</v>
      </c>
      <c r="P382" s="64">
        <f t="shared" si="285"/>
        <v>20121758.355361484</v>
      </c>
      <c r="Q382" s="64">
        <f t="shared" si="285"/>
        <v>19405286.901039168</v>
      </c>
      <c r="R382" s="64">
        <f t="shared" si="285"/>
        <v>18679396.58094399</v>
      </c>
      <c r="S382" s="64">
        <f t="shared" si="285"/>
        <v>17953744.059049204</v>
      </c>
      <c r="T382" s="64">
        <f t="shared" si="285"/>
        <v>17414909.002746705</v>
      </c>
      <c r="U382" s="64">
        <f t="shared" si="285"/>
        <v>16894068.38628291</v>
      </c>
      <c r="V382" s="64">
        <f t="shared" si="285"/>
        <v>16396774.844674908</v>
      </c>
      <c r="W382" s="64">
        <f t="shared" si="285"/>
        <v>15924154.32099128</v>
      </c>
      <c r="X382" s="64">
        <f t="shared" si="285"/>
        <v>15473954.597702101</v>
      </c>
      <c r="Y382" s="64">
        <f t="shared" si="285"/>
        <v>15154757.36119907</v>
      </c>
      <c r="Z382" s="64">
        <f t="shared" si="285"/>
        <v>14849311.988773454</v>
      </c>
      <c r="AA382" s="64">
        <f t="shared" si="285"/>
        <v>14553987.058762114</v>
      </c>
      <c r="AB382" s="64">
        <f t="shared" si="285"/>
        <v>14265855.784302421</v>
      </c>
      <c r="AC382" s="64">
        <f t="shared" si="285"/>
        <v>13982716.655135591</v>
      </c>
    </row>
    <row r="383" spans="1:29" ht="15.75" thickBot="1" x14ac:dyDescent="0.3">
      <c r="AC383" s="32"/>
    </row>
    <row r="384" spans="1:29" ht="15.75" thickBot="1" x14ac:dyDescent="0.3">
      <c r="A384" s="26" t="s">
        <v>503</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235.58316528791201</v>
      </c>
      <c r="C392" s="66">
        <f t="shared" ref="C392:AC392" si="294">C362*C363*C370/C370</f>
        <v>226.100412772222</v>
      </c>
      <c r="D392" s="66">
        <f t="shared" si="294"/>
        <v>216.61251420767044</v>
      </c>
      <c r="E392" s="66">
        <f t="shared" si="294"/>
        <v>208.05764453381983</v>
      </c>
      <c r="F392" s="66">
        <f t="shared" si="294"/>
        <v>199.49307469696342</v>
      </c>
      <c r="G392" s="66">
        <f t="shared" si="294"/>
        <v>190.91545804030125</v>
      </c>
      <c r="H392" s="66">
        <f t="shared" si="294"/>
        <v>182.32042758162572</v>
      </c>
      <c r="I392" s="66">
        <f t="shared" si="294"/>
        <v>173.70239494431652</v>
      </c>
      <c r="J392" s="66">
        <f t="shared" si="294"/>
        <v>169.50716301514313</v>
      </c>
      <c r="K392" s="66">
        <f t="shared" si="294"/>
        <v>165.26339248373836</v>
      </c>
      <c r="L392" s="66">
        <f t="shared" si="294"/>
        <v>160.95592401746183</v>
      </c>
      <c r="M392" s="66">
        <f t="shared" si="294"/>
        <v>156.56736801672733</v>
      </c>
      <c r="N392" s="66">
        <f t="shared" si="294"/>
        <v>152.08014537381945</v>
      </c>
      <c r="O392" s="66">
        <f t="shared" si="294"/>
        <v>146.56596770236828</v>
      </c>
      <c r="P392" s="66">
        <f t="shared" si="294"/>
        <v>140.94604516386198</v>
      </c>
      <c r="Q392" s="66">
        <f t="shared" si="294"/>
        <v>135.23945465822663</v>
      </c>
      <c r="R392" s="66">
        <f t="shared" si="294"/>
        <v>129.48889849608761</v>
      </c>
      <c r="S392" s="66">
        <f t="shared" si="294"/>
        <v>123.75695087279445</v>
      </c>
      <c r="T392" s="66">
        <f t="shared" si="294"/>
        <v>119.57561376789013</v>
      </c>
      <c r="U392" s="66">
        <f t="shared" si="294"/>
        <v>115.51652342142486</v>
      </c>
      <c r="V392" s="66">
        <f t="shared" si="294"/>
        <v>111.61143142964488</v>
      </c>
      <c r="W392" s="66">
        <f t="shared" si="294"/>
        <v>107.86433996422244</v>
      </c>
      <c r="X392" s="66">
        <f t="shared" si="294"/>
        <v>104.25873214062774</v>
      </c>
      <c r="Y392" s="66">
        <f t="shared" si="294"/>
        <v>101.70611843832445</v>
      </c>
      <c r="Z392" s="66">
        <f t="shared" si="294"/>
        <v>99.237503518606346</v>
      </c>
      <c r="AA392" s="66">
        <f t="shared" si="294"/>
        <v>96.830262090682254</v>
      </c>
      <c r="AB392" s="66">
        <f t="shared" si="294"/>
        <v>94.466347005589839</v>
      </c>
      <c r="AC392" s="66">
        <f t="shared" si="294"/>
        <v>92.132297615104648</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187</v>
      </c>
      <c r="B394" s="76">
        <f>B385+B386+B387-B388+B389+B390+B391+B392+B393</f>
        <v>263.31935938780981</v>
      </c>
      <c r="C394" s="76">
        <f t="shared" ref="C394:AC394" si="297">C385+C386+C387-C388+C389+C390+C391+C392+C393</f>
        <v>253.83349441664836</v>
      </c>
      <c r="D394" s="76">
        <f t="shared" si="297"/>
        <v>244.34114044141381</v>
      </c>
      <c r="E394" s="76">
        <f t="shared" si="297"/>
        <v>235.77989698926268</v>
      </c>
      <c r="F394" s="76">
        <f t="shared" si="297"/>
        <v>227.20621761677086</v>
      </c>
      <c r="G394" s="76">
        <f t="shared" si="297"/>
        <v>218.61559968410461</v>
      </c>
      <c r="H394" s="76">
        <f t="shared" si="297"/>
        <v>210.00205221883718</v>
      </c>
      <c r="I394" s="76">
        <f t="shared" si="297"/>
        <v>201.35772808661346</v>
      </c>
      <c r="J394" s="76">
        <f t="shared" si="297"/>
        <v>197.12533565582979</v>
      </c>
      <c r="K394" s="76">
        <f t="shared" si="297"/>
        <v>192.82939245059512</v>
      </c>
      <c r="L394" s="76">
        <f t="shared" si="297"/>
        <v>188.44938502842797</v>
      </c>
      <c r="M394" s="76">
        <f t="shared" si="297"/>
        <v>183.96138083285518</v>
      </c>
      <c r="N394" s="76">
        <f t="shared" si="297"/>
        <v>179.34051047252237</v>
      </c>
      <c r="O394" s="76">
        <f t="shared" si="297"/>
        <v>173.65162941555661</v>
      </c>
      <c r="P394" s="76">
        <f t="shared" si="297"/>
        <v>167.81169749169948</v>
      </c>
      <c r="Q394" s="76">
        <f t="shared" si="297"/>
        <v>161.84110203901352</v>
      </c>
      <c r="R394" s="76">
        <f t="shared" si="297"/>
        <v>155.79201603822037</v>
      </c>
      <c r="S394" s="76">
        <f t="shared" si="297"/>
        <v>149.74491168909714</v>
      </c>
      <c r="T394" s="76">
        <f t="shared" si="297"/>
        <v>145.25461955324297</v>
      </c>
      <c r="U394" s="76">
        <f t="shared" si="297"/>
        <v>140.91428108271137</v>
      </c>
      <c r="V394" s="76">
        <f t="shared" si="297"/>
        <v>136.77016823597802</v>
      </c>
      <c r="W394" s="76">
        <f t="shared" si="297"/>
        <v>132.8316638719478</v>
      </c>
      <c r="X394" s="76">
        <f t="shared" si="297"/>
        <v>129.07999951120465</v>
      </c>
      <c r="Y394" s="76">
        <f t="shared" si="297"/>
        <v>126.42002254034603</v>
      </c>
      <c r="Z394" s="76">
        <f t="shared" si="297"/>
        <v>123.87464443679923</v>
      </c>
      <c r="AA394" s="76">
        <f t="shared" si="297"/>
        <v>121.4136033533714</v>
      </c>
      <c r="AB394" s="76">
        <f t="shared" si="297"/>
        <v>119.01250939954065</v>
      </c>
      <c r="AC394" s="76">
        <f t="shared" si="297"/>
        <v>116.6530166564837</v>
      </c>
    </row>
    <row r="395" spans="1:29" ht="15.75" thickBot="1" x14ac:dyDescent="0.3"/>
    <row r="396" spans="1:29" ht="15.75" thickBot="1" x14ac:dyDescent="0.3">
      <c r="A396" s="26" t="s">
        <v>503</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2.4929435480202329E-2</v>
      </c>
      <c r="C404" s="66">
        <f t="shared" ref="C404:AC404" si="306">C362*C363*C370/C370/(C367)</f>
        <v>2.3925969605526138E-2</v>
      </c>
      <c r="D404" s="66">
        <f t="shared" si="306"/>
        <v>2.2921959175414862E-2</v>
      </c>
      <c r="E404" s="66">
        <f t="shared" si="306"/>
        <v>2.2016681961250777E-2</v>
      </c>
      <c r="F404" s="66">
        <f t="shared" si="306"/>
        <v>2.1110378274810944E-2</v>
      </c>
      <c r="G404" s="66">
        <f t="shared" si="306"/>
        <v>2.020269397251865E-2</v>
      </c>
      <c r="H404" s="66">
        <f t="shared" si="306"/>
        <v>1.9293166939854573E-2</v>
      </c>
      <c r="I404" s="66">
        <f t="shared" si="306"/>
        <v>1.8381205814213389E-2</v>
      </c>
      <c r="J404" s="66">
        <f t="shared" si="306"/>
        <v>1.7937265927528374E-2</v>
      </c>
      <c r="K404" s="66">
        <f t="shared" si="306"/>
        <v>1.7488189680818875E-2</v>
      </c>
      <c r="L404" s="66">
        <f t="shared" si="306"/>
        <v>1.7032372911900722E-2</v>
      </c>
      <c r="M404" s="66">
        <f t="shared" si="306"/>
        <v>1.6567975451505536E-2</v>
      </c>
      <c r="N404" s="66">
        <f t="shared" si="306"/>
        <v>1.6093137076594651E-2</v>
      </c>
      <c r="O404" s="66">
        <f t="shared" si="306"/>
        <v>1.5509626211890823E-2</v>
      </c>
      <c r="P404" s="66">
        <f t="shared" si="306"/>
        <v>1.491492541416529E-2</v>
      </c>
      <c r="Q404" s="66">
        <f t="shared" si="306"/>
        <v>1.4311053402986945E-2</v>
      </c>
      <c r="R404" s="66">
        <f t="shared" si="306"/>
        <v>1.3702528941384932E-2</v>
      </c>
      <c r="S404" s="66">
        <f t="shared" si="306"/>
        <v>1.3095973637332746E-2</v>
      </c>
      <c r="T404" s="66">
        <f t="shared" si="306"/>
        <v>1.2653504102422237E-2</v>
      </c>
      <c r="U404" s="66">
        <f t="shared" si="306"/>
        <v>1.2223970732425912E-2</v>
      </c>
      <c r="V404" s="66">
        <f t="shared" si="306"/>
        <v>1.1810733484618505E-2</v>
      </c>
      <c r="W404" s="66">
        <f t="shared" si="306"/>
        <v>1.1414215869229888E-2</v>
      </c>
      <c r="X404" s="66">
        <f t="shared" si="306"/>
        <v>1.1032670067791295E-2</v>
      </c>
      <c r="Y404" s="66">
        <f t="shared" si="306"/>
        <v>1.0762552215695709E-2</v>
      </c>
      <c r="Z404" s="66">
        <f t="shared" si="306"/>
        <v>1.0501323123662048E-2</v>
      </c>
      <c r="AA404" s="66">
        <f t="shared" si="306"/>
        <v>1.0246588581024577E-2</v>
      </c>
      <c r="AB404" s="66">
        <f t="shared" si="306"/>
        <v>9.9964388365703528E-3</v>
      </c>
      <c r="AC404" s="66">
        <f t="shared" si="306"/>
        <v>9.7494494830798577E-3</v>
      </c>
    </row>
    <row r="405" spans="1:29" x14ac:dyDescent="0.25">
      <c r="A405" s="59" t="str">
        <f>A368</f>
        <v>Market failure (av. utilization)</v>
      </c>
      <c r="B405" s="66">
        <f t="shared" ref="B405:AC405" si="307">B394/B368-B394/B367</f>
        <v>1.3112697635247292E-2</v>
      </c>
      <c r="C405" s="66">
        <f t="shared" si="307"/>
        <v>1.2640323406991512E-2</v>
      </c>
      <c r="D405" s="66">
        <f t="shared" si="307"/>
        <v>1.2167626041277992E-2</v>
      </c>
      <c r="E405" s="66">
        <f t="shared" si="307"/>
        <v>1.1741295835132903E-2</v>
      </c>
      <c r="F405" s="66">
        <f t="shared" si="307"/>
        <v>1.1314346348796554E-2</v>
      </c>
      <c r="G405" s="66">
        <f t="shared" si="307"/>
        <v>1.0886553361175447E-2</v>
      </c>
      <c r="H405" s="66">
        <f t="shared" si="307"/>
        <v>1.0457618535640811E-2</v>
      </c>
      <c r="I405" s="66">
        <f t="shared" si="307"/>
        <v>1.0027151102974832E-2</v>
      </c>
      <c r="J405" s="66">
        <f t="shared" si="307"/>
        <v>9.8163877077288367E-3</v>
      </c>
      <c r="K405" s="66">
        <f t="shared" si="307"/>
        <v>9.6024596302817337E-3</v>
      </c>
      <c r="L405" s="66">
        <f t="shared" si="307"/>
        <v>9.3843453484433424E-3</v>
      </c>
      <c r="M405" s="66">
        <f t="shared" si="307"/>
        <v>9.1608530760214184E-3</v>
      </c>
      <c r="N405" s="66">
        <f t="shared" si="307"/>
        <v>8.9307443746042825E-3</v>
      </c>
      <c r="O405" s="66">
        <f t="shared" si="307"/>
        <v>8.6474512002767054E-3</v>
      </c>
      <c r="P405" s="66">
        <f t="shared" si="307"/>
        <v>8.3566360406697494E-3</v>
      </c>
      <c r="Q405" s="66">
        <f t="shared" si="307"/>
        <v>8.0593141382639746E-3</v>
      </c>
      <c r="R405" s="66">
        <f t="shared" si="307"/>
        <v>7.7580835873374554E-3</v>
      </c>
      <c r="S405" s="66">
        <f t="shared" si="307"/>
        <v>7.4569517181000723E-3</v>
      </c>
      <c r="T405" s="66">
        <f t="shared" si="307"/>
        <v>7.2333455115215911E-3</v>
      </c>
      <c r="U405" s="66">
        <f t="shared" si="307"/>
        <v>7.017206652111363E-3</v>
      </c>
      <c r="V405" s="66">
        <f t="shared" si="307"/>
        <v>6.8108393768305259E-3</v>
      </c>
      <c r="W405" s="66">
        <f t="shared" si="307"/>
        <v>6.6147109304424655E-3</v>
      </c>
      <c r="X405" s="66">
        <f t="shared" si="307"/>
        <v>6.4278866858987673E-3</v>
      </c>
      <c r="Y405" s="66">
        <f t="shared" si="307"/>
        <v>6.2954259590586228E-3</v>
      </c>
      <c r="Z405" s="66">
        <f t="shared" si="307"/>
        <v>6.1686719918729767E-3</v>
      </c>
      <c r="AA405" s="66">
        <f t="shared" si="307"/>
        <v>6.0461178140489916E-3</v>
      </c>
      <c r="AB405" s="66">
        <f t="shared" si="307"/>
        <v>5.9265488652121071E-3</v>
      </c>
      <c r="AC405" s="66">
        <f t="shared" si="307"/>
        <v>5.8090515608581975E-3</v>
      </c>
    </row>
    <row r="406" spans="1:29" x14ac:dyDescent="0.25">
      <c r="A406" s="59" t="str">
        <f>A369</f>
        <v>Payload loss (fuel)</v>
      </c>
      <c r="B406" s="66">
        <f>B394/(B367-B369)-B394/B367</f>
        <v>1.1610201031208543E-3</v>
      </c>
      <c r="C406" s="66">
        <f t="shared" ref="C406:AC406" si="308">C394/(C367-C369)-C394/C367</f>
        <v>1.1191953016607067E-3</v>
      </c>
      <c r="D406" s="66">
        <f t="shared" si="308"/>
        <v>1.0773418890714891E-3</v>
      </c>
      <c r="E406" s="66">
        <f t="shared" si="308"/>
        <v>1.0395939020690602E-3</v>
      </c>
      <c r="F406" s="66">
        <f t="shared" si="308"/>
        <v>1.0017910829663614E-3</v>
      </c>
      <c r="G406" s="66">
        <f t="shared" si="308"/>
        <v>9.6391357885407605E-4</v>
      </c>
      <c r="H406" s="66">
        <f t="shared" si="308"/>
        <v>9.2593497450986495E-4</v>
      </c>
      <c r="I406" s="66">
        <f t="shared" si="308"/>
        <v>8.8782067057589786E-4</v>
      </c>
      <c r="J406" s="66">
        <f t="shared" si="308"/>
        <v>8.6915932828849143E-4</v>
      </c>
      <c r="K406" s="66">
        <f t="shared" si="308"/>
        <v>8.5021777976452759E-4</v>
      </c>
      <c r="L406" s="66">
        <f t="shared" si="308"/>
        <v>8.3090557772675516E-4</v>
      </c>
      <c r="M406" s="66">
        <f t="shared" si="308"/>
        <v>8.1111719943939564E-4</v>
      </c>
      <c r="N406" s="66">
        <f t="shared" si="308"/>
        <v>7.9074299150141969E-4</v>
      </c>
      <c r="O406" s="66">
        <f t="shared" si="308"/>
        <v>7.6565974169116868E-4</v>
      </c>
      <c r="P406" s="66">
        <f t="shared" si="308"/>
        <v>7.3991048276763477E-4</v>
      </c>
      <c r="Q406" s="66">
        <f t="shared" si="308"/>
        <v>7.1358510599212055E-4</v>
      </c>
      <c r="R406" s="66">
        <f t="shared" si="308"/>
        <v>6.8691365096217039E-4</v>
      </c>
      <c r="S406" s="66">
        <f t="shared" si="308"/>
        <v>6.6025093337344562E-4</v>
      </c>
      <c r="T406" s="66">
        <f t="shared" si="308"/>
        <v>6.4045246716597573E-4</v>
      </c>
      <c r="U406" s="66">
        <f t="shared" si="308"/>
        <v>6.2131517232236026E-4</v>
      </c>
      <c r="V406" s="66">
        <f t="shared" si="308"/>
        <v>6.0304306982353686E-4</v>
      </c>
      <c r="W406" s="66">
        <f t="shared" si="308"/>
        <v>5.8567753029959389E-4</v>
      </c>
      <c r="X406" s="66">
        <f t="shared" si="308"/>
        <v>5.6913580031395412E-4</v>
      </c>
      <c r="Y406" s="66">
        <f t="shared" si="308"/>
        <v>5.5740750679164966E-4</v>
      </c>
      <c r="Z406" s="66">
        <f t="shared" si="308"/>
        <v>5.4618449928042073E-4</v>
      </c>
      <c r="AA406" s="66">
        <f t="shared" si="308"/>
        <v>5.3533334811892153E-4</v>
      </c>
      <c r="AB406" s="66">
        <f t="shared" si="308"/>
        <v>5.2474651410732223E-4</v>
      </c>
      <c r="AC406" s="66">
        <f t="shared" si="308"/>
        <v>5.143431069509867E-4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505</v>
      </c>
      <c r="B408" s="67">
        <f>B397+B398+B399+B400+B401+B402+B403+B404+B405+B406+B407</f>
        <v>4.2124403613936684E-2</v>
      </c>
      <c r="C408" s="67">
        <f t="shared" ref="C408:AC408" si="310">C397+C398+C399+C400+C401+C402+C403+C404+C405+C406+C407</f>
        <v>4.0606409349177218E-2</v>
      </c>
      <c r="D408" s="67">
        <f t="shared" si="310"/>
        <v>3.9087376668733256E-2</v>
      </c>
      <c r="E408" s="67">
        <f t="shared" si="310"/>
        <v>3.7717346787527417E-2</v>
      </c>
      <c r="F408" s="67">
        <f t="shared" si="310"/>
        <v>3.6345326823623625E-2</v>
      </c>
      <c r="G408" s="67">
        <f t="shared" si="310"/>
        <v>3.49705962331954E-2</v>
      </c>
      <c r="H408" s="67">
        <f t="shared" si="310"/>
        <v>3.3592196299055445E-2</v>
      </c>
      <c r="I408" s="67">
        <f t="shared" si="310"/>
        <v>3.2208871268040291E-2</v>
      </c>
      <c r="J408" s="67">
        <f t="shared" si="310"/>
        <v>3.1531574315609143E-2</v>
      </c>
      <c r="K408" s="67">
        <f t="shared" si="310"/>
        <v>3.0844107525062982E-2</v>
      </c>
      <c r="L408" s="67">
        <f t="shared" si="310"/>
        <v>3.0143188192280242E-2</v>
      </c>
      <c r="M408" s="67">
        <f t="shared" si="310"/>
        <v>2.9424986462674364E-2</v>
      </c>
      <c r="N408" s="67">
        <f t="shared" si="310"/>
        <v>2.8685522562807847E-2</v>
      </c>
      <c r="O408" s="67">
        <f t="shared" si="310"/>
        <v>2.7775148143223904E-2</v>
      </c>
      <c r="P408" s="67">
        <f t="shared" si="310"/>
        <v>2.6840601510528639E-2</v>
      </c>
      <c r="Q408" s="67">
        <f t="shared" si="310"/>
        <v>2.5885145188735078E-2</v>
      </c>
      <c r="R408" s="67">
        <f t="shared" si="310"/>
        <v>2.4917128262059756E-2</v>
      </c>
      <c r="S408" s="67">
        <f t="shared" si="310"/>
        <v>2.3949428453104209E-2</v>
      </c>
      <c r="T408" s="67">
        <f t="shared" si="310"/>
        <v>2.323086059133898E-2</v>
      </c>
      <c r="U408" s="67">
        <f t="shared" si="310"/>
        <v>2.2536289360838409E-2</v>
      </c>
      <c r="V408" s="67">
        <f t="shared" si="310"/>
        <v>2.1873119523086963E-2</v>
      </c>
      <c r="W408" s="67">
        <f t="shared" si="310"/>
        <v>2.1242852588600328E-2</v>
      </c>
      <c r="X408" s="67">
        <f t="shared" si="310"/>
        <v>2.064248509441563E-2</v>
      </c>
      <c r="Y408" s="67">
        <f t="shared" si="310"/>
        <v>2.0216817029517883E-2</v>
      </c>
      <c r="Z408" s="67">
        <f t="shared" si="310"/>
        <v>1.9809487874551505E-2</v>
      </c>
      <c r="AA408" s="67">
        <f t="shared" si="310"/>
        <v>1.941565491769006E-2</v>
      </c>
      <c r="AB408" s="67">
        <f t="shared" si="310"/>
        <v>1.9031415118563186E-2</v>
      </c>
      <c r="AC408" s="67">
        <f t="shared" si="310"/>
        <v>1.8653832635300887E-2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506</v>
      </c>
    </row>
    <row r="2" spans="1:44" s="3" customFormat="1" ht="21" x14ac:dyDescent="0.35">
      <c r="A2" s="2"/>
    </row>
    <row r="3" spans="1:44" x14ac:dyDescent="0.25">
      <c r="A3" s="33" t="s">
        <v>491</v>
      </c>
    </row>
    <row r="4" spans="1:44" x14ac:dyDescent="0.25">
      <c r="A4" s="33" t="s">
        <v>492</v>
      </c>
    </row>
    <row r="5" spans="1:44" ht="15.75" thickBot="1" x14ac:dyDescent="0.3">
      <c r="A5" s="34" t="s">
        <v>493</v>
      </c>
      <c r="B5" s="34"/>
    </row>
    <row r="6" spans="1:44" ht="15.75" thickBot="1" x14ac:dyDescent="0.3">
      <c r="A6" s="39" t="s">
        <v>494</v>
      </c>
      <c r="B6" s="35"/>
    </row>
    <row r="7" spans="1:44" ht="15.75" thickBot="1" x14ac:dyDescent="0.3">
      <c r="A7" s="38" t="s">
        <v>495</v>
      </c>
      <c r="B7" s="36"/>
    </row>
    <row r="8" spans="1:44" ht="15.75" thickBot="1" x14ac:dyDescent="0.3"/>
    <row r="9" spans="1:44" x14ac:dyDescent="0.25">
      <c r="A9" s="5" t="s">
        <v>496</v>
      </c>
      <c r="B9" s="6">
        <v>2023</v>
      </c>
      <c r="C9" s="6">
        <v>2050</v>
      </c>
      <c r="D9" s="7"/>
      <c r="E9" s="5" t="s">
        <v>497</v>
      </c>
      <c r="F9" s="8"/>
      <c r="G9" s="8"/>
      <c r="H9" s="8"/>
      <c r="I9" s="8"/>
      <c r="J9" s="8"/>
      <c r="K9" s="9"/>
      <c r="L9" s="10" t="s">
        <v>129</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498</v>
      </c>
      <c r="C10" s="3" t="s">
        <v>499</v>
      </c>
      <c r="D10" s="16" t="s">
        <v>86</v>
      </c>
      <c r="E10" s="17"/>
      <c r="F10" s="18"/>
      <c r="G10" s="18"/>
      <c r="H10" s="18"/>
      <c r="I10" s="18"/>
      <c r="J10" s="18"/>
      <c r="K10" s="19"/>
      <c r="L10" s="20" t="s">
        <v>87</v>
      </c>
      <c r="M10" s="20" t="s">
        <v>500</v>
      </c>
      <c r="N10" s="20" t="s">
        <v>501</v>
      </c>
      <c r="O10" s="20" t="s">
        <v>88</v>
      </c>
      <c r="P10" s="21" t="s">
        <v>89</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141</v>
      </c>
      <c r="B11" s="41">
        <v>100000</v>
      </c>
      <c r="C11" s="42">
        <v>100000</v>
      </c>
      <c r="D11" s="1" t="s">
        <v>138</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151</v>
      </c>
      <c r="B12" s="60">
        <v>-30000</v>
      </c>
      <c r="C12" s="61">
        <v>-30000</v>
      </c>
      <c r="D12" s="1" t="s">
        <v>138</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137</v>
      </c>
      <c r="B13" s="43">
        <v>50000</v>
      </c>
      <c r="C13" s="44">
        <v>50000</v>
      </c>
      <c r="D13" s="1" t="s">
        <v>138</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148</v>
      </c>
      <c r="B14" s="60">
        <v>-5000</v>
      </c>
      <c r="C14" s="61">
        <v>-5000</v>
      </c>
      <c r="D14" s="1" t="s">
        <v>138</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203</v>
      </c>
      <c r="B15" s="45">
        <v>0.06</v>
      </c>
      <c r="C15" s="46">
        <v>0.06</v>
      </c>
      <c r="D15" s="1" t="s">
        <v>180</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160</v>
      </c>
      <c r="B16" s="43">
        <v>85000</v>
      </c>
      <c r="C16" s="44">
        <v>85000</v>
      </c>
      <c r="D16" s="1" t="s">
        <v>161</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175</v>
      </c>
      <c r="B17" s="43">
        <v>20000</v>
      </c>
      <c r="C17" s="44">
        <v>20000</v>
      </c>
      <c r="D17" s="1" t="s">
        <v>161</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507</v>
      </c>
      <c r="B18" s="45">
        <v>9.5238095238095247E-3</v>
      </c>
      <c r="C18" s="46">
        <v>9.5238095238095247E-3</v>
      </c>
      <c r="D18" s="1" t="s">
        <v>200</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183</v>
      </c>
      <c r="B19" s="47">
        <v>2.8</v>
      </c>
      <c r="C19" s="48">
        <v>2.8</v>
      </c>
      <c r="D19" s="1" t="s">
        <v>184</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191</v>
      </c>
      <c r="B20" s="45">
        <v>0.15</v>
      </c>
      <c r="C20" s="46">
        <v>0.15</v>
      </c>
      <c r="D20" s="1" t="s">
        <v>94</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164</v>
      </c>
      <c r="B21" s="43">
        <v>5</v>
      </c>
      <c r="C21" s="44">
        <v>5</v>
      </c>
      <c r="D21" s="1" t="s">
        <v>165</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194</v>
      </c>
      <c r="B22" s="43">
        <v>12</v>
      </c>
      <c r="C22" s="44">
        <v>12</v>
      </c>
      <c r="D22" s="1" t="s">
        <v>165</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502</v>
      </c>
      <c r="B23" s="43">
        <v>29</v>
      </c>
      <c r="C23" s="44">
        <v>29</v>
      </c>
      <c r="D23" s="1" t="s">
        <v>172</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179</v>
      </c>
      <c r="B24" s="45">
        <v>0.46</v>
      </c>
      <c r="C24" s="46">
        <v>0.46</v>
      </c>
      <c r="D24" s="1" t="s">
        <v>180</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197</v>
      </c>
      <c r="B25" s="45">
        <v>0.05</v>
      </c>
      <c r="C25" s="46">
        <v>0.05</v>
      </c>
      <c r="D25" s="1" t="s">
        <v>180</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188</v>
      </c>
      <c r="B26" s="49">
        <v>105000</v>
      </c>
      <c r="C26" s="50">
        <v>105000</v>
      </c>
      <c r="D26" s="1" t="s">
        <v>189</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503</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197</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503</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504</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503</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187</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503</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505</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04ca3ef-bd55-4483-a940-28967f5dfccd">
      <Terms xmlns="http://schemas.microsoft.com/office/infopath/2007/PartnerControls"/>
    </lcf76f155ced4ddcb4097134ff3c332f>
    <TaxCatchAll xmlns="ed883d50-e259-4370-a1f8-3b07c74a6f2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9" ma:contentTypeDescription="Create a new document." ma:contentTypeScope="" ma:versionID="cbe229f57cd7fbce4b7d0eded258be0c">
  <xsd:schema xmlns:xsd="http://www.w3.org/2001/XMLSchema" xmlns:xs="http://www.w3.org/2001/XMLSchema" xmlns:p="http://schemas.microsoft.com/office/2006/metadata/properties" xmlns:ns2="604ca3ef-bd55-4483-a940-28967f5dfccd" xmlns:ns3="ed883d50-e259-4370-a1f8-3b07c74a6f2b" targetNamespace="http://schemas.microsoft.com/office/2006/metadata/properties" ma:root="true" ma:fieldsID="ea2a2b05a77dcbfb8b5c818a1c0b2847" ns2:_="" ns3:_="">
    <xsd:import namespace="604ca3ef-bd55-4483-a940-28967f5dfccd"/>
    <xsd:import namespace="ed883d50-e259-4370-a1f8-3b07c74a6f2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6e7bc199-5fe5-462f-a3d8-26f806c1f49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d883d50-e259-4370-a1f8-3b07c74a6f2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eb3277d0-1036-4ab1-a5cb-c9dd855085ba}" ma:internalName="TaxCatchAll" ma:showField="CatchAllData" ma:web="ed883d50-e259-4370-a1f8-3b07c74a6f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2.xml><?xml version="1.0" encoding="utf-8"?>
<ds:datastoreItem xmlns:ds="http://schemas.openxmlformats.org/officeDocument/2006/customXml" ds:itemID="{B3B386C5-F0F8-49F0-A26B-B7A25C6BCF28}">
  <ds:schemaRefs>
    <ds:schemaRef ds:uri="http://schemas.microsoft.com/office/2006/metadata/properties"/>
    <ds:schemaRef ds:uri="http://schemas.microsoft.com/office/infopath/2007/PartnerControls"/>
    <ds:schemaRef ds:uri="604ca3ef-bd55-4483-a940-28967f5dfccd"/>
    <ds:schemaRef ds:uri="ed883d50-e259-4370-a1f8-3b07c74a6f2b"/>
  </ds:schemaRefs>
</ds:datastoreItem>
</file>

<file path=customXml/itemProps3.xml><?xml version="1.0" encoding="utf-8"?>
<ds:datastoreItem xmlns:ds="http://schemas.openxmlformats.org/officeDocument/2006/customXml" ds:itemID="{D7E5D24A-A107-4B8D-B275-61F49474D1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ed883d50-e259-4370-a1f8-3b07c74a6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2023-12-11T10:41:20Z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y fmtid="{D5CDD505-2E9C-101B-9397-08002B2CF9AE}" pid="10" name="MediaServiceImageTags">
    <vt:lpwstr/>
  </property>
</Properties>
</file>