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2" documentId="14_{7D14735C-23D2-4C71-995A-EFD848218716}" xr6:coauthVersionLast="47" xr6:coauthVersionMax="47" xr10:uidLastSave="{B9F1E2A4-1750-4690-9441-93B22B38375E}"/>
  <bookViews>
    <workbookView xWindow="14400" yWindow="0" windowWidth="28800" windowHeight="23400" tabRatio="828" activeTab="1"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30" l="1"/>
  <c r="F8" i="30"/>
  <c r="AG56" i="2"/>
  <c r="AH56" i="2"/>
  <c r="AI56" i="2"/>
  <c r="AJ56" i="2"/>
  <c r="AK56" i="2"/>
  <c r="T56" i="2"/>
  <c r="U56" i="2"/>
  <c r="V56" i="2"/>
  <c r="W56" i="2"/>
  <c r="X56" i="2"/>
  <c r="Y56" i="2"/>
  <c r="Z56" i="2"/>
  <c r="AA56" i="2"/>
  <c r="AB56" i="2"/>
  <c r="AC56" i="2"/>
  <c r="AD56" i="2"/>
  <c r="AE56" i="2"/>
  <c r="AF56" i="2"/>
  <c r="L56" i="2"/>
  <c r="M56" i="2"/>
  <c r="N56" i="2"/>
  <c r="O56" i="2"/>
  <c r="P56" i="2"/>
  <c r="Q56" i="2"/>
  <c r="R56" i="2"/>
  <c r="S56" i="2"/>
  <c r="K56" i="2"/>
  <c r="J56" i="2"/>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F16" i="30"/>
  <c r="F15" i="30"/>
  <c r="F14" i="30"/>
  <c r="F13" i="30"/>
  <c r="F12" i="30"/>
  <c r="F11" i="30"/>
  <c r="F10" i="30"/>
  <c r="F9" i="30"/>
  <c r="F7" i="30"/>
  <c r="F6" i="30"/>
  <c r="F5" i="30"/>
  <c r="F4" i="30"/>
  <c r="F3" i="30"/>
  <c r="F2" i="30"/>
  <c r="AJ478" i="34" l="1"/>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I26" i="30" s="1"/>
  <c r="C240" i="2"/>
  <c r="B240" i="2"/>
  <c r="I24" i="30" s="1"/>
  <c r="C228" i="2"/>
  <c r="B228" i="2"/>
  <c r="I23" i="30" s="1"/>
  <c r="C216" i="2"/>
  <c r="B216" i="2"/>
  <c r="I25" i="30" s="1"/>
  <c r="C207" i="2"/>
  <c r="C198" i="2"/>
  <c r="B198" i="2"/>
  <c r="I31" i="30" s="1"/>
  <c r="C187" i="2"/>
  <c r="B187" i="2"/>
  <c r="C175" i="2"/>
  <c r="B175" i="2"/>
  <c r="C163" i="2"/>
  <c r="B163" i="2"/>
  <c r="C151" i="2"/>
  <c r="B151" i="2"/>
  <c r="C141" i="2"/>
  <c r="C72" i="2"/>
  <c r="C133" i="2"/>
  <c r="B133" i="2"/>
  <c r="I37" i="30" s="1"/>
  <c r="C119" i="2"/>
  <c r="B119" i="2"/>
  <c r="I35" i="30" s="1"/>
  <c r="C106" i="2"/>
  <c r="B106" i="2"/>
  <c r="I34" i="30" s="1"/>
  <c r="C93" i="2"/>
  <c r="B93" i="2"/>
  <c r="C81" i="2"/>
  <c r="B81" i="2"/>
  <c r="I36" i="30" s="1"/>
  <c r="G3" i="30" l="1"/>
  <c r="H3" i="30" s="1"/>
  <c r="G9" i="30"/>
  <c r="H9" i="30" s="1"/>
  <c r="J7" i="30"/>
  <c r="I38" i="30"/>
  <c r="G12" i="30"/>
  <c r="H12" i="30" s="1"/>
  <c r="G16" i="30"/>
  <c r="H16" i="30" s="1"/>
  <c r="G15" i="30"/>
  <c r="H15" i="30" s="1"/>
  <c r="G14" i="30"/>
  <c r="H14" i="30" s="1"/>
  <c r="I9" i="30"/>
  <c r="I8" i="30"/>
  <c r="I2" i="30"/>
  <c r="I3" i="30"/>
  <c r="I11" i="30"/>
  <c r="I12" i="30"/>
  <c r="J9" i="30"/>
  <c r="J10" i="30"/>
  <c r="J14" i="30"/>
  <c r="I16" i="30"/>
  <c r="J3" i="30"/>
  <c r="J4" i="30"/>
  <c r="I15" i="30"/>
  <c r="I14" i="30"/>
  <c r="J15" i="30"/>
  <c r="J16" i="30"/>
  <c r="J13" i="30"/>
  <c r="J12" i="30"/>
  <c r="H46" i="29"/>
  <c r="H45" i="29"/>
  <c r="H44" i="29"/>
  <c r="H42" i="29"/>
  <c r="G46" i="29"/>
  <c r="G45" i="29"/>
  <c r="G44" i="29"/>
  <c r="G42" i="29"/>
  <c r="X149" i="2"/>
  <c r="K14" i="30" l="1"/>
  <c r="K12" i="30"/>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T47" i="32" s="1"/>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M144" i="32" s="1"/>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C247" i="32" s="1"/>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75" i="32" s="1"/>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6"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74" i="32" l="1"/>
  <c r="F386" i="32"/>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I30" i="30" s="1"/>
  <c r="M183" i="2"/>
  <c r="M186" i="2" s="1"/>
  <c r="L183" i="2"/>
  <c r="M171" i="2"/>
  <c r="M174" i="2" s="1"/>
  <c r="M162" i="2"/>
  <c r="L162" i="2"/>
  <c r="M148" i="2"/>
  <c r="G4" i="30" l="1"/>
  <c r="H4" i="30" s="1"/>
  <c r="G2" i="30"/>
  <c r="H2" i="30" s="1"/>
  <c r="I4" i="30"/>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I29" i="30" s="1"/>
  <c r="C174" i="2"/>
  <c r="B174" i="2"/>
  <c r="I28" i="30" s="1"/>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32" i="30" l="1"/>
  <c r="G7" i="30" s="1"/>
  <c r="H7" i="30" s="1"/>
  <c r="I7" i="30"/>
  <c r="K7" i="30" s="1"/>
  <c r="G10" i="30"/>
  <c r="H10" i="30" s="1"/>
  <c r="H8" i="30"/>
  <c r="G13" i="30"/>
  <c r="H13" i="30" s="1"/>
  <c r="G11" i="30"/>
  <c r="H11"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L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J260" i="9" s="1"/>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AA298" i="13" l="1"/>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AC80" i="1" l="1"/>
  <c r="M80" i="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<sst xmlns="http://schemas.openxmlformats.org/spreadsheetml/2006/main" count="7383" uniqueCount="510">
  <si>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</si>
  <si>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</si>
  <si>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</si>
  <si>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</si>
  <si>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</si>
  <si>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</si>
  <si>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</si>
  <si>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</si>
  <si>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</si>
  <si>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</si>
  <si>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</si>
  <si>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</si>
  <si>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</si>
  <si>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</si>
  <si>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</si>
  <si>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</si>
  <si>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</si>
  <si>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</si>
  <si>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</si>
  <si>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</si>
  <si>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</si>
  <si>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</si>
  <si>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</si>
  <si>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</si>
  <si>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</si>
  <si>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</si>
  <si>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</si>
  <si>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</si>
  <si>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</si>
  <si>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</si>
  <si>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</si>
  <si>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</si>
  <si>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</si>
  <si>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</si>
  <si>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</si>
  <si>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</si>
  <si>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</si>
  <si>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</si>
  <si>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</si>
  <si>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</si>
  <si>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</si>
  <si>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</si>
  <si>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</si>
  <si>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</si>
  <si>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</si>
  <si>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</si>
  <si>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</si>
  <si>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</si>
  <si>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</si>
  <si>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</si>
  <si>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</si>
  <si>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</si>
  <si>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</si>
  <si>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</si>
  <si>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</si>
  <si>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</si>
  <si>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</si>
  <si>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</si>
  <si>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</si>
  <si>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</si>
  <si>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</si>
  <si>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</si>
  <si>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</si>
  <si>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</si>
  <si>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</si>
  <si>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</si>
  <si>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</si>
  <si>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</si>
  <si>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</si>
  <si>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</si>
  <si>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</si>
  <si>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</si>
  <si>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</si>
  <si>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</si>
  <si>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</si>
  <si>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</si>
  <si>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</si>
  <si>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</si>
  <si>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</si>
  <si>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</si>
  <si>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</si>
  <si>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</si>
  <si>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</si>
  <si>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</si>
  <si>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</si>
  <si>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</si>
  <si>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</si>
  <si>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</si>
  <si>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</si>
  <si>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</si>
  <si>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</si>
  <si>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</si>
  <si>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</si>
  <si>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</si>
  <si>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</si>
  <si>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</si>
  <si>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</si>
  <si>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</si>
  <si>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</si>
  <si>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</si>
  <si>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</si>
  <si>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</si>
  <si>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</si>
  <si>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</si>
  <si>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</si>
  <si>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</si>
  <si>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</si>
  <si>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</si>
  <si>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</si>
  <si>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</si>
  <si>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</si>
  <si>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</si>
  <si>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</si>
  <si>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</si>
  <si>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</si>
  <si>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</si>
  <si>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</si>
  <si>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</si>
  <si>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</si>
  <si>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</si>
  <si>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</si>
  <si>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</si>
  <si>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</si>
  <si>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</si>
  <si>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</si>
  <si>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</si>
  <si>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</si>
  <si>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</si>
  <si>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</si>
  <si>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</si>
  <si>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</si>
  <si>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</si>
  <si>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</si>
  <si>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</si>
  <si>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</si>
  <si>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</si>
  <si>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</si>
  <si>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</si>
  <si>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</si>
  <si>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</si>
  <si>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</si>
  <si>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</si>
  <si>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</si>
  <si>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</si>
  <si>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</si>
  <si>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</si>
  <si>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</si>
  <si>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</si>
  <si>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</si>
  <si>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</si>
  <si>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</si>
  <si>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</si>
  <si>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</si>
  <si>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</si>
  <si>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</si>
  <si>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</si>
  <si>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</si>
  <si>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</si>
  <si>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</si>
  <si>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</si>
  <si>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</si>
  <si>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</si>
  <si>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</si>
  <si>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</si>
  <si>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</si>
  <si>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</si>
  <si>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</si>
  <si>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</si>
  <si>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</si>
  <si>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</si>
  <si>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</si>
  <si>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</si>
  <si>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</si>
  <si>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</si>
  <si>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</si>
  <si>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</si>
  <si>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</si>
  <si>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</si>
  <si>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</si>
  <si>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</si>
  <si>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</si>
  <si>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</si>
  <si>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</si>
  <si>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</si>
  <si>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</si>
  <si>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</si>
  <si>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</si>
  <si>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</si>
  <si>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</si>
  <si>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</si>
  <si>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</si>
  <si>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</si>
  <si>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</si>
  <si>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</si>
  <si>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</si>
  <si>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</si>
  <si>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</si>
  <si>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</si>
  <si>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</si>
  <si>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</si>
  <si>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</si>
  <si>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</si>
  <si>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</si>
  <si>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</si>
  <si>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</si>
  <si>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</si>
  <si>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</si>
  <si>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</si>
  <si>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</si>
  <si>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</si>
  <si>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</si>
  <si>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</si>
  <si>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</si>
  <si>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</si>
  <si>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</si>
  <si>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</si>
  <si>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</si>
  <si>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</si>
  <si>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</si>
  <si>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</si>
  <si>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</si>
  <si>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</si>
  <si>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</si>
  <si>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</si>
  <si>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</si>
  <si>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</si>
  <si>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</si>
  <si>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</si>
  <si>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</si>
  <si>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</si>
  <si>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</si>
  <si>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</si>
  <si>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</si>
  <si>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</si>
  <si>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</si>
  <si>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</si>
  <si>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</si>
  <si>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</si>
  <si>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</si>
  <si>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</si>
  <si>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</si>
  <si>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</si>
  <si>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Transfer type</t>
  </si>
  <si>
    <t>sea-rail</t>
  </si>
  <si>
    <t>sea-road</t>
  </si>
  <si>
    <t>rail-road</t>
  </si>
  <si>
    <t>From</t>
  </si>
  <si>
    <t>To</t>
  </si>
  <si>
    <t>TO DO</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</si>
  <si>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</si>
  <si>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</si>
  <si>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</si>
  <si>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</si>
  <si>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</si>
  <si>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</si>
  <si>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</si>
  <si>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</si>
  <si>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</si>
  <si>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</si>
  <si>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</si>
  <si>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</si>
  <si>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</si>
  <si>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</si>
  <si>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</si>
  <si>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</si>
  <si>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</si>
  <si>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</si>
  <si>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</si>
  <si>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</si>
  <si>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</si>
  <si>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</si>
  <si>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</si>
  <si>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</si>
  <si>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</si>
  <si>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</si>
  <si>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</si>
  <si>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</si>
  <si>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</si>
  <si>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</si>
  <si>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</si>
  <si>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</si>
  <si>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</si>
  <si>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</si>
  <si>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</si>
  <si>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</si>
  <si>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</si>
  <si>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</si>
  <si>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</si>
  <si>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</si>
  <si>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</si>
  <si>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</si>
  <si>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</si>
  <si>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</si>
  <si>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</si>
  <si>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</si>
  <si>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</si>
  <si>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</si>
  <si>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</si>
  <si>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</si>
  <si>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</si>
  <si>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</si>
  <si>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</si>
  <si>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</si>
  <si>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</si>
  <si>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</si>
  <si>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</si>
  <si>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</si>
  <si>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</si>
  <si>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</si>
  <si>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</si>
  <si>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</si>
  <si>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</si>
  <si>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</si>
  <si>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</si>
  <si>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</si>
  <si>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</si>
  <si>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</si>
  <si>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</si>
  <si>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</si>
  <si>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</si>
  <si>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</si>
  <si>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</si>
  <si>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</si>
  <si>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</si>
  <si>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</si>
  <si>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</si>
  <si>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</si>
  <si>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</si>
  <si>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</si>
  <si>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</si>
  <si>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</si>
  <si>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</si>
  <si>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</si>
  <si>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</si>
  <si>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</si>
  <si>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</si>
  <si>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</si>
  <si>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</si>
  <si>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</si>
  <si>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</si>
  <si>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</si>
  <si>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</si>
  <si>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</si>
  <si>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</si>
  <si>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</si>
  <si>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</si>
  <si>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</si>
  <si>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</si>
  <si>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</si>
  <si>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</si>
  <si>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</si>
  <si>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</si>
  <si>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</si>
  <si>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</si>
  <si>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</si>
  <si>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</si>
  <si>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</si>
  <si>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</si>
  <si>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</si>
  <si>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</si>
  <si>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</si>
  <si>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</si>
  <si>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</si>
  <si>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</si>
  <si>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</si>
  <si>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</si>
  <si>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</si>
  <si>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</si>
  <si>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</si>
  <si>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</si>
  <si>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</si>
  <si>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</si>
  <si>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</si>
  <si>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</si>
  <si>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</si>
  <si>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</si>
  <si>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</si>
  <si>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</si>
  <si>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</si>
  <si>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</si>
  <si>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</si>
  <si>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</si>
  <si>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</si>
  <si>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</si>
  <si>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</si>
  <si>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</si>
  <si>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</si>
  <si>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</si>
  <si>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</si>
  <si>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</si>
  <si>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</si>
  <si>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</si>
  <si>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</si>
  <si>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</si>
  <si>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</si>
  <si>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</si>
  <si>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</si>
  <si>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</si>
  <si>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</si>
  <si>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</si>
  <si>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</si>
  <si>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</si>
  <si>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</si>
  <si>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</si>
  <si>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</si>
  <si>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</si>
  <si>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</si>
  <si>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</si>
  <si>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</si>
  <si>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</si>
  <si>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</si>
  <si>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</si>
  <si>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</si>
  <si>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</si>
  <si>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</si>
  <si>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</si>
  <si>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</si>
  <si>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</si>
  <si>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</si>
  <si>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</si>
  <si>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</si>
  <si>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</si>
  <si>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</si>
  <si>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</si>
  <si>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</si>
  <si>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Loading cost (NOK/Tonne)</t>
  </si>
  <si>
    <t>Terminal costs (NOK/Tonne)</t>
  </si>
  <si>
    <t>Total cost (NOK/Tonne)</t>
  </si>
  <si>
    <t>The whole calculation follows the desription of Gronland 2022</t>
  </si>
  <si>
    <t>Original data in Gronland 2022 - Cost models for transport</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</si>
  <si>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</si>
  <si>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</si>
  <si>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</si>
  <si>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</si>
  <si>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</si>
  <si>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</si>
  <si>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</si>
  <si>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</si>
  <si>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</si>
  <si>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</si>
  <si>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</si>
  <si>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</si>
  <si>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</si>
  <si>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</si>
  <si>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</si>
  <si>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</si>
  <si>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</si>
  <si>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</si>
  <si>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</si>
  <si>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</si>
  <si>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</si>
  <si>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</si>
  <si>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</si>
  <si>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</si>
  <si>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</si>
  <si>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</si>
  <si>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</si>
  <si>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</si>
  <si>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</si>
  <si>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</si>
  <si>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</si>
  <si>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Dry bulk truck</t>
  </si>
  <si>
    <t>Electric system trains (wet bulk)</t>
  </si>
  <si>
    <t>Tank truck</t>
  </si>
  <si>
    <t>Heavy distribution, containers</t>
  </si>
  <si>
    <t>Heavy distribution closed unit</t>
  </si>
  <si>
    <t>Timber truck with hanger</t>
  </si>
  <si>
    <t>Berth waiting [min/vessel]</t>
  </si>
  <si>
    <t>p. 11</t>
  </si>
  <si>
    <t>From:" Port-2-Port Communication Enhancing Short Sea Shipping Performance: The Case Study of Cyprus and the Eastern Mediterranean", 2019</t>
  </si>
  <si>
    <t>Bulk Carrier</t>
  </si>
  <si>
    <t>General Cargo</t>
  </si>
  <si>
    <t>Tanker</t>
  </si>
  <si>
    <t>Loading / Unloading time per ... [min]</t>
  </si>
  <si>
    <t>From: "Review of Maritime Transport 2023"</t>
  </si>
  <si>
    <t>Container [min/t]</t>
  </si>
  <si>
    <t>p. 92 (5min/con)</t>
  </si>
  <si>
    <t>Break bulk [min/t]</t>
  </si>
  <si>
    <t>assumption</t>
  </si>
  <si>
    <t>Dry Bulk [min/t]</t>
  </si>
  <si>
    <t>Neo bulk [min/t]</t>
  </si>
  <si>
    <t>Cargo waiting time in hub [h]</t>
  </si>
  <si>
    <t>Assumptions</t>
  </si>
  <si>
    <t>Optimistic</t>
  </si>
  <si>
    <t>Base</t>
  </si>
  <si>
    <t>Pessimistic</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</si>
  <si>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</si>
  <si>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</si>
  <si>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Sea:</t>
  </si>
  <si>
    <t>All modes:</t>
  </si>
  <si>
    <t>Waiting time cargo in port [h]</t>
  </si>
  <si>
    <t>Unloading whole vehicle (from) [h]</t>
  </si>
  <si>
    <t>Transfer loading/unloading total [h]</t>
  </si>
  <si>
    <t>Loading whole vehicle (to) [h]</t>
  </si>
  <si>
    <t>Emission prices</t>
  </si>
  <si>
    <t>Carbon price trajectories for use in socio-economic analyzes - regjeringen.no, https://www.regjeringen.no/no/tema/okonomi-og-budsjett/statlig-okonomistyring/karbonprisbaner-for-bruk-i-samfunnsokonomiske-analyser/id2878113/</t>
  </si>
  <si>
    <t>€/t</t>
  </si>
  <si>
    <t>Low scenario</t>
  </si>
  <si>
    <t>High scenario</t>
  </si>
  <si>
    <t>World Energy Outlook 2023</t>
  </si>
  <si>
    <t>p. 297</t>
  </si>
  <si>
    <t>Stated Policy Scenario</t>
  </si>
  <si>
    <t>Announced Pledges</t>
  </si>
  <si>
    <t>Net Zero Emission by 2050 Scenario</t>
  </si>
  <si>
    <t>These values are not used here and just implemented to document what is used in the analysis. STrAM has its own emission price input.</t>
  </si>
  <si>
    <t>Liquid bulk [min/t]</t>
  </si>
  <si>
    <t>25 min pro trailer (25t)</t>
  </si>
  <si>
    <t>Ikke kvotepliktig</t>
  </si>
  <si>
    <t>Intermediate scenario</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</si>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</sst>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6"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0">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4"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7"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0.16150148792048974</c:v>
                </c:pt>
                <c:pt idx="1">
                  <c:v>0.16115721695533586</c:v>
                </c:pt>
                <c:pt idx="2">
                  <c:v>0.1608178658980301</c:v>
                </c:pt>
                <c:pt idx="3">
                  <c:v>0.16048561110956144</c:v>
                </c:pt>
                <c:pt idx="4">
                  <c:v>0.16016346960007288</c:v>
                </c:pt>
                <c:pt idx="5">
                  <c:v>0.15985549430503793</c:v>
                </c:pt>
                <c:pt idx="6">
                  <c:v>0.15956687348578028</c:v>
                </c:pt>
                <c:pt idx="7">
                  <c:v>0.15930376037959293</c:v>
                </c:pt>
                <c:pt idx="8">
                  <c:v>0.15931518699600847</c:v>
                </c:pt>
                <c:pt idx="9">
                  <c:v>0.15935788122133043</c:v>
                </c:pt>
                <c:pt idx="10">
                  <c:v>0.15943172688542995</c:v>
                </c:pt>
                <c:pt idx="11">
                  <c:v>0.1595312014287559</c:v>
                </c:pt>
                <c:pt idx="12">
                  <c:v>0.15964497618552159</c:v>
                </c:pt>
                <c:pt idx="13">
                  <c:v>0.15975802943604556</c:v>
                </c:pt>
                <c:pt idx="14">
                  <c:v>0.15985573585985405</c:v>
                </c:pt>
                <c:pt idx="15">
                  <c:v>0.15992775700834516</c:v>
                </c:pt>
                <c:pt idx="16">
                  <c:v>0.15996971030692503</c:v>
                </c:pt>
                <c:pt idx="17">
                  <c:v>0.1599823752826825</c:v>
                </c:pt>
                <c:pt idx="18">
                  <c:v>0.15996965602643792</c:v>
                </c:pt>
                <c:pt idx="19">
                  <c:v>0.15993660658545378</c:v>
                </c:pt>
                <c:pt idx="20">
                  <c:v>0.15988813401751967</c:v>
                </c:pt>
                <c:pt idx="21">
                  <c:v>0.1598283886241107</c:v>
                </c:pt>
                <c:pt idx="22">
                  <c:v>0.15976061105535916</c:v>
                </c:pt>
                <c:pt idx="23">
                  <c:v>0.15968720873843278</c:v>
                </c:pt>
                <c:pt idx="24">
                  <c:v>0.15960991360412743</c:v>
                </c:pt>
                <c:pt idx="25">
                  <c:v>0.15952994566568962</c:v>
                </c:pt>
                <c:pt idx="26">
                  <c:v>0.159448152434082</c:v>
                </c:pt>
                <c:pt idx="27">
                  <c:v>0.1593651172133618</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8.1266133561074191E-2</c:v>
                </c:pt>
                <c:pt idx="1">
                  <c:v>8.0955069384040443E-2</c:v>
                </c:pt>
                <c:pt idx="2">
                  <c:v>8.0644184160443583E-2</c:v>
                </c:pt>
                <c:pt idx="3">
                  <c:v>8.0333739927345618E-2</c:v>
                </c:pt>
                <c:pt idx="4">
                  <c:v>8.002417776670892E-2</c:v>
                </c:pt>
                <c:pt idx="5">
                  <c:v>7.9716202540005235E-2</c:v>
                </c:pt>
                <c:pt idx="6">
                  <c:v>7.941088159082009E-2</c:v>
                </c:pt>
                <c:pt idx="7">
                  <c:v>7.9109730006081486E-2</c:v>
                </c:pt>
                <c:pt idx="8">
                  <c:v>7.9027012198047392E-2</c:v>
                </c:pt>
                <c:pt idx="9">
                  <c:v>7.8947609391586182E-2</c:v>
                </c:pt>
                <c:pt idx="10">
                  <c:v>7.8872115394935327E-2</c:v>
                </c:pt>
                <c:pt idx="11">
                  <c:v>7.8800724107898013E-2</c:v>
                </c:pt>
                <c:pt idx="12">
                  <c:v>7.8733021522405272E-2</c:v>
                </c:pt>
                <c:pt idx="13">
                  <c:v>7.8667978894302437E-2</c:v>
                </c:pt>
                <c:pt idx="14">
                  <c:v>7.8604212008598323E-2</c:v>
                </c:pt>
                <c:pt idx="15">
                  <c:v>7.8540380763005679E-2</c:v>
                </c:pt>
                <c:pt idx="16">
                  <c:v>7.84755059665979E-2</c:v>
                </c:pt>
                <c:pt idx="17">
                  <c:v>7.8409074771145448E-2</c:v>
                </c:pt>
                <c:pt idx="18">
                  <c:v>7.834096711418434E-2</c:v>
                </c:pt>
                <c:pt idx="19">
                  <c:v>7.8271310187570053E-2</c:v>
                </c:pt>
                <c:pt idx="20">
                  <c:v>7.8200344902206703E-2</c:v>
                </c:pt>
                <c:pt idx="21">
                  <c:v>7.8128336642244889E-2</c:v>
                </c:pt>
                <c:pt idx="22">
                  <c:v>7.8055528335180951E-2</c:v>
                </c:pt>
                <c:pt idx="23">
                  <c:v>7.7982122253934E-2</c:v>
                </c:pt>
                <c:pt idx="24">
                  <c:v>7.790827764775711E-2</c:v>
                </c:pt>
                <c:pt idx="25">
                  <c:v>7.7834115509214388E-2</c:v>
                </c:pt>
                <c:pt idx="26">
                  <c:v>7.775972561484272E-2</c:v>
                </c:pt>
                <c:pt idx="27">
                  <c:v>7.7685173503754978E-2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8.5592873760686805E-2</c:v>
                </c:pt>
                <c:pt idx="1">
                  <c:v>8.5268773356454025E-2</c:v>
                </c:pt>
                <c:pt idx="2">
                  <c:v>8.4945064703182999E-2</c:v>
                </c:pt>
                <c:pt idx="3">
                  <c:v>8.4622102834767093E-2</c:v>
                </c:pt>
                <c:pt idx="4">
                  <c:v>8.4300457267883322E-2</c:v>
                </c:pt>
                <c:pt idx="5">
                  <c:v>8.398100470056756E-2</c:v>
                </c:pt>
                <c:pt idx="6">
                  <c:v>8.3665031423521427E-2</c:v>
                </c:pt>
                <c:pt idx="7">
                  <c:v>8.3354310645251312E-2</c:v>
                </c:pt>
                <c:pt idx="8">
                  <c:v>8.3272603421831765E-2</c:v>
                </c:pt>
                <c:pt idx="9">
                  <c:v>8.3195550071170035E-2</c:v>
                </c:pt>
                <c:pt idx="10">
                  <c:v>8.3123735662378476E-2</c:v>
                </c:pt>
                <c:pt idx="11">
                  <c:v>8.305711277962885E-2</c:v>
                </c:pt>
                <c:pt idx="12">
                  <c:v>8.299477743564454E-2</c:v>
                </c:pt>
                <c:pt idx="13">
                  <c:v>8.2935054157739024E-2</c:v>
                </c:pt>
                <c:pt idx="14">
                  <c:v>8.287593144503097E-2</c:v>
                </c:pt>
                <c:pt idx="15">
                  <c:v>8.281562802108447E-2</c:v>
                </c:pt>
                <c:pt idx="16">
                  <c:v>8.2752980230182696E-2</c:v>
                </c:pt>
                <c:pt idx="17">
                  <c:v>8.2687512301970953E-2</c:v>
                </c:pt>
                <c:pt idx="18">
                  <c:v>8.2619274662794007E-2</c:v>
                </c:pt>
                <c:pt idx="19">
                  <c:v>8.2548613455681125E-2</c:v>
                </c:pt>
                <c:pt idx="20">
                  <c:v>8.2475981445534086E-2</c:v>
                </c:pt>
                <c:pt idx="21">
                  <c:v>8.2401822816044912E-2</c:v>
                </c:pt>
                <c:pt idx="22">
                  <c:v>8.2326519883675411E-2</c:v>
                </c:pt>
                <c:pt idx="23">
                  <c:v>8.2250378335737534E-2</c:v>
                </c:pt>
                <c:pt idx="24">
                  <c:v>8.2173631733697544E-2</c:v>
                </c:pt>
                <c:pt idx="25">
                  <c:v>8.2096453362667104E-2</c:v>
                </c:pt>
                <c:pt idx="26">
                  <c:v>8.2018969289867599E-2</c:v>
                </c:pt>
                <c:pt idx="27">
                  <c:v>8.1941270008382638E-2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0.10957668678980516</c:v>
                </c:pt>
                <c:pt idx="1">
                  <c:v>0.10925630499491737</c:v>
                </c:pt>
                <c:pt idx="2">
                  <c:v>0.10893787623384694</c:v>
                </c:pt>
                <c:pt idx="3">
                  <c:v>0.10862237698569135</c:v>
                </c:pt>
                <c:pt idx="4">
                  <c:v>0.10831120880301622</c:v>
                </c:pt>
                <c:pt idx="5">
                  <c:v>0.1080063236031587</c:v>
                </c:pt>
                <c:pt idx="6">
                  <c:v>0.10771032164193153</c:v>
                </c:pt>
                <c:pt idx="7">
                  <c:v>0.1074264401720824</c:v>
                </c:pt>
                <c:pt idx="8">
                  <c:v>0.10737981710974218</c:v>
                </c:pt>
                <c:pt idx="9">
                  <c:v>0.10734694632996691</c:v>
                </c:pt>
                <c:pt idx="10">
                  <c:v>0.10732814973797825</c:v>
                </c:pt>
                <c:pt idx="11">
                  <c:v>0.10732147800566266</c:v>
                </c:pt>
                <c:pt idx="12">
                  <c:v>0.10732243284521815</c:v>
                </c:pt>
                <c:pt idx="13">
                  <c:v>0.10732475431842138</c:v>
                </c:pt>
                <c:pt idx="14">
                  <c:v>0.10732211221974909</c:v>
                </c:pt>
                <c:pt idx="15">
                  <c:v>0.10730980927473895</c:v>
                </c:pt>
                <c:pt idx="16">
                  <c:v>0.10728560127106643</c:v>
                </c:pt>
                <c:pt idx="17">
                  <c:v>0.10724946460659011</c:v>
                </c:pt>
                <c:pt idx="18">
                  <c:v>0.10720278779862946</c:v>
                </c:pt>
                <c:pt idx="19">
                  <c:v>0.10714754227392294</c:v>
                </c:pt>
                <c:pt idx="20">
                  <c:v>0.10708571438056012</c:v>
                </c:pt>
                <c:pt idx="21">
                  <c:v>0.1070190220598418</c:v>
                </c:pt>
                <c:pt idx="22">
                  <c:v>0.10694882869462462</c:v>
                </c:pt>
                <c:pt idx="23">
                  <c:v>0.10687616053928953</c:v>
                </c:pt>
                <c:pt idx="24">
                  <c:v>0.10680176434337398</c:v>
                </c:pt>
                <c:pt idx="25">
                  <c:v>0.10672617155876898</c:v>
                </c:pt>
                <c:pt idx="26">
                  <c:v>0.10664975489487453</c:v>
                </c:pt>
                <c:pt idx="27">
                  <c:v>0.10657277317861766</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9.2999629994423322E-2</c:v>
                </c:pt>
                <c:pt idx="1">
                  <c:v>9.269074961350604E-2</c:v>
                </c:pt>
                <c:pt idx="2">
                  <c:v>9.2382965067343475E-2</c:v>
                </c:pt>
                <c:pt idx="3">
                  <c:v>9.3133654130001353E-2</c:v>
                </c:pt>
                <c:pt idx="4">
                  <c:v>9.283024493377226E-2</c:v>
                </c:pt>
                <c:pt idx="5">
                  <c:v>9.253082456119037E-2</c:v>
                </c:pt>
                <c:pt idx="6">
                  <c:v>9.2237231996968497E-2</c:v>
                </c:pt>
                <c:pt idx="7">
                  <c:v>9.1951842104857587E-2</c:v>
                </c:pt>
                <c:pt idx="8">
                  <c:v>9.1889727874022983E-2</c:v>
                </c:pt>
                <c:pt idx="9">
                  <c:v>9.1836271790587981E-2</c:v>
                </c:pt>
                <c:pt idx="10">
                  <c:v>9.1791913116767779E-2</c:v>
                </c:pt>
                <c:pt idx="11">
                  <c:v>9.175572883249658E-2</c:v>
                </c:pt>
                <c:pt idx="12">
                  <c:v>9.1725194135373347E-2</c:v>
                </c:pt>
                <c:pt idx="13">
                  <c:v>9.1696588001117463E-2</c:v>
                </c:pt>
                <c:pt idx="14">
                  <c:v>9.1665990005754816E-2</c:v>
                </c:pt>
                <c:pt idx="15">
                  <c:v>9.1630347593611564E-2</c:v>
                </c:pt>
                <c:pt idx="16">
                  <c:v>9.1588047004462714E-2</c:v>
                </c:pt>
                <c:pt idx="17">
                  <c:v>9.1538840931063653E-2</c:v>
                </c:pt>
                <c:pt idx="18">
                  <c:v>9.1483395120268568E-2</c:v>
                </c:pt>
                <c:pt idx="19">
                  <c:v>9.1422791230488326E-2</c:v>
                </c:pt>
                <c:pt idx="20">
                  <c:v>9.1358170786996318E-2</c:v>
                </c:pt>
                <c:pt idx="21">
                  <c:v>9.1290547202752037E-2</c:v>
                </c:pt>
                <c:pt idx="22">
                  <c:v>9.1220739547778401E-2</c:v>
                </c:pt>
                <c:pt idx="23">
                  <c:v>9.1149373256295074E-2</c:v>
                </c:pt>
                <c:pt idx="24">
                  <c:v>9.1076908953153679E-2</c:v>
                </c:pt>
                <c:pt idx="25">
                  <c:v>9.1003677968479774E-2</c:v>
                </c:pt>
                <c:pt idx="26">
                  <c:v>9.0929914922266999E-2</c:v>
                </c:pt>
                <c:pt idx="27">
                  <c:v>9.0855784209614265E-2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0.21487411418480304</c:v>
                </c:pt>
                <c:pt idx="1">
                  <c:v>0.21951104207722003</c:v>
                </c:pt>
                <c:pt idx="2">
                  <c:v>0.21774038691418135</c:v>
                </c:pt>
                <c:pt idx="3">
                  <c:v>0.21535650325440328</c:v>
                </c:pt>
                <c:pt idx="4">
                  <c:v>0.21223165111129222</c:v>
                </c:pt>
                <c:pt idx="5">
                  <c:v>0.20827970186713166</c:v>
                </c:pt>
                <c:pt idx="6">
                  <c:v>0.20350672500663491</c:v>
                </c:pt>
                <c:pt idx="7">
                  <c:v>0.19805651534550769</c:v>
                </c:pt>
                <c:pt idx="8">
                  <c:v>0.19221812747364972</c:v>
                </c:pt>
                <c:pt idx="9">
                  <c:v>0.18637168156255102</c:v>
                </c:pt>
                <c:pt idx="10">
                  <c:v>0.18088911847517575</c:v>
                </c:pt>
                <c:pt idx="11">
                  <c:v>0.17604400717380625</c:v>
                </c:pt>
                <c:pt idx="12">
                  <c:v>0.17197490026309797</c:v>
                </c:pt>
                <c:pt idx="13">
                  <c:v>0.1687014572165727</c:v>
                </c:pt>
                <c:pt idx="14">
                  <c:v>0.16616327353760002</c:v>
                </c:pt>
                <c:pt idx="15">
                  <c:v>0.16425693316860029</c:v>
                </c:pt>
                <c:pt idx="16">
                  <c:v>0.16286365669373826</c:v>
                </c:pt>
                <c:pt idx="17">
                  <c:v>0.16186804706049535</c:v>
                </c:pt>
                <c:pt idx="18">
                  <c:v>0.16116917124098462</c:v>
                </c:pt>
                <c:pt idx="19">
                  <c:v>0.16068518041493196</c:v>
                </c:pt>
                <c:pt idx="20">
                  <c:v>0.16035330999297903</c:v>
                </c:pt>
                <c:pt idx="21">
                  <c:v>0.16012735276709789</c:v>
                </c:pt>
                <c:pt idx="22">
                  <c:v>0.15997426809106063</c:v>
                </c:pt>
                <c:pt idx="23">
                  <c:v>0.15987090849638358</c:v>
                </c:pt>
                <c:pt idx="24">
                  <c:v>0.15980128544457209</c:v>
                </c:pt>
                <c:pt idx="25">
                  <c:v>0.15975446190069742</c:v>
                </c:pt>
                <c:pt idx="26">
                  <c:v>0.15972300557646724</c:v>
                </c:pt>
                <c:pt idx="27">
                  <c:v>0.15970188837788224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0.10398939898527251</c:v>
                </c:pt>
                <c:pt idx="1">
                  <c:v>0.10342152222844211</c:v>
                </c:pt>
                <c:pt idx="2">
                  <c:v>0.10264231676481562</c:v>
                </c:pt>
                <c:pt idx="3">
                  <c:v>0.1015937723522853</c:v>
                </c:pt>
                <c:pt idx="4">
                  <c:v>0.10022036585280789</c:v>
                </c:pt>
                <c:pt idx="5">
                  <c:v>9.8485474869214135E-2</c:v>
                </c:pt>
                <c:pt idx="6">
                  <c:v>9.6393895078652064E-2</c:v>
                </c:pt>
                <c:pt idx="7">
                  <c:v>9.401198151830599E-2</c:v>
                </c:pt>
                <c:pt idx="8">
                  <c:v>9.1652164318997462E-2</c:v>
                </c:pt>
                <c:pt idx="9">
                  <c:v>8.9293106120058752E-2</c:v>
                </c:pt>
                <c:pt idx="10">
                  <c:v>8.7101101600716546E-2</c:v>
                </c:pt>
                <c:pt idx="11">
                  <c:v>8.5196928607980713E-2</c:v>
                </c:pt>
                <c:pt idx="12">
                  <c:v>8.3638773305854563E-2</c:v>
                </c:pt>
                <c:pt idx="13">
                  <c:v>8.2201613803346063E-2</c:v>
                </c:pt>
                <c:pt idx="14">
                  <c:v>8.1087603167572159E-2</c:v>
                </c:pt>
                <c:pt idx="15">
                  <c:v>8.0244743187036213E-2</c:v>
                </c:pt>
                <c:pt idx="16">
                  <c:v>7.9617375812652463E-2</c:v>
                </c:pt>
                <c:pt idx="17">
                  <c:v>7.9154065593910083E-2</c:v>
                </c:pt>
                <c:pt idx="18">
                  <c:v>7.8811461652996351E-2</c:v>
                </c:pt>
                <c:pt idx="19">
                  <c:v>7.8555345491702427E-2</c:v>
                </c:pt>
                <c:pt idx="20">
                  <c:v>7.8359976977265405E-2</c:v>
                </c:pt>
                <c:pt idx="21">
                  <c:v>7.8206661408919742E-2</c:v>
                </c:pt>
                <c:pt idx="22">
                  <c:v>7.8082157893313575E-2</c:v>
                </c:pt>
                <c:pt idx="23">
                  <c:v>7.797725250399562E-2</c:v>
                </c:pt>
                <c:pt idx="24">
                  <c:v>7.7885611605339161E-2</c:v>
                </c:pt>
                <c:pt idx="25">
                  <c:v>7.7802917905643226E-2</c:v>
                </c:pt>
                <c:pt idx="26">
                  <c:v>7.7726245343429395E-2</c:v>
                </c:pt>
                <c:pt idx="27">
                  <c:v>7.7653618448074446E-2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0.11005871333542969</c:v>
                </c:pt>
                <c:pt idx="1">
                  <c:v>0.10944359354051605</c:v>
                </c:pt>
                <c:pt idx="2">
                  <c:v>0.10859962603538229</c:v>
                </c:pt>
                <c:pt idx="3">
                  <c:v>0.10746406002436895</c:v>
                </c:pt>
                <c:pt idx="4">
                  <c:v>0.10597692010587072</c:v>
                </c:pt>
                <c:pt idx="5">
                  <c:v>0.10409883633799516</c:v>
                </c:pt>
                <c:pt idx="6">
                  <c:v>0.10183548686085206</c:v>
                </c:pt>
                <c:pt idx="7">
                  <c:v>9.9259429555085404E-2</c:v>
                </c:pt>
                <c:pt idx="8">
                  <c:v>9.6702206693749918E-2</c:v>
                </c:pt>
                <c:pt idx="9">
                  <c:v>9.414955273973058E-2</c:v>
                </c:pt>
                <c:pt idx="10">
                  <c:v>9.1781813498621134E-2</c:v>
                </c:pt>
                <c:pt idx="11">
                  <c:v>8.9729273933051135E-2</c:v>
                </c:pt>
                <c:pt idx="12">
                  <c:v>8.8053656625980553E-2</c:v>
                </c:pt>
                <c:pt idx="13">
                  <c:v>8.6518995293973847E-2</c:v>
                </c:pt>
                <c:pt idx="14">
                  <c:v>8.5332774296314917E-2</c:v>
                </c:pt>
                <c:pt idx="15">
                  <c:v>8.4437635189100732E-2</c:v>
                </c:pt>
                <c:pt idx="16">
                  <c:v>8.3772894493369068E-2</c:v>
                </c:pt>
                <c:pt idx="17">
                  <c:v>8.328296558993431E-2</c:v>
                </c:pt>
                <c:pt idx="18">
                  <c:v>8.2921315827557046E-2</c:v>
                </c:pt>
                <c:pt idx="19">
                  <c:v>8.2651399497073813E-2</c:v>
                </c:pt>
                <c:pt idx="20">
                  <c:v>8.2445824671406237E-2</c:v>
                </c:pt>
                <c:pt idx="21">
                  <c:v>8.2284746927365468E-2</c:v>
                </c:pt>
                <c:pt idx="22">
                  <c:v>8.2154135298475484E-2</c:v>
                </c:pt>
                <c:pt idx="23">
                  <c:v>8.2044237499551198E-2</c:v>
                </c:pt>
                <c:pt idx="24">
                  <c:v>8.1948355103850817E-2</c:v>
                </c:pt>
                <c:pt idx="25">
                  <c:v>8.1861924556407784E-2</c:v>
                </c:pt>
                <c:pt idx="26">
                  <c:v>8.178185396039625E-2</c:v>
                </c:pt>
                <c:pt idx="27">
                  <c:v>8.1706056355476092E-2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0.14374402520069046</c:v>
                </c:pt>
                <c:pt idx="1">
                  <c:v>0.14293278514148172</c:v>
                </c:pt>
                <c:pt idx="2">
                  <c:v>0.1418197433001</c:v>
                </c:pt>
                <c:pt idx="3">
                  <c:v>0.14032215554524718</c:v>
                </c:pt>
                <c:pt idx="4">
                  <c:v>0.13836095082081545</c:v>
                </c:pt>
                <c:pt idx="5">
                  <c:v>0.13588425382802455</c:v>
                </c:pt>
                <c:pt idx="6">
                  <c:v>0.13289962854215276</c:v>
                </c:pt>
                <c:pt idx="7">
                  <c:v>0.12950287232849789</c:v>
                </c:pt>
                <c:pt idx="8">
                  <c:v>0.12607111434229687</c:v>
                </c:pt>
                <c:pt idx="9">
                  <c:v>0.12264934272813477</c:v>
                </c:pt>
                <c:pt idx="10">
                  <c:v>0.11947506831713878</c:v>
                </c:pt>
                <c:pt idx="11">
                  <c:v>0.11671934623015348</c:v>
                </c:pt>
                <c:pt idx="12">
                  <c:v>0.11446259047840403</c:v>
                </c:pt>
                <c:pt idx="13">
                  <c:v>0.11246847696296426</c:v>
                </c:pt>
                <c:pt idx="14">
                  <c:v>0.11093201555037781</c:v>
                </c:pt>
                <c:pt idx="15">
                  <c:v>0.10977780105575398</c:v>
                </c:pt>
                <c:pt idx="16">
                  <c:v>0.10892608887826881</c:v>
                </c:pt>
                <c:pt idx="17">
                  <c:v>0.1083038648990845</c:v>
                </c:pt>
                <c:pt idx="18">
                  <c:v>0.10785003024698461</c:v>
                </c:pt>
                <c:pt idx="19">
                  <c:v>0.10751661135990129</c:v>
                </c:pt>
                <c:pt idx="20">
                  <c:v>0.10726765578850755</c:v>
                </c:pt>
                <c:pt idx="21">
                  <c:v>0.10707711843821856</c:v>
                </c:pt>
                <c:pt idx="22">
                  <c:v>0.10692658362819311</c:v>
                </c:pt>
                <c:pt idx="23">
                  <c:v>0.10680325041967223</c:v>
                </c:pt>
                <c:pt idx="24">
                  <c:v>0.10669832536269983</c:v>
                </c:pt>
                <c:pt idx="25">
                  <c:v>0.10660581673343607</c:v>
                </c:pt>
                <c:pt idx="26">
                  <c:v>0.10652166437285177</c:v>
                </c:pt>
                <c:pt idx="27">
                  <c:v>0.10644312729411544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0.12125411664778149</c:v>
                </c:pt>
                <c:pt idx="1">
                  <c:v>0.12057128525663678</c:v>
                </c:pt>
                <c:pt idx="2">
                  <c:v>0.11963439170755907</c:v>
                </c:pt>
                <c:pt idx="3">
                  <c:v>0.11837374480475477</c:v>
                </c:pt>
                <c:pt idx="4">
                  <c:v>0.11672270195781366</c:v>
                </c:pt>
                <c:pt idx="5">
                  <c:v>0.11463744083587485</c:v>
                </c:pt>
                <c:pt idx="6">
                  <c:v>0.11212407018601052</c:v>
                </c:pt>
                <c:pt idx="7">
                  <c:v>0.10926285651152459</c:v>
                </c:pt>
                <c:pt idx="8">
                  <c:v>0.10639328518073612</c:v>
                </c:pt>
                <c:pt idx="9">
                  <c:v>0.10352903423320736</c:v>
                </c:pt>
                <c:pt idx="10">
                  <c:v>0.10087000268518001</c:v>
                </c:pt>
                <c:pt idx="11">
                  <c:v>9.8560662971452551E-2</c:v>
                </c:pt>
                <c:pt idx="12">
                  <c:v>9.66696450850133E-2</c:v>
                </c:pt>
                <c:pt idx="13">
                  <c:v>9.4971025121883962E-2</c:v>
                </c:pt>
                <c:pt idx="14">
                  <c:v>9.3658983297276219E-2</c:v>
                </c:pt>
                <c:pt idx="15">
                  <c:v>9.2670491298526655E-2</c:v>
                </c:pt>
                <c:pt idx="16">
                  <c:v>9.1938536507846336E-2</c:v>
                </c:pt>
                <c:pt idx="17">
                  <c:v>9.1401508364704342E-2</c:v>
                </c:pt>
                <c:pt idx="18">
                  <c:v>9.1007685344526745E-2</c:v>
                </c:pt>
                <c:pt idx="19">
                  <c:v>9.0716360368445464E-2</c:v>
                </c:pt>
                <c:pt idx="20">
                  <c:v>9.0496975221689827E-2</c:v>
                </c:pt>
                <c:pt idx="21">
                  <c:v>9.0327366939370449E-2</c:v>
                </c:pt>
                <c:pt idx="22">
                  <c:v>9.0191852673849882E-2</c:v>
                </c:pt>
                <c:pt idx="23">
                  <c:v>9.0079525659977067E-2</c:v>
                </c:pt>
                <c:pt idx="24">
                  <c:v>8.9982891297985312E-2</c:v>
                </c:pt>
                <c:pt idx="25">
                  <c:v>8.9896841954005713E-2</c:v>
                </c:pt>
                <c:pt idx="26">
                  <c:v>8.9817916229401759E-2</c:v>
                </c:pt>
                <c:pt idx="27">
                  <c:v>8.9743777277312642E-2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0.24514866003769331</c:v>
                </c:pt>
                <c:pt idx="1">
                  <c:v>0.24312969570001247</c:v>
                </c:pt>
                <c:pt idx="2">
                  <c:v>0.2406988562394356</c:v>
                </c:pt>
                <c:pt idx="3">
                  <c:v>0.23801334531324786</c:v>
                </c:pt>
                <c:pt idx="4">
                  <c:v>0.23463554951929083</c:v>
                </c:pt>
                <c:pt idx="5">
                  <c:v>0.23042909770380854</c:v>
                </c:pt>
                <c:pt idx="6">
                  <c:v>0.2253108172137214</c:v>
                </c:pt>
                <c:pt idx="7">
                  <c:v>0.21930957626194192</c:v>
                </c:pt>
                <c:pt idx="8">
                  <c:v>0.21323042659826247</c:v>
                </c:pt>
                <c:pt idx="9">
                  <c:v>0.20677941795753038</c:v>
                </c:pt>
                <c:pt idx="10">
                  <c:v>0.20041554165439895</c:v>
                </c:pt>
                <c:pt idx="11">
                  <c:v>0.19457806694570512</c:v>
                </c:pt>
                <c:pt idx="12">
                  <c:v>0.18957308964759673</c:v>
                </c:pt>
                <c:pt idx="13">
                  <c:v>0.18501417359040145</c:v>
                </c:pt>
                <c:pt idx="14">
                  <c:v>0.18140608128069852</c:v>
                </c:pt>
                <c:pt idx="15">
                  <c:v>0.17861937116101786</c:v>
                </c:pt>
                <c:pt idx="16">
                  <c:v>0.1764904683496108</c:v>
                </c:pt>
                <c:pt idx="17">
                  <c:v>0.174860765210227</c:v>
                </c:pt>
                <c:pt idx="18">
                  <c:v>0.17362974081525318</c:v>
                </c:pt>
                <c:pt idx="19">
                  <c:v>0.17265753535961986</c:v>
                </c:pt>
                <c:pt idx="20">
                  <c:v>0.17186579935397661</c:v>
                </c:pt>
                <c:pt idx="21">
                  <c:v>0.17119822990705469</c:v>
                </c:pt>
                <c:pt idx="22">
                  <c:v>0.17061530552397328</c:v>
                </c:pt>
                <c:pt idx="23">
                  <c:v>0.17016477256929174</c:v>
                </c:pt>
                <c:pt idx="24">
                  <c:v>0.16975283972934863</c:v>
                </c:pt>
                <c:pt idx="25">
                  <c:v>0.16936688043952158</c:v>
                </c:pt>
                <c:pt idx="26">
                  <c:v>0.16899836413609329</c:v>
                </c:pt>
                <c:pt idx="27">
                  <c:v>0.16864154646639173</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0.12688035079230253</c:v>
                </c:pt>
                <c:pt idx="1">
                  <c:v>0.12551279180284636</c:v>
                </c:pt>
                <c:pt idx="2">
                  <c:v>0.12394207082206425</c:v>
                </c:pt>
                <c:pt idx="3">
                  <c:v>0.12235738809774128</c:v>
                </c:pt>
                <c:pt idx="4">
                  <c:v>0.1204313642781509</c:v>
                </c:pt>
                <c:pt idx="5">
                  <c:v>0.11809818497816084</c:v>
                </c:pt>
                <c:pt idx="6">
                  <c:v>0.11531895037969327</c:v>
                </c:pt>
                <c:pt idx="7">
                  <c:v>0.11211051809046838</c:v>
                </c:pt>
                <c:pt idx="8">
                  <c:v>0.10910846557129408</c:v>
                </c:pt>
                <c:pt idx="9">
                  <c:v>0.10591772293984041</c:v>
                </c:pt>
                <c:pt idx="10">
                  <c:v>0.10276540012004025</c:v>
                </c:pt>
                <c:pt idx="11">
                  <c:v>9.9869671953068617E-2</c:v>
                </c:pt>
                <c:pt idx="12">
                  <c:v>9.7383633638209927E-2</c:v>
                </c:pt>
                <c:pt idx="13">
                  <c:v>9.4921946565199283E-2</c:v>
                </c:pt>
                <c:pt idx="14">
                  <c:v>9.2940120750935926E-2</c:v>
                </c:pt>
                <c:pt idx="15">
                  <c:v>9.1372537094715198E-2</c:v>
                </c:pt>
                <c:pt idx="16">
                  <c:v>9.0136644193916177E-2</c:v>
                </c:pt>
                <c:pt idx="17">
                  <c:v>8.9152429077777734E-2</c:v>
                </c:pt>
                <c:pt idx="18">
                  <c:v>8.8381847376479139E-2</c:v>
                </c:pt>
                <c:pt idx="19">
                  <c:v>8.7741508512320765E-2</c:v>
                </c:pt>
                <c:pt idx="20">
                  <c:v>8.7191902053533055E-2</c:v>
                </c:pt>
                <c:pt idx="21">
                  <c:v>8.6704644880250967E-2</c:v>
                </c:pt>
                <c:pt idx="22">
                  <c:v>8.6259829281058159E-2</c:v>
                </c:pt>
                <c:pt idx="23">
                  <c:v>8.5909494616253676E-2</c:v>
                </c:pt>
                <c:pt idx="24">
                  <c:v>8.5578417805079271E-2</c:v>
                </c:pt>
                <c:pt idx="25">
                  <c:v>8.526027984895368E-2</c:v>
                </c:pt>
                <c:pt idx="26">
                  <c:v>8.495081749839041E-2</c:v>
                </c:pt>
                <c:pt idx="27">
                  <c:v>8.4647164209378539E-2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0.13432269291236781</c:v>
                </c:pt>
                <c:pt idx="1">
                  <c:v>0.13287827320462758</c:v>
                </c:pt>
                <c:pt idx="2">
                  <c:v>0.1312146034742801</c:v>
                </c:pt>
                <c:pt idx="3">
                  <c:v>0.12952643791591234</c:v>
                </c:pt>
                <c:pt idx="4">
                  <c:v>0.12746995140892864</c:v>
                </c:pt>
                <c:pt idx="5">
                  <c:v>0.12497407973775722</c:v>
                </c:pt>
                <c:pt idx="6">
                  <c:v>0.12199681700573693</c:v>
                </c:pt>
                <c:pt idx="7">
                  <c:v>0.11855638079584754</c:v>
                </c:pt>
                <c:pt idx="8">
                  <c:v>0.11531890492433679</c:v>
                </c:pt>
                <c:pt idx="9">
                  <c:v>0.11187952376092304</c:v>
                </c:pt>
                <c:pt idx="10">
                  <c:v>0.10848351319531571</c:v>
                </c:pt>
                <c:pt idx="11">
                  <c:v>0.10536615030719333</c:v>
                </c:pt>
                <c:pt idx="12">
                  <c:v>0.10269206022313754</c:v>
                </c:pt>
                <c:pt idx="13">
                  <c:v>0.10006097566846892</c:v>
                </c:pt>
                <c:pt idx="14">
                  <c:v>9.7946424194645609E-2</c:v>
                </c:pt>
                <c:pt idx="15">
                  <c:v>9.6277201037087423E-2</c:v>
                </c:pt>
                <c:pt idx="16">
                  <c:v>9.4964121434025578E-2</c:v>
                </c:pt>
                <c:pt idx="17">
                  <c:v>9.392098415273295E-2</c:v>
                </c:pt>
                <c:pt idx="18">
                  <c:v>9.3105926578383152E-2</c:v>
                </c:pt>
                <c:pt idx="19">
                  <c:v>9.2430363673895982E-2</c:v>
                </c:pt>
                <c:pt idx="20">
                  <c:v>9.1851935369655219E-2</c:v>
                </c:pt>
                <c:pt idx="21">
                  <c:v>9.1340237168673802E-2</c:v>
                </c:pt>
                <c:pt idx="22">
                  <c:v>9.0873955579110793E-2</c:v>
                </c:pt>
                <c:pt idx="23">
                  <c:v>9.0506987426516194E-2</c:v>
                </c:pt>
                <c:pt idx="24">
                  <c:v>9.0160628053264136E-2</c:v>
                </c:pt>
                <c:pt idx="25">
                  <c:v>8.9828115487751825E-2</c:v>
                </c:pt>
                <c:pt idx="26">
                  <c:v>8.9504887815497342E-2</c:v>
                </c:pt>
                <c:pt idx="27">
                  <c:v>8.9187877646247971E-2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0.16908564510755242</c:v>
                </c:pt>
                <c:pt idx="1">
                  <c:v>0.1674865261414131</c:v>
                </c:pt>
                <c:pt idx="2">
                  <c:v>0.16560771135309116</c:v>
                </c:pt>
                <c:pt idx="3">
                  <c:v>0.16362446920862295</c:v>
                </c:pt>
                <c:pt idx="4">
                  <c:v>0.1611711815475082</c:v>
                </c:pt>
                <c:pt idx="5">
                  <c:v>0.158156114239797</c:v>
                </c:pt>
                <c:pt idx="6">
                  <c:v>0.15452405601265407</c:v>
                </c:pt>
                <c:pt idx="7">
                  <c:v>0.15029615874930113</c:v>
                </c:pt>
                <c:pt idx="8">
                  <c:v>0.14616535527313701</c:v>
                </c:pt>
                <c:pt idx="9">
                  <c:v>0.14177848643625052</c:v>
                </c:pt>
                <c:pt idx="10">
                  <c:v>0.13744760925819974</c:v>
                </c:pt>
                <c:pt idx="11">
                  <c:v>0.13347194513070246</c:v>
                </c:pt>
                <c:pt idx="12">
                  <c:v>0.13006074888350319</c:v>
                </c:pt>
                <c:pt idx="13">
                  <c:v>0.12683233373777733</c:v>
                </c:pt>
                <c:pt idx="14">
                  <c:v>0.12425635532991935</c:v>
                </c:pt>
                <c:pt idx="15">
                  <c:v>0.12224396689818268</c:v>
                </c:pt>
                <c:pt idx="16">
                  <c:v>0.12068301170330653</c:v>
                </c:pt>
                <c:pt idx="17">
                  <c:v>0.11946469540016971</c:v>
                </c:pt>
                <c:pt idx="18">
                  <c:v>0.11852779514257482</c:v>
                </c:pt>
                <c:pt idx="19">
                  <c:v>0.11776844950186016</c:v>
                </c:pt>
                <c:pt idx="20">
                  <c:v>0.11713287097832012</c:v>
                </c:pt>
                <c:pt idx="21">
                  <c:v>0.11658240617536725</c:v>
                </c:pt>
                <c:pt idx="22">
                  <c:v>0.11608992872052032</c:v>
                </c:pt>
                <c:pt idx="23">
                  <c:v>0.11570530536569712</c:v>
                </c:pt>
                <c:pt idx="24">
                  <c:v>0.11534706800447457</c:v>
                </c:pt>
                <c:pt idx="25">
                  <c:v>0.11500657378356287</c:v>
                </c:pt>
                <c:pt idx="26">
                  <c:v>0.11467798700265858</c:v>
                </c:pt>
                <c:pt idx="27">
                  <c:v>0.11435738052980955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0.14486718387877273</c:v>
                </c:pt>
                <c:pt idx="1">
                  <c:v>0.14340893333601881</c:v>
                </c:pt>
                <c:pt idx="2">
                  <c:v>0.14171209417863131</c:v>
                </c:pt>
                <c:pt idx="3">
                  <c:v>0.13995445640484463</c:v>
                </c:pt>
                <c:pt idx="4">
                  <c:v>0.13779589094738623</c:v>
                </c:pt>
                <c:pt idx="5">
                  <c:v>0.13515851492150532</c:v>
                </c:pt>
                <c:pt idx="6">
                  <c:v>0.13199577099127321</c:v>
                </c:pt>
                <c:pt idx="7">
                  <c:v>0.12832636534209338</c:v>
                </c:pt>
                <c:pt idx="8">
                  <c:v>0.12480175333026765</c:v>
                </c:pt>
                <c:pt idx="9">
                  <c:v>0.12105734782347045</c:v>
                </c:pt>
                <c:pt idx="10">
                  <c:v>0.11735951217602993</c:v>
                </c:pt>
                <c:pt idx="11">
                  <c:v>0.11396386749411043</c:v>
                </c:pt>
                <c:pt idx="12">
                  <c:v>0.11104945545307421</c:v>
                </c:pt>
                <c:pt idx="13">
                  <c:v>0.1082414858756975</c:v>
                </c:pt>
                <c:pt idx="14">
                  <c:v>0.10599284035613521</c:v>
                </c:pt>
                <c:pt idx="15">
                  <c:v>0.10422729235758313</c:v>
                </c:pt>
                <c:pt idx="16">
                  <c:v>0.10284869920567637</c:v>
                </c:pt>
                <c:pt idx="17">
                  <c:v>0.10176380243997346</c:v>
                </c:pt>
                <c:pt idx="18">
                  <c:v>0.10092328281986328</c:v>
                </c:pt>
                <c:pt idx="19">
                  <c:v>0.10023489782800679</c:v>
                </c:pt>
                <c:pt idx="20">
                  <c:v>9.9652540075611265E-2</c:v>
                </c:pt>
                <c:pt idx="21">
                  <c:v>9.9143077302648902E-2</c:v>
                </c:pt>
                <c:pt idx="22">
                  <c:v>9.8683261566772928E-2</c:v>
                </c:pt>
                <c:pt idx="23">
                  <c:v>9.8322819541784096E-2</c:v>
                </c:pt>
                <c:pt idx="24">
                  <c:v>9.7984943783138212E-2</c:v>
                </c:pt>
                <c:pt idx="25">
                  <c:v>9.7662237607682612E-2</c:v>
                </c:pt>
                <c:pt idx="26">
                  <c:v>9.7349708239368074E-2</c:v>
                </c:pt>
                <c:pt idx="27">
                  <c:v>9.7043996882390932E-2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1.504014858290743E-2</c:v>
                </c:pt>
                <c:pt idx="1">
                  <c:v>1.4949089850873799E-2</c:v>
                </c:pt>
                <c:pt idx="2">
                  <c:v>1.485831412981754E-2</c:v>
                </c:pt>
                <c:pt idx="3">
                  <c:v>1.4767934068009888E-2</c:v>
                </c:pt>
                <c:pt idx="4">
                  <c:v>1.4678100487122399E-2</c:v>
                </c:pt>
                <c:pt idx="5">
                  <c:v>1.4589008290253032E-2</c:v>
                </c:pt>
                <c:pt idx="6">
                  <c:v>1.4500895657529742E-2</c:v>
                </c:pt>
                <c:pt idx="7">
                  <c:v>1.4414027973658551E-2</c:v>
                </c:pt>
                <c:pt idx="8">
                  <c:v>1.4393632218037432E-2</c:v>
                </c:pt>
                <c:pt idx="9">
                  <c:v>1.4374885715043932E-2</c:v>
                </c:pt>
                <c:pt idx="10">
                  <c:v>1.4357740761425777E-2</c:v>
                </c:pt>
                <c:pt idx="11">
                  <c:v>1.4341852600912312E-2</c:v>
                </c:pt>
                <c:pt idx="12">
                  <c:v>1.4326569701014731E-2</c:v>
                </c:pt>
                <c:pt idx="13">
                  <c:v>1.4311061043786688E-2</c:v>
                </c:pt>
                <c:pt idx="14">
                  <c:v>1.4294543785288482E-2</c:v>
                </c:pt>
                <c:pt idx="15">
                  <c:v>1.4276489347723629E-2</c:v>
                </c:pt>
                <c:pt idx="16">
                  <c:v>1.4256701860510111E-2</c:v>
                </c:pt>
                <c:pt idx="17">
                  <c:v>1.4235263287378914E-2</c:v>
                </c:pt>
                <c:pt idx="18">
                  <c:v>1.4212416181710541E-2</c:v>
                </c:pt>
                <c:pt idx="19">
                  <c:v>1.4188455155803721E-2</c:v>
                </c:pt>
                <c:pt idx="20">
                  <c:v>1.4163658199566121E-2</c:v>
                </c:pt>
                <c:pt idx="21">
                  <c:v>1.4138256204782967E-2</c:v>
                </c:pt>
                <c:pt idx="22">
                  <c:v>1.4112427007621666E-2</c:v>
                </c:pt>
                <c:pt idx="23">
                  <c:v>1.4086301223998303E-2</c:v>
                </c:pt>
                <c:pt idx="24">
                  <c:v>1.4059971878605422E-2</c:v>
                </c:pt>
                <c:pt idx="25">
                  <c:v>1.4033503895700603E-2</c:v>
                </c:pt>
                <c:pt idx="26">
                  <c:v>1.4006941983674637E-2</c:v>
                </c:pt>
                <c:pt idx="27">
                  <c:v>1.3980316656105102E-2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2.2729999851833028E-2</c:v>
                </c:pt>
                <c:pt idx="1">
                  <c:v>2.2593411753782579E-2</c:v>
                </c:pt>
                <c:pt idx="2">
                  <c:v>2.2457248172198192E-2</c:v>
                </c:pt>
                <c:pt idx="3">
                  <c:v>2.2321678079486713E-2</c:v>
                </c:pt>
                <c:pt idx="4">
                  <c:v>2.2186927708155488E-2</c:v>
                </c:pt>
                <c:pt idx="5">
                  <c:v>2.2053289412851437E-2</c:v>
                </c:pt>
                <c:pt idx="6">
                  <c:v>2.1921120463766496E-2</c:v>
                </c:pt>
                <c:pt idx="7">
                  <c:v>2.1790818937959706E-2</c:v>
                </c:pt>
                <c:pt idx="8">
                  <c:v>2.1760225304528029E-2</c:v>
                </c:pt>
                <c:pt idx="9">
                  <c:v>2.1732105550037781E-2</c:v>
                </c:pt>
                <c:pt idx="10">
                  <c:v>2.1706388119610544E-2</c:v>
                </c:pt>
                <c:pt idx="11">
                  <c:v>2.168255587884035E-2</c:v>
                </c:pt>
                <c:pt idx="12">
                  <c:v>2.1659631528993979E-2</c:v>
                </c:pt>
                <c:pt idx="13">
                  <c:v>2.1636368543151915E-2</c:v>
                </c:pt>
                <c:pt idx="14">
                  <c:v>2.1611592655404608E-2</c:v>
                </c:pt>
                <c:pt idx="15">
                  <c:v>2.1584510999057328E-2</c:v>
                </c:pt>
                <c:pt idx="16">
                  <c:v>2.1554829768237051E-2</c:v>
                </c:pt>
                <c:pt idx="17">
                  <c:v>2.1522671908540254E-2</c:v>
                </c:pt>
                <c:pt idx="18">
                  <c:v>2.1488401250037696E-2</c:v>
                </c:pt>
                <c:pt idx="19">
                  <c:v>2.1452459711177464E-2</c:v>
                </c:pt>
                <c:pt idx="20">
                  <c:v>2.1415264276821062E-2</c:v>
                </c:pt>
                <c:pt idx="21">
                  <c:v>2.1377161284646333E-2</c:v>
                </c:pt>
                <c:pt idx="22">
                  <c:v>2.1338417488904381E-2</c:v>
                </c:pt>
                <c:pt idx="23">
                  <c:v>2.1299228813469337E-2</c:v>
                </c:pt>
                <c:pt idx="24">
                  <c:v>2.1259734795380014E-2</c:v>
                </c:pt>
                <c:pt idx="25">
                  <c:v>2.1220032821022788E-2</c:v>
                </c:pt>
                <c:pt idx="26">
                  <c:v>2.118018995298384E-2</c:v>
                </c:pt>
                <c:pt idx="27">
                  <c:v>2.1140251961629539E-2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2.1470265431767766E-2</c:v>
                </c:pt>
                <c:pt idx="1">
                  <c:v>2.133367733371732E-2</c:v>
                </c:pt>
                <c:pt idx="2">
                  <c:v>2.1197513752132933E-2</c:v>
                </c:pt>
                <c:pt idx="3">
                  <c:v>2.1061943659421455E-2</c:v>
                </c:pt>
                <c:pt idx="4">
                  <c:v>2.0927193288090222E-2</c:v>
                </c:pt>
                <c:pt idx="5">
                  <c:v>2.0793554992786172E-2</c:v>
                </c:pt>
                <c:pt idx="6">
                  <c:v>2.0661386043701234E-2</c:v>
                </c:pt>
                <c:pt idx="7">
                  <c:v>2.0531084517894451E-2</c:v>
                </c:pt>
                <c:pt idx="8">
                  <c:v>2.0500490884462767E-2</c:v>
                </c:pt>
                <c:pt idx="9">
                  <c:v>2.0472371129972522E-2</c:v>
                </c:pt>
                <c:pt idx="10">
                  <c:v>2.0446653699545285E-2</c:v>
                </c:pt>
                <c:pt idx="11">
                  <c:v>2.0422821458775088E-2</c:v>
                </c:pt>
                <c:pt idx="12">
                  <c:v>2.039989710892872E-2</c:v>
                </c:pt>
                <c:pt idx="13">
                  <c:v>2.0376634123086653E-2</c:v>
                </c:pt>
                <c:pt idx="14">
                  <c:v>2.0351858235339346E-2</c:v>
                </c:pt>
                <c:pt idx="15">
                  <c:v>2.0324776578992065E-2</c:v>
                </c:pt>
                <c:pt idx="16">
                  <c:v>2.0295095348171793E-2</c:v>
                </c:pt>
                <c:pt idx="17">
                  <c:v>2.0262937488474995E-2</c:v>
                </c:pt>
                <c:pt idx="18">
                  <c:v>2.0228666829972437E-2</c:v>
                </c:pt>
                <c:pt idx="19">
                  <c:v>2.0192725291112205E-2</c:v>
                </c:pt>
                <c:pt idx="20">
                  <c:v>2.0155529856755807E-2</c:v>
                </c:pt>
                <c:pt idx="21">
                  <c:v>2.0117426864581074E-2</c:v>
                </c:pt>
                <c:pt idx="22">
                  <c:v>2.0078683068839122E-2</c:v>
                </c:pt>
                <c:pt idx="23">
                  <c:v>2.0039494393404078E-2</c:v>
                </c:pt>
                <c:pt idx="24">
                  <c:v>2.0000000375314755E-2</c:v>
                </c:pt>
                <c:pt idx="25">
                  <c:v>1.9960298400957529E-2</c:v>
                </c:pt>
                <c:pt idx="26">
                  <c:v>1.9920455532918577E-2</c:v>
                </c:pt>
                <c:pt idx="27">
                  <c:v>1.9880517541564273E-2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1.9265681698315947E-2</c:v>
                </c:pt>
                <c:pt idx="1">
                  <c:v>1.9184740603174939E-2</c:v>
                </c:pt>
                <c:pt idx="2">
                  <c:v>1.9104051073347152E-2</c:v>
                </c:pt>
                <c:pt idx="3">
                  <c:v>1.9023713240629243E-2</c:v>
                </c:pt>
                <c:pt idx="4">
                  <c:v>1.8943861168729252E-2</c:v>
                </c:pt>
                <c:pt idx="5">
                  <c:v>1.8864668104845373E-2</c:v>
                </c:pt>
                <c:pt idx="6">
                  <c:v>1.878634576464689E-2</c:v>
                </c:pt>
                <c:pt idx="7">
                  <c:v>1.8709130045650273E-2</c:v>
                </c:pt>
                <c:pt idx="8">
                  <c:v>1.8691000485098169E-2</c:v>
                </c:pt>
                <c:pt idx="9">
                  <c:v>1.8674336926881724E-2</c:v>
                </c:pt>
                <c:pt idx="10">
                  <c:v>1.865909696811003E-2</c:v>
                </c:pt>
                <c:pt idx="11">
                  <c:v>1.8644974158764732E-2</c:v>
                </c:pt>
                <c:pt idx="12">
                  <c:v>1.863138935885577E-2</c:v>
                </c:pt>
                <c:pt idx="13">
                  <c:v>1.8617603885764174E-2</c:v>
                </c:pt>
                <c:pt idx="14">
                  <c:v>1.8602921878210214E-2</c:v>
                </c:pt>
                <c:pt idx="15">
                  <c:v>1.8586873489263682E-2</c:v>
                </c:pt>
                <c:pt idx="16">
                  <c:v>1.8569284611740552E-2</c:v>
                </c:pt>
                <c:pt idx="17">
                  <c:v>1.8550228102290598E-2</c:v>
                </c:pt>
                <c:pt idx="18">
                  <c:v>1.8529919563918709E-2</c:v>
                </c:pt>
                <c:pt idx="19">
                  <c:v>1.8508620874223759E-2</c:v>
                </c:pt>
                <c:pt idx="20">
                  <c:v>1.8486579135345894E-2</c:v>
                </c:pt>
                <c:pt idx="21">
                  <c:v>1.8463999584427532E-2</c:v>
                </c:pt>
                <c:pt idx="22">
                  <c:v>1.8441040298061935E-2</c:v>
                </c:pt>
                <c:pt idx="23">
                  <c:v>1.8417817379285613E-2</c:v>
                </c:pt>
                <c:pt idx="24">
                  <c:v>1.8394413516714163E-2</c:v>
                </c:pt>
                <c:pt idx="25">
                  <c:v>1.837088642079877E-2</c:v>
                </c:pt>
                <c:pt idx="26">
                  <c:v>1.8347275832331242E-2</c:v>
                </c:pt>
                <c:pt idx="27">
                  <c:v>1.8323608874491658E-2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2.2310818156442702E-2</c:v>
                </c:pt>
                <c:pt idx="1">
                  <c:v>2.2174230058392256E-2</c:v>
                </c:pt>
                <c:pt idx="2">
                  <c:v>2.2038066476807866E-2</c:v>
                </c:pt>
                <c:pt idx="3">
                  <c:v>2.1902496384096394E-2</c:v>
                </c:pt>
                <c:pt idx="4">
                  <c:v>2.1767746012765161E-2</c:v>
                </c:pt>
                <c:pt idx="5">
                  <c:v>2.1634107717461108E-2</c:v>
                </c:pt>
                <c:pt idx="6">
                  <c:v>2.1501938768376173E-2</c:v>
                </c:pt>
                <c:pt idx="7">
                  <c:v>2.1371637242569387E-2</c:v>
                </c:pt>
                <c:pt idx="8">
                  <c:v>2.1341043609137703E-2</c:v>
                </c:pt>
                <c:pt idx="9">
                  <c:v>2.1312923854647458E-2</c:v>
                </c:pt>
                <c:pt idx="10">
                  <c:v>2.1287206424220221E-2</c:v>
                </c:pt>
                <c:pt idx="11">
                  <c:v>2.1263374183450028E-2</c:v>
                </c:pt>
                <c:pt idx="12">
                  <c:v>2.1240449833603653E-2</c:v>
                </c:pt>
                <c:pt idx="13">
                  <c:v>2.1217186847761589E-2</c:v>
                </c:pt>
                <c:pt idx="14">
                  <c:v>2.1192410960014285E-2</c:v>
                </c:pt>
                <c:pt idx="15">
                  <c:v>2.1165329303667005E-2</c:v>
                </c:pt>
                <c:pt idx="16">
                  <c:v>2.1135648072846729E-2</c:v>
                </c:pt>
                <c:pt idx="17">
                  <c:v>2.1103490213149931E-2</c:v>
                </c:pt>
                <c:pt idx="18">
                  <c:v>2.1069219554647373E-2</c:v>
                </c:pt>
                <c:pt idx="19">
                  <c:v>2.1033278015787145E-2</c:v>
                </c:pt>
                <c:pt idx="20">
                  <c:v>2.0996082581430743E-2</c:v>
                </c:pt>
                <c:pt idx="21">
                  <c:v>2.0957979589256007E-2</c:v>
                </c:pt>
                <c:pt idx="22">
                  <c:v>2.0919235793514054E-2</c:v>
                </c:pt>
                <c:pt idx="23">
                  <c:v>2.0880047118079018E-2</c:v>
                </c:pt>
                <c:pt idx="24">
                  <c:v>2.0840553099989695E-2</c:v>
                </c:pt>
                <c:pt idx="25">
                  <c:v>2.0800851125632468E-2</c:v>
                </c:pt>
                <c:pt idx="26">
                  <c:v>2.0761008257593517E-2</c:v>
                </c:pt>
                <c:pt idx="27">
                  <c:v>2.0721070266239212E-2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1.222552871882062E-2</c:v>
                </c:pt>
                <c:pt idx="1">
                  <c:v>1.222552871882062E-2</c:v>
                </c:pt>
                <c:pt idx="2">
                  <c:v>1.222552871882062E-2</c:v>
                </c:pt>
                <c:pt idx="3">
                  <c:v>1.222552871882062E-2</c:v>
                </c:pt>
                <c:pt idx="4">
                  <c:v>1.222552871882062E-2</c:v>
                </c:pt>
                <c:pt idx="5">
                  <c:v>1.222552871882062E-2</c:v>
                </c:pt>
                <c:pt idx="6">
                  <c:v>1.222552871882062E-2</c:v>
                </c:pt>
                <c:pt idx="7">
                  <c:v>1.222552871882062E-2</c:v>
                </c:pt>
                <c:pt idx="8">
                  <c:v>1.2271103652988618E-2</c:v>
                </c:pt>
                <c:pt idx="9">
                  <c:v>1.2316678587156614E-2</c:v>
                </c:pt>
                <c:pt idx="10">
                  <c:v>1.2362253521324612E-2</c:v>
                </c:pt>
                <c:pt idx="11">
                  <c:v>1.2407828455492606E-2</c:v>
                </c:pt>
                <c:pt idx="12">
                  <c:v>1.2453403389660602E-2</c:v>
                </c:pt>
                <c:pt idx="13">
                  <c:v>1.2434291320493378E-2</c:v>
                </c:pt>
                <c:pt idx="14">
                  <c:v>1.2415179251326153E-2</c:v>
                </c:pt>
                <c:pt idx="15">
                  <c:v>1.239606718215893E-2</c:v>
                </c:pt>
                <c:pt idx="16">
                  <c:v>1.2376955112991705E-2</c:v>
                </c:pt>
                <c:pt idx="17">
                  <c:v>1.2357843043824481E-2</c:v>
                </c:pt>
                <c:pt idx="18">
                  <c:v>1.2338730974657257E-2</c:v>
                </c:pt>
                <c:pt idx="19">
                  <c:v>1.2319618905490031E-2</c:v>
                </c:pt>
                <c:pt idx="20">
                  <c:v>1.2300506836322809E-2</c:v>
                </c:pt>
                <c:pt idx="21">
                  <c:v>1.2281394767155585E-2</c:v>
                </c:pt>
                <c:pt idx="22">
                  <c:v>1.2262282697988361E-2</c:v>
                </c:pt>
                <c:pt idx="23">
                  <c:v>1.2243170628821135E-2</c:v>
                </c:pt>
                <c:pt idx="24">
                  <c:v>1.2224058559653911E-2</c:v>
                </c:pt>
                <c:pt idx="25">
                  <c:v>1.2204946490486687E-2</c:v>
                </c:pt>
                <c:pt idx="26">
                  <c:v>1.2185834421319463E-2</c:v>
                </c:pt>
                <c:pt idx="27">
                  <c:v>1.2166722352152239E-2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1.8508070055702812E-2</c:v>
                </c:pt>
                <c:pt idx="1">
                  <c:v>1.8508070055702812E-2</c:v>
                </c:pt>
                <c:pt idx="2">
                  <c:v>1.8508070055702812E-2</c:v>
                </c:pt>
                <c:pt idx="3">
                  <c:v>1.8508070055702812E-2</c:v>
                </c:pt>
                <c:pt idx="4">
                  <c:v>1.8508070055702812E-2</c:v>
                </c:pt>
                <c:pt idx="5">
                  <c:v>1.8508070055702812E-2</c:v>
                </c:pt>
                <c:pt idx="6">
                  <c:v>1.8508070055702812E-2</c:v>
                </c:pt>
                <c:pt idx="7">
                  <c:v>1.8508070055702812E-2</c:v>
                </c:pt>
                <c:pt idx="8">
                  <c:v>1.8576432456954811E-2</c:v>
                </c:pt>
                <c:pt idx="9">
                  <c:v>1.8644794858206803E-2</c:v>
                </c:pt>
                <c:pt idx="10">
                  <c:v>1.8713157259458796E-2</c:v>
                </c:pt>
                <c:pt idx="11">
                  <c:v>1.8781519660710795E-2</c:v>
                </c:pt>
                <c:pt idx="12">
                  <c:v>1.8849882061962787E-2</c:v>
                </c:pt>
                <c:pt idx="13">
                  <c:v>1.8821213958211951E-2</c:v>
                </c:pt>
                <c:pt idx="14">
                  <c:v>1.8792545854461114E-2</c:v>
                </c:pt>
                <c:pt idx="15">
                  <c:v>1.8763877750710277E-2</c:v>
                </c:pt>
                <c:pt idx="16">
                  <c:v>1.873520964695944E-2</c:v>
                </c:pt>
                <c:pt idx="17">
                  <c:v>1.8706541543208603E-2</c:v>
                </c:pt>
                <c:pt idx="18">
                  <c:v>1.8677873439457766E-2</c:v>
                </c:pt>
                <c:pt idx="19">
                  <c:v>1.864920533570693E-2</c:v>
                </c:pt>
                <c:pt idx="20">
                  <c:v>1.8620537231956093E-2</c:v>
                </c:pt>
                <c:pt idx="21">
                  <c:v>1.8591869128205256E-2</c:v>
                </c:pt>
                <c:pt idx="22">
                  <c:v>1.8563201024454419E-2</c:v>
                </c:pt>
                <c:pt idx="23">
                  <c:v>1.8534532920703586E-2</c:v>
                </c:pt>
                <c:pt idx="24">
                  <c:v>1.8505864816952745E-2</c:v>
                </c:pt>
                <c:pt idx="25">
                  <c:v>1.8477196713201909E-2</c:v>
                </c:pt>
                <c:pt idx="26">
                  <c:v>1.8448528609451079E-2</c:v>
                </c:pt>
                <c:pt idx="27">
                  <c:v>1.8419860505700242E-2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1.7248335635637553E-2</c:v>
                </c:pt>
                <c:pt idx="1">
                  <c:v>1.7248335635637553E-2</c:v>
                </c:pt>
                <c:pt idx="2">
                  <c:v>1.7248335635637553E-2</c:v>
                </c:pt>
                <c:pt idx="3">
                  <c:v>1.7248335635637553E-2</c:v>
                </c:pt>
                <c:pt idx="4">
                  <c:v>1.7248335635637553E-2</c:v>
                </c:pt>
                <c:pt idx="5">
                  <c:v>1.7248335635637553E-2</c:v>
                </c:pt>
                <c:pt idx="6">
                  <c:v>1.7248335635637553E-2</c:v>
                </c:pt>
                <c:pt idx="7">
                  <c:v>1.7248335635637553E-2</c:v>
                </c:pt>
                <c:pt idx="8">
                  <c:v>1.7316698036889545E-2</c:v>
                </c:pt>
                <c:pt idx="9">
                  <c:v>1.7385060438141541E-2</c:v>
                </c:pt>
                <c:pt idx="10">
                  <c:v>1.7453422839393537E-2</c:v>
                </c:pt>
                <c:pt idx="11">
                  <c:v>1.7521785240645533E-2</c:v>
                </c:pt>
                <c:pt idx="12">
                  <c:v>1.7590147641897525E-2</c:v>
                </c:pt>
                <c:pt idx="13">
                  <c:v>1.7561479538146688E-2</c:v>
                </c:pt>
                <c:pt idx="14">
                  <c:v>1.7532811434395855E-2</c:v>
                </c:pt>
                <c:pt idx="15">
                  <c:v>1.7504143330645018E-2</c:v>
                </c:pt>
                <c:pt idx="16">
                  <c:v>1.7475475226894181E-2</c:v>
                </c:pt>
                <c:pt idx="17">
                  <c:v>1.7446807123143341E-2</c:v>
                </c:pt>
                <c:pt idx="18">
                  <c:v>1.7418139019392508E-2</c:v>
                </c:pt>
                <c:pt idx="19">
                  <c:v>1.7389470915641671E-2</c:v>
                </c:pt>
                <c:pt idx="20">
                  <c:v>1.7360802811890834E-2</c:v>
                </c:pt>
                <c:pt idx="21">
                  <c:v>1.7332134708139997E-2</c:v>
                </c:pt>
                <c:pt idx="22">
                  <c:v>1.730346660438916E-2</c:v>
                </c:pt>
                <c:pt idx="23">
                  <c:v>1.7274798500638323E-2</c:v>
                </c:pt>
                <c:pt idx="24">
                  <c:v>1.724613039688749E-2</c:v>
                </c:pt>
                <c:pt idx="25">
                  <c:v>1.7217462293136653E-2</c:v>
                </c:pt>
                <c:pt idx="26">
                  <c:v>1.7188794189385816E-2</c:v>
                </c:pt>
                <c:pt idx="27">
                  <c:v>1.716012608563498E-2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1.6763797374683229E-2</c:v>
                </c:pt>
                <c:pt idx="1">
                  <c:v>1.6763797374683229E-2</c:v>
                </c:pt>
                <c:pt idx="2">
                  <c:v>1.6763797374683229E-2</c:v>
                </c:pt>
                <c:pt idx="3">
                  <c:v>1.6763797374683229E-2</c:v>
                </c:pt>
                <c:pt idx="4">
                  <c:v>1.6763797374683229E-2</c:v>
                </c:pt>
                <c:pt idx="5">
                  <c:v>1.6763797374683229E-2</c:v>
                </c:pt>
                <c:pt idx="6">
                  <c:v>1.6763797374683229E-2</c:v>
                </c:pt>
                <c:pt idx="7">
                  <c:v>1.6763797374683229E-2</c:v>
                </c:pt>
                <c:pt idx="8">
                  <c:v>1.6804308427277002E-2</c:v>
                </c:pt>
                <c:pt idx="9">
                  <c:v>1.6844819479870779E-2</c:v>
                </c:pt>
                <c:pt idx="10">
                  <c:v>1.6885330532464549E-2</c:v>
                </c:pt>
                <c:pt idx="11">
                  <c:v>1.6925841585058325E-2</c:v>
                </c:pt>
                <c:pt idx="12">
                  <c:v>1.6966352637652102E-2</c:v>
                </c:pt>
                <c:pt idx="13">
                  <c:v>1.694936413172568E-2</c:v>
                </c:pt>
                <c:pt idx="14">
                  <c:v>1.6932375625799259E-2</c:v>
                </c:pt>
                <c:pt idx="15">
                  <c:v>1.6915387119872838E-2</c:v>
                </c:pt>
                <c:pt idx="16">
                  <c:v>1.6898398613946417E-2</c:v>
                </c:pt>
                <c:pt idx="17">
                  <c:v>1.6881410108019992E-2</c:v>
                </c:pt>
                <c:pt idx="18">
                  <c:v>1.6864421602093567E-2</c:v>
                </c:pt>
                <c:pt idx="19">
                  <c:v>1.6847433096167146E-2</c:v>
                </c:pt>
                <c:pt idx="20">
                  <c:v>1.6830444590240724E-2</c:v>
                </c:pt>
                <c:pt idx="21">
                  <c:v>1.6813456084314306E-2</c:v>
                </c:pt>
                <c:pt idx="22">
                  <c:v>1.6796467578387882E-2</c:v>
                </c:pt>
                <c:pt idx="23">
                  <c:v>1.6779479072461464E-2</c:v>
                </c:pt>
                <c:pt idx="24">
                  <c:v>1.6762490566535039E-2</c:v>
                </c:pt>
                <c:pt idx="25">
                  <c:v>1.6745502060608618E-2</c:v>
                </c:pt>
                <c:pt idx="26">
                  <c:v>1.6728513554682196E-2</c:v>
                </c:pt>
                <c:pt idx="27">
                  <c:v>1.6711525048755775E-2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1.8088888360312493E-2</c:v>
                </c:pt>
                <c:pt idx="1">
                  <c:v>1.8088888360312493E-2</c:v>
                </c:pt>
                <c:pt idx="2">
                  <c:v>1.8088888360312493E-2</c:v>
                </c:pt>
                <c:pt idx="3">
                  <c:v>1.8088888360312493E-2</c:v>
                </c:pt>
                <c:pt idx="4">
                  <c:v>1.8088888360312493E-2</c:v>
                </c:pt>
                <c:pt idx="5">
                  <c:v>1.8088888360312493E-2</c:v>
                </c:pt>
                <c:pt idx="6">
                  <c:v>1.8088888360312493E-2</c:v>
                </c:pt>
                <c:pt idx="7">
                  <c:v>1.8088888360312493E-2</c:v>
                </c:pt>
                <c:pt idx="8">
                  <c:v>1.8157250761564485E-2</c:v>
                </c:pt>
                <c:pt idx="9">
                  <c:v>1.8225613162816477E-2</c:v>
                </c:pt>
                <c:pt idx="10">
                  <c:v>1.8293975564068476E-2</c:v>
                </c:pt>
                <c:pt idx="11">
                  <c:v>1.8362337965320469E-2</c:v>
                </c:pt>
                <c:pt idx="12">
                  <c:v>1.8430700366572468E-2</c:v>
                </c:pt>
                <c:pt idx="13">
                  <c:v>1.8402032262821624E-2</c:v>
                </c:pt>
                <c:pt idx="14">
                  <c:v>1.8373364159070791E-2</c:v>
                </c:pt>
                <c:pt idx="15">
                  <c:v>1.8344696055319954E-2</c:v>
                </c:pt>
                <c:pt idx="16">
                  <c:v>1.8316027951569114E-2</c:v>
                </c:pt>
                <c:pt idx="17">
                  <c:v>1.828735984781828E-2</c:v>
                </c:pt>
                <c:pt idx="18">
                  <c:v>1.8258691744067447E-2</c:v>
                </c:pt>
                <c:pt idx="19">
                  <c:v>1.823002364031661E-2</c:v>
                </c:pt>
                <c:pt idx="20">
                  <c:v>1.820135553656577E-2</c:v>
                </c:pt>
                <c:pt idx="21">
                  <c:v>1.8172687432814937E-2</c:v>
                </c:pt>
                <c:pt idx="22">
                  <c:v>1.81440193290641E-2</c:v>
                </c:pt>
                <c:pt idx="23">
                  <c:v>1.8115351225313263E-2</c:v>
                </c:pt>
                <c:pt idx="24">
                  <c:v>1.8086683121562426E-2</c:v>
                </c:pt>
                <c:pt idx="25">
                  <c:v>1.8058015017811589E-2</c:v>
                </c:pt>
                <c:pt idx="26">
                  <c:v>1.8029346914060752E-2</c:v>
                </c:pt>
                <c:pt idx="27">
                  <c:v>1.8000678810309916E-2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1.7015042906868429E-2</c:v>
                </c:pt>
                <c:pt idx="1">
                  <c:v>1.6994607824587504E-2</c:v>
                </c:pt>
                <c:pt idx="2">
                  <c:v>1.6965597845970487E-2</c:v>
                </c:pt>
                <c:pt idx="3">
                  <c:v>1.6924604849222275E-2</c:v>
                </c:pt>
                <c:pt idx="4">
                  <c:v>1.6867070820039611E-2</c:v>
                </c:pt>
                <c:pt idx="5">
                  <c:v>1.6787115252128167E-2</c:v>
                </c:pt>
                <c:pt idx="6">
                  <c:v>1.6677570193047518E-2</c:v>
                </c:pt>
                <c:pt idx="7">
                  <c:v>1.6530482528676928E-2</c:v>
                </c:pt>
                <c:pt idx="8">
                  <c:v>1.6387885486128954E-2</c:v>
                </c:pt>
                <c:pt idx="9">
                  <c:v>1.6195763028188485E-2</c:v>
                </c:pt>
                <c:pt idx="10">
                  <c:v>1.5955770831982907E-2</c:v>
                </c:pt>
                <c:pt idx="11">
                  <c:v>1.5678518738614936E-2</c:v>
                </c:pt>
                <c:pt idx="12">
                  <c:v>1.5383753795214818E-2</c:v>
                </c:pt>
                <c:pt idx="13">
                  <c:v>1.5026597419361718E-2</c:v>
                </c:pt>
                <c:pt idx="14">
                  <c:v>1.4700331778406331E-2</c:v>
                </c:pt>
                <c:pt idx="15">
                  <c:v>1.4420492515427132E-2</c:v>
                </c:pt>
                <c:pt idx="16">
                  <c:v>1.4192647295652059E-2</c:v>
                </c:pt>
                <c:pt idx="17">
                  <c:v>1.4014132818747466E-2</c:v>
                </c:pt>
                <c:pt idx="18">
                  <c:v>1.3877585239812383E-2</c:v>
                </c:pt>
                <c:pt idx="19">
                  <c:v>1.3774162901034392E-2</c:v>
                </c:pt>
                <c:pt idx="20">
                  <c:v>1.3695565781401952E-2</c:v>
                </c:pt>
                <c:pt idx="21">
                  <c:v>1.36349200850285E-2</c:v>
                </c:pt>
                <c:pt idx="22">
                  <c:v>1.35869410736807E-2</c:v>
                </c:pt>
                <c:pt idx="23">
                  <c:v>1.3547751820043653E-2</c:v>
                </c:pt>
                <c:pt idx="24">
                  <c:v>1.3514593361433493E-2</c:v>
                </c:pt>
                <c:pt idx="25">
                  <c:v>1.3485541198640472E-2</c:v>
                </c:pt>
                <c:pt idx="26">
                  <c:v>1.345927058540392E-2</c:v>
                </c:pt>
                <c:pt idx="27">
                  <c:v>1.3434877631593524E-2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2.5498255477549962E-2</c:v>
                </c:pt>
                <c:pt idx="1">
                  <c:v>2.546839634334272E-2</c:v>
                </c:pt>
                <c:pt idx="2">
                  <c:v>2.5426005564558624E-2</c:v>
                </c:pt>
                <c:pt idx="3">
                  <c:v>2.5366100097815668E-2</c:v>
                </c:pt>
                <c:pt idx="4">
                  <c:v>2.528201331229803E-2</c:v>
                </c:pt>
                <c:pt idx="5">
                  <c:v>2.5165139794160928E-2</c:v>
                </c:pt>
                <c:pt idx="6">
                  <c:v>2.5004981644244396E-2</c:v>
                </c:pt>
                <c:pt idx="7">
                  <c:v>2.4789875478036662E-2</c:v>
                </c:pt>
                <c:pt idx="8">
                  <c:v>2.4582576915795892E-2</c:v>
                </c:pt>
                <c:pt idx="9">
                  <c:v>2.4302695180827762E-2</c:v>
                </c:pt>
                <c:pt idx="10">
                  <c:v>2.3952553009105253E-2</c:v>
                </c:pt>
                <c:pt idx="11">
                  <c:v>2.3547580340845191E-2</c:v>
                </c:pt>
                <c:pt idx="12">
                  <c:v>2.3116633238292002E-2</c:v>
                </c:pt>
                <c:pt idx="13">
                  <c:v>2.2592086399346546E-2</c:v>
                </c:pt>
                <c:pt idx="14">
                  <c:v>2.2112531589622925E-2</c:v>
                </c:pt>
                <c:pt idx="15">
                  <c:v>2.1700894188666907E-2</c:v>
                </c:pt>
                <c:pt idx="16">
                  <c:v>2.1365480116907552E-2</c:v>
                </c:pt>
                <c:pt idx="17">
                  <c:v>2.1102480057868425E-2</c:v>
                </c:pt>
                <c:pt idx="18">
                  <c:v>2.0901139051159583E-2</c:v>
                </c:pt>
                <c:pt idx="19">
                  <c:v>2.0748496545098569E-2</c:v>
                </c:pt>
                <c:pt idx="20">
                  <c:v>2.0632366039655702E-2</c:v>
                </c:pt>
                <c:pt idx="21">
                  <c:v>2.0542645732294904E-2</c:v>
                </c:pt>
                <c:pt idx="22">
                  <c:v>2.0471564632491012E-2</c:v>
                </c:pt>
                <c:pt idx="23">
                  <c:v>2.0413419729249122E-2</c:v>
                </c:pt>
                <c:pt idx="24">
                  <c:v>2.0364151523608022E-2</c:v>
                </c:pt>
                <c:pt idx="25">
                  <c:v>2.0320927840067823E-2</c:v>
                </c:pt>
                <c:pt idx="26">
                  <c:v>2.0281798885064511E-2</c:v>
                </c:pt>
                <c:pt idx="27">
                  <c:v>2.0245434172372331E-2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2.4217951941717931E-2</c:v>
                </c:pt>
                <c:pt idx="1">
                  <c:v>2.4188153476315869E-2</c:v>
                </c:pt>
                <c:pt idx="2">
                  <c:v>2.4145848816728408E-2</c:v>
                </c:pt>
                <c:pt idx="3">
                  <c:v>2.4086065027562838E-2</c:v>
                </c:pt>
                <c:pt idx="4">
                  <c:v>2.4002148988980787E-2</c:v>
                </c:pt>
                <c:pt idx="5">
                  <c:v>2.3885512703930745E-2</c:v>
                </c:pt>
                <c:pt idx="6">
                  <c:v>2.3725679476102202E-2</c:v>
                </c:pt>
                <c:pt idx="7">
                  <c:v>2.3511009396523834E-2</c:v>
                </c:pt>
                <c:pt idx="8">
                  <c:v>2.3304279893736658E-2</c:v>
                </c:pt>
                <c:pt idx="9">
                  <c:v>2.3025113201764653E-2</c:v>
                </c:pt>
                <c:pt idx="10">
                  <c:v>2.2675826728387999E-2</c:v>
                </c:pt>
                <c:pt idx="11">
                  <c:v>2.2271818609021943E-2</c:v>
                </c:pt>
                <c:pt idx="12">
                  <c:v>2.1841886278798194E-2</c:v>
                </c:pt>
                <c:pt idx="13">
                  <c:v>2.1318330773940415E-2</c:v>
                </c:pt>
                <c:pt idx="14">
                  <c:v>2.0839675424436321E-2</c:v>
                </c:pt>
                <c:pt idx="15">
                  <c:v>2.0428800220669181E-2</c:v>
                </c:pt>
                <c:pt idx="16">
                  <c:v>2.0093995070035703E-2</c:v>
                </c:pt>
                <c:pt idx="17">
                  <c:v>1.9831458772822524E-2</c:v>
                </c:pt>
                <c:pt idx="18">
                  <c:v>1.9630458188083205E-2</c:v>
                </c:pt>
                <c:pt idx="19">
                  <c:v>1.9478058829824084E-2</c:v>
                </c:pt>
                <c:pt idx="20">
                  <c:v>1.9362098611509577E-2</c:v>
                </c:pt>
                <c:pt idx="21">
                  <c:v>1.9272495923570832E-2</c:v>
                </c:pt>
                <c:pt idx="22">
                  <c:v>1.9201495288612647E-2</c:v>
                </c:pt>
                <c:pt idx="23">
                  <c:v>1.9143405070959213E-2</c:v>
                </c:pt>
                <c:pt idx="24">
                  <c:v>1.9094173864490093E-2</c:v>
                </c:pt>
                <c:pt idx="25">
                  <c:v>1.9050975137914442E-2</c:v>
                </c:pt>
                <c:pt idx="26">
                  <c:v>1.9011862982583679E-2</c:v>
                </c:pt>
                <c:pt idx="27">
                  <c:v>1.8975509562907757E-2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2.1221213958628901E-2</c:v>
                </c:pt>
                <c:pt idx="1">
                  <c:v>2.1202410212745951E-2</c:v>
                </c:pt>
                <c:pt idx="2">
                  <c:v>2.1175716663784594E-2</c:v>
                </c:pt>
                <c:pt idx="3">
                  <c:v>2.1137998049502664E-2</c:v>
                </c:pt>
                <c:pt idx="4">
                  <c:v>2.1085061849537731E-2</c:v>
                </c:pt>
                <c:pt idx="5">
                  <c:v>2.1011500204087465E-2</c:v>
                </c:pt>
                <c:pt idx="6">
                  <c:v>2.09107233730941E-2</c:v>
                </c:pt>
                <c:pt idx="7">
                  <c:v>2.0775423630769417E-2</c:v>
                </c:pt>
                <c:pt idx="8">
                  <c:v>2.0642862832793343E-2</c:v>
                </c:pt>
                <c:pt idx="9">
                  <c:v>2.0464786724593134E-2</c:v>
                </c:pt>
                <c:pt idx="10">
                  <c:v>2.0242743401614541E-2</c:v>
                </c:pt>
                <c:pt idx="11">
                  <c:v>1.9986514239513552E-2</c:v>
                </c:pt>
                <c:pt idx="12">
                  <c:v>1.9714269379278563E-2</c:v>
                </c:pt>
                <c:pt idx="13">
                  <c:v>1.9386747096857261E-2</c:v>
                </c:pt>
                <c:pt idx="14">
                  <c:v>1.9087682917475854E-2</c:v>
                </c:pt>
                <c:pt idx="15">
                  <c:v>1.8831316635658561E-2</c:v>
                </c:pt>
                <c:pt idx="16">
                  <c:v>1.8622729593431128E-2</c:v>
                </c:pt>
                <c:pt idx="17">
                  <c:v>1.8459451230563445E-2</c:v>
                </c:pt>
                <c:pt idx="18">
                  <c:v>1.833470480304162E-2</c:v>
                </c:pt>
                <c:pt idx="19">
                  <c:v>1.8240365084011327E-2</c:v>
                </c:pt>
                <c:pt idx="20">
                  <c:v>1.8168809441766569E-2</c:v>
                </c:pt>
                <c:pt idx="21">
                  <c:v>1.8113727344762482E-2</c:v>
                </c:pt>
                <c:pt idx="22">
                  <c:v>1.8070268191530604E-2</c:v>
                </c:pt>
                <c:pt idx="23">
                  <c:v>1.8034874058498334E-2</c:v>
                </c:pt>
                <c:pt idx="24">
                  <c:v>1.8005013243418105E-2</c:v>
                </c:pt>
                <c:pt idx="25">
                  <c:v>1.7978919888130239E-2</c:v>
                </c:pt>
                <c:pt idx="26">
                  <c:v>1.7955378504229902E-2</c:v>
                </c:pt>
                <c:pt idx="27">
                  <c:v>1.7933559776614191E-2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2.49301340667612E-2</c:v>
                </c:pt>
                <c:pt idx="1">
                  <c:v>2.4900880731022784E-2</c:v>
                </c:pt>
                <c:pt idx="2">
                  <c:v>2.4859348227219268E-2</c:v>
                </c:pt>
                <c:pt idx="3">
                  <c:v>2.4800652105225567E-2</c:v>
                </c:pt>
                <c:pt idx="4">
                  <c:v>2.4718255822889945E-2</c:v>
                </c:pt>
                <c:pt idx="5">
                  <c:v>2.4603718381701788E-2</c:v>
                </c:pt>
                <c:pt idx="6">
                  <c:v>2.4446735846770248E-2</c:v>
                </c:pt>
                <c:pt idx="7">
                  <c:v>2.4235848194869881E-2</c:v>
                </c:pt>
                <c:pt idx="8">
                  <c:v>2.4033604583017218E-2</c:v>
                </c:pt>
                <c:pt idx="9">
                  <c:v>2.3760078951574601E-2</c:v>
                </c:pt>
                <c:pt idx="10">
                  <c:v>2.3417471472468081E-2</c:v>
                </c:pt>
                <c:pt idx="11">
                  <c:v>2.302084239242996E-2</c:v>
                </c:pt>
                <c:pt idx="12">
                  <c:v>2.2598464663464136E-2</c:v>
                </c:pt>
                <c:pt idx="13">
                  <c:v>2.2082458138598687E-2</c:v>
                </c:pt>
                <c:pt idx="14">
                  <c:v>2.1610420443878453E-2</c:v>
                </c:pt>
                <c:pt idx="15">
                  <c:v>2.1204987128103838E-2</c:v>
                </c:pt>
                <c:pt idx="16">
                  <c:v>2.0874427914419631E-2</c:v>
                </c:pt>
                <c:pt idx="17">
                  <c:v>2.0615074119348931E-2</c:v>
                </c:pt>
                <c:pt idx="18">
                  <c:v>2.0416392229028388E-2</c:v>
                </c:pt>
                <c:pt idx="19">
                  <c:v>2.0265652076276057E-2</c:v>
                </c:pt>
                <c:pt idx="20">
                  <c:v>2.0150868488109715E-2</c:v>
                </c:pt>
                <c:pt idx="21">
                  <c:v>2.0062099378894055E-2</c:v>
                </c:pt>
                <c:pt idx="22">
                  <c:v>1.999169319421025E-2</c:v>
                </c:pt>
                <c:pt idx="23">
                  <c:v>1.9934032934983682E-2</c:v>
                </c:pt>
                <c:pt idx="24">
                  <c:v>1.988511954286484E-2</c:v>
                </c:pt>
                <c:pt idx="25">
                  <c:v>1.9842162633472302E-2</c:v>
                </c:pt>
                <c:pt idx="26">
                  <c:v>1.9803241001600684E-2</c:v>
                </c:pt>
                <c:pt idx="27">
                  <c:v>1.976704357882381E-2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2.133769640797668E-2</c:v>
                </c:pt>
                <c:pt idx="1">
                  <c:v>2.1126575458193471E-2</c:v>
                </c:pt>
                <c:pt idx="2">
                  <c:v>2.090079514589778E-2</c:v>
                </c:pt>
                <c:pt idx="3">
                  <c:v>2.0709230018088998E-2</c:v>
                </c:pt>
                <c:pt idx="4">
                  <c:v>2.0489360043406908E-2</c:v>
                </c:pt>
                <c:pt idx="5">
                  <c:v>2.023122570562564E-2</c:v>
                </c:pt>
                <c:pt idx="6">
                  <c:v>1.9922727521760941E-2</c:v>
                </c:pt>
                <c:pt idx="7">
                  <c:v>1.9550497103949682E-2</c:v>
                </c:pt>
                <c:pt idx="8">
                  <c:v>1.9228932899363955E-2</c:v>
                </c:pt>
                <c:pt idx="9">
                  <c:v>1.8821236645145761E-2</c:v>
                </c:pt>
                <c:pt idx="10">
                  <c:v>1.8329831157951983E-2</c:v>
                </c:pt>
                <c:pt idx="11">
                  <c:v>1.7772633240648497E-2</c:v>
                </c:pt>
                <c:pt idx="12">
                  <c:v>1.718358018755458E-2</c:v>
                </c:pt>
                <c:pt idx="13">
                  <c:v>1.6490543980127566E-2</c:v>
                </c:pt>
                <c:pt idx="14">
                  <c:v>1.5853231704726523E-2</c:v>
                </c:pt>
                <c:pt idx="15">
                  <c:v>1.5298515125872311E-2</c:v>
                </c:pt>
                <c:pt idx="16">
                  <c:v>1.4835791728555052E-2</c:v>
                </c:pt>
                <c:pt idx="17">
                  <c:v>1.4460058189894459E-2</c:v>
                </c:pt>
                <c:pt idx="18">
                  <c:v>1.4165846788202577E-2</c:v>
                </c:pt>
                <c:pt idx="19">
                  <c:v>1.3929679565409036E-2</c:v>
                </c:pt>
                <c:pt idx="20">
                  <c:v>1.3736914793299705E-2</c:v>
                </c:pt>
                <c:pt idx="21">
                  <c:v>1.357546139516015E-2</c:v>
                </c:pt>
                <c:pt idx="22">
                  <c:v>1.3436047950684333E-2</c:v>
                </c:pt>
                <c:pt idx="23">
                  <c:v>1.3328828643060781E-2</c:v>
                </c:pt>
                <c:pt idx="24">
                  <c:v>1.3232027970164879E-2</c:v>
                </c:pt>
                <c:pt idx="25">
                  <c:v>1.3142306483395353E-2</c:v>
                </c:pt>
                <c:pt idx="26">
                  <c:v>1.305737021091379E-2</c:v>
                </c:pt>
                <c:pt idx="27">
                  <c:v>1.2975657245638596E-2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3.2054382492967229E-2</c:v>
                </c:pt>
                <c:pt idx="1">
                  <c:v>3.1738915279362359E-2</c:v>
                </c:pt>
                <c:pt idx="2">
                  <c:v>3.1401543331765952E-2</c:v>
                </c:pt>
                <c:pt idx="3">
                  <c:v>3.1115297380543406E-2</c:v>
                </c:pt>
                <c:pt idx="4">
                  <c:v>3.0786756947490411E-2</c:v>
                </c:pt>
                <c:pt idx="5">
                  <c:v>3.0401040038016386E-2</c:v>
                </c:pt>
                <c:pt idx="6">
                  <c:v>2.994006701489433E-2</c:v>
                </c:pt>
                <c:pt idx="7">
                  <c:v>2.9383862181378371E-2</c:v>
                </c:pt>
                <c:pt idx="8">
                  <c:v>2.8903365273232118E-2</c:v>
                </c:pt>
                <c:pt idx="9">
                  <c:v>2.8294165658284243E-2</c:v>
                </c:pt>
                <c:pt idx="10">
                  <c:v>2.7559883627276124E-2</c:v>
                </c:pt>
                <c:pt idx="11">
                  <c:v>2.6727291340349239E-2</c:v>
                </c:pt>
                <c:pt idx="12">
                  <c:v>2.5847099556844069E-2</c:v>
                </c:pt>
                <c:pt idx="13">
                  <c:v>2.4811531075796575E-2</c:v>
                </c:pt>
                <c:pt idx="14">
                  <c:v>2.3859228010073313E-2</c:v>
                </c:pt>
                <c:pt idx="15">
                  <c:v>2.303034346000251E-2</c:v>
                </c:pt>
                <c:pt idx="16">
                  <c:v>2.2338919605707816E-2</c:v>
                </c:pt>
                <c:pt idx="17">
                  <c:v>2.1777480238269975E-2</c:v>
                </c:pt>
                <c:pt idx="18">
                  <c:v>2.1337855221435623E-2</c:v>
                </c:pt>
                <c:pt idx="19">
                  <c:v>2.0984962645895458E-2</c:v>
                </c:pt>
                <c:pt idx="20">
                  <c:v>2.0696924127686075E-2</c:v>
                </c:pt>
                <c:pt idx="21">
                  <c:v>2.0455672590638588E-2</c:v>
                </c:pt>
                <c:pt idx="22">
                  <c:v>2.0247354226624936E-2</c:v>
                </c:pt>
                <c:pt idx="23">
                  <c:v>2.0087141911099733E-2</c:v>
                </c:pt>
                <c:pt idx="24">
                  <c:v>1.9942497627408767E-2</c:v>
                </c:pt>
                <c:pt idx="25">
                  <c:v>1.9808431408680899E-2</c:v>
                </c:pt>
                <c:pt idx="26">
                  <c:v>1.9681515490382613E-2</c:v>
                </c:pt>
                <c:pt idx="27">
                  <c:v>1.9559415994822228E-2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3.0784480924234296E-2</c:v>
                </c:pt>
                <c:pt idx="1">
                  <c:v>3.0469013710629409E-2</c:v>
                </c:pt>
                <c:pt idx="2">
                  <c:v>3.0131641763033012E-2</c:v>
                </c:pt>
                <c:pt idx="3">
                  <c:v>2.9845395811810463E-2</c:v>
                </c:pt>
                <c:pt idx="4">
                  <c:v>2.9516855378757468E-2</c:v>
                </c:pt>
                <c:pt idx="5">
                  <c:v>2.9131138469283443E-2</c:v>
                </c:pt>
                <c:pt idx="6">
                  <c:v>2.867016544616139E-2</c:v>
                </c:pt>
                <c:pt idx="7">
                  <c:v>2.8113960612645428E-2</c:v>
                </c:pt>
                <c:pt idx="8">
                  <c:v>2.7633463704499178E-2</c:v>
                </c:pt>
                <c:pt idx="9">
                  <c:v>2.7024264089551293E-2</c:v>
                </c:pt>
                <c:pt idx="10">
                  <c:v>2.6289982058543181E-2</c:v>
                </c:pt>
                <c:pt idx="11">
                  <c:v>2.5457389771616303E-2</c:v>
                </c:pt>
                <c:pt idx="12">
                  <c:v>2.457719798811113E-2</c:v>
                </c:pt>
                <c:pt idx="13">
                  <c:v>2.3541629507063636E-2</c:v>
                </c:pt>
                <c:pt idx="14">
                  <c:v>2.2589326441340374E-2</c:v>
                </c:pt>
                <c:pt idx="15">
                  <c:v>2.176044189126957E-2</c:v>
                </c:pt>
                <c:pt idx="16">
                  <c:v>2.1069018036974876E-2</c:v>
                </c:pt>
                <c:pt idx="17">
                  <c:v>2.0507578669537029E-2</c:v>
                </c:pt>
                <c:pt idx="18">
                  <c:v>2.0067953652702683E-2</c:v>
                </c:pt>
                <c:pt idx="19">
                  <c:v>1.9715061077162515E-2</c:v>
                </c:pt>
                <c:pt idx="20">
                  <c:v>1.9427022558953136E-2</c:v>
                </c:pt>
                <c:pt idx="21">
                  <c:v>1.9185771021905641E-2</c:v>
                </c:pt>
                <c:pt idx="22">
                  <c:v>1.8977452657891993E-2</c:v>
                </c:pt>
                <c:pt idx="23">
                  <c:v>1.8817240342366794E-2</c:v>
                </c:pt>
                <c:pt idx="24">
                  <c:v>1.8672596058675831E-2</c:v>
                </c:pt>
                <c:pt idx="25">
                  <c:v>1.8538529839947963E-2</c:v>
                </c:pt>
                <c:pt idx="26">
                  <c:v>1.841161392164967E-2</c:v>
                </c:pt>
                <c:pt idx="27">
                  <c:v>1.8289514426089285E-2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2.4968173966746804E-2</c:v>
                </c:pt>
                <c:pt idx="1">
                  <c:v>2.4780241075590646E-2</c:v>
                </c:pt>
                <c:pt idx="2">
                  <c:v>2.4579258904472892E-2</c:v>
                </c:pt>
                <c:pt idx="3">
                  <c:v>2.4408733959644931E-2</c:v>
                </c:pt>
                <c:pt idx="4">
                  <c:v>2.4213012975711937E-2</c:v>
                </c:pt>
                <c:pt idx="5">
                  <c:v>2.3983230320529063E-2</c:v>
                </c:pt>
                <c:pt idx="6">
                  <c:v>2.3708615434277106E-2</c:v>
                </c:pt>
                <c:pt idx="7">
                  <c:v>2.3377268219955779E-2</c:v>
                </c:pt>
                <c:pt idx="8">
                  <c:v>2.3091022393939058E-2</c:v>
                </c:pt>
                <c:pt idx="9">
                  <c:v>2.272810466432747E-2</c:v>
                </c:pt>
                <c:pt idx="10">
                  <c:v>2.2290671742425758E-2</c:v>
                </c:pt>
                <c:pt idx="11">
                  <c:v>2.1794672573927469E-2</c:v>
                </c:pt>
                <c:pt idx="12">
                  <c:v>2.1270317016480508E-2</c:v>
                </c:pt>
                <c:pt idx="13">
                  <c:v>2.0653399092080253E-2</c:v>
                </c:pt>
                <c:pt idx="14">
                  <c:v>2.0086084770084157E-2</c:v>
                </c:pt>
                <c:pt idx="15">
                  <c:v>1.9592294407055851E-2</c:v>
                </c:pt>
                <c:pt idx="16">
                  <c:v>1.9180393333511358E-2</c:v>
                </c:pt>
                <c:pt idx="17">
                  <c:v>1.8845927756801266E-2</c:v>
                </c:pt>
                <c:pt idx="18">
                  <c:v>1.8584030491807707E-2</c:v>
                </c:pt>
                <c:pt idx="19">
                  <c:v>1.8373802236291197E-2</c:v>
                </c:pt>
                <c:pt idx="20">
                  <c:v>1.8202209407759656E-2</c:v>
                </c:pt>
                <c:pt idx="21">
                  <c:v>1.805848892937742E-2</c:v>
                </c:pt>
                <c:pt idx="22">
                  <c:v>1.7934387689243339E-2</c:v>
                </c:pt>
                <c:pt idx="23">
                  <c:v>1.7838944605597935E-2</c:v>
                </c:pt>
                <c:pt idx="24">
                  <c:v>1.7752775846212043E-2</c:v>
                </c:pt>
                <c:pt idx="25">
                  <c:v>1.767290874432215E-2</c:v>
                </c:pt>
                <c:pt idx="26">
                  <c:v>1.7597301282022089E-2</c:v>
                </c:pt>
                <c:pt idx="27">
                  <c:v>1.7524563101254713E-2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3.1543189491869697E-2</c:v>
                </c:pt>
                <c:pt idx="1">
                  <c:v>3.1228602141358964E-2</c:v>
                </c:pt>
                <c:pt idx="2">
                  <c:v>3.0892171150898165E-2</c:v>
                </c:pt>
                <c:pt idx="3">
                  <c:v>3.0606723562349988E-2</c:v>
                </c:pt>
                <c:pt idx="4">
                  <c:v>3.0279099454637672E-2</c:v>
                </c:pt>
                <c:pt idx="5">
                  <c:v>2.9894458340234572E-2</c:v>
                </c:pt>
                <c:pt idx="6">
                  <c:v>2.9434771007456721E-2</c:v>
                </c:pt>
                <c:pt idx="7">
                  <c:v>2.8880117473361722E-2</c:v>
                </c:pt>
                <c:pt idx="8">
                  <c:v>2.8400960709224411E-2</c:v>
                </c:pt>
                <c:pt idx="9">
                  <c:v>2.7793460200348563E-2</c:v>
                </c:pt>
                <c:pt idx="10">
                  <c:v>2.7061226140197382E-2</c:v>
                </c:pt>
                <c:pt idx="11">
                  <c:v>2.6230956019233066E-2</c:v>
                </c:pt>
                <c:pt idx="12">
                  <c:v>2.5353219160463902E-2</c:v>
                </c:pt>
                <c:pt idx="13">
                  <c:v>2.4320538962092533E-2</c:v>
                </c:pt>
                <c:pt idx="14">
                  <c:v>2.3370891945194115E-2</c:v>
                </c:pt>
                <c:pt idx="15">
                  <c:v>2.2544319219913549E-2</c:v>
                </c:pt>
                <c:pt idx="16">
                  <c:v>2.1854823801619717E-2</c:v>
                </c:pt>
                <c:pt idx="17">
                  <c:v>2.1294950333133351E-2</c:v>
                </c:pt>
                <c:pt idx="18">
                  <c:v>2.0856551465359491E-2</c:v>
                </c:pt>
                <c:pt idx="19">
                  <c:v>2.0504643135217979E-2</c:v>
                </c:pt>
                <c:pt idx="20">
                  <c:v>2.0217407979294562E-2</c:v>
                </c:pt>
                <c:pt idx="21">
                  <c:v>1.9976829311929557E-2</c:v>
                </c:pt>
                <c:pt idx="22">
                  <c:v>1.9769091964365233E-2</c:v>
                </c:pt>
                <c:pt idx="23">
                  <c:v>1.960932649370245E-2</c:v>
                </c:pt>
                <c:pt idx="24">
                  <c:v>1.9465085634397635E-2</c:v>
                </c:pt>
                <c:pt idx="25">
                  <c:v>1.9331393336993258E-2</c:v>
                </c:pt>
                <c:pt idx="26">
                  <c:v>1.9204831397263124E-2</c:v>
                </c:pt>
                <c:pt idx="27">
                  <c:v>1.9083072446885646E-2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1.032270109405839E-2</c:v>
                </c:pt>
                <c:pt idx="1">
                  <c:v>1.0149905130317143E-2</c:v>
                </c:pt>
                <c:pt idx="2">
                  <c:v>9.9769801246638156E-3</c:v>
                </c:pt>
                <c:pt idx="3">
                  <c:v>9.8038781951643571E-3</c:v>
                </c:pt>
                <c:pt idx="4">
                  <c:v>9.6305345725286075E-3</c:v>
                </c:pt>
                <c:pt idx="5">
                  <c:v>9.4568623393620523E-3</c:v>
                </c:pt>
                <c:pt idx="6">
                  <c:v>9.2827461552562537E-3</c:v>
                </c:pt>
                <c:pt idx="7">
                  <c:v>9.1080354150267599E-3</c:v>
                </c:pt>
                <c:pt idx="8">
                  <c:v>9.0543561934691534E-3</c:v>
                </c:pt>
                <c:pt idx="9">
                  <c:v>8.9993718167791052E-3</c:v>
                </c:pt>
                <c:pt idx="10">
                  <c:v>8.942643441232679E-3</c:v>
                </c:pt>
                <c:pt idx="11">
                  <c:v>8.8836488411069524E-3</c:v>
                </c:pt>
                <c:pt idx="12">
                  <c:v>8.8218283856102784E-3</c:v>
                </c:pt>
                <c:pt idx="13">
                  <c:v>8.7566931761626221E-3</c:v>
                </c:pt>
                <c:pt idx="14">
                  <c:v>8.6880113107290144E-3</c:v>
                </c:pt>
                <c:pt idx="15">
                  <c:v>8.6160467951829217E-3</c:v>
                </c:pt>
                <c:pt idx="16">
                  <c:v>8.5417485839832993E-3</c:v>
                </c:pt>
                <c:pt idx="17">
                  <c:v>8.4667273816306371E-3</c:v>
                </c:pt>
                <c:pt idx="18">
                  <c:v>8.3929204279309284E-3</c:v>
                </c:pt>
                <c:pt idx="19">
                  <c:v>8.3220555056878233E-3</c:v>
                </c:pt>
                <c:pt idx="20">
                  <c:v>8.2552043156252797E-3</c:v>
                </c:pt>
                <c:pt idx="21">
                  <c:v>8.1926510364980151E-3</c:v>
                </c:pt>
                <c:pt idx="22">
                  <c:v>8.134060817701412E-3</c:v>
                </c:pt>
                <c:pt idx="23">
                  <c:v>8.0787698500953374E-3</c:v>
                </c:pt>
                <c:pt idx="24">
                  <c:v>8.0260357528907852E-3</c:v>
                </c:pt>
                <c:pt idx="25">
                  <c:v>7.9751863268048041E-3</c:v>
                </c:pt>
                <c:pt idx="26">
                  <c:v>7.9256785400569352E-3</c:v>
                </c:pt>
                <c:pt idx="27">
                  <c:v>7.8771031584756231E-3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1.2875560078180342E-2</c:v>
                </c:pt>
                <c:pt idx="1">
                  <c:v>1.2670616028161654E-2</c:v>
                </c:pt>
                <c:pt idx="2">
                  <c:v>1.2465518928433287E-2</c:v>
                </c:pt>
                <c:pt idx="3">
                  <c:v>1.2260211988794397E-2</c:v>
                </c:pt>
                <c:pt idx="4">
                  <c:v>1.2054618389854319E-2</c:v>
                </c:pt>
                <c:pt idx="5">
                  <c:v>1.1848635043540497E-2</c:v>
                </c:pt>
                <c:pt idx="6">
                  <c:v>1.1642125150763854E-2</c:v>
                </c:pt>
                <c:pt idx="7">
                  <c:v>1.1434910086770734E-2</c:v>
                </c:pt>
                <c:pt idx="8">
                  <c:v>1.1371244033295433E-2</c:v>
                </c:pt>
                <c:pt idx="9">
                  <c:v>1.1306030005128163E-2</c:v>
                </c:pt>
                <c:pt idx="10">
                  <c:v>1.123874751320101E-2</c:v>
                </c:pt>
                <c:pt idx="11">
                  <c:v>1.1168777173517009E-2</c:v>
                </c:pt>
                <c:pt idx="12">
                  <c:v>1.1095455237927928E-2</c:v>
                </c:pt>
                <c:pt idx="13">
                  <c:v>1.1018201849978381E-2</c:v>
                </c:pt>
                <c:pt idx="14">
                  <c:v>1.0936741963068755E-2</c:v>
                </c:pt>
                <c:pt idx="15">
                  <c:v>1.0851388700444321E-2</c:v>
                </c:pt>
                <c:pt idx="16">
                  <c:v>1.0763267566230816E-2</c:v>
                </c:pt>
                <c:pt idx="17">
                  <c:v>1.0674288930882309E-2</c:v>
                </c:pt>
                <c:pt idx="18">
                  <c:v>1.0586750450912886E-2</c:v>
                </c:pt>
                <c:pt idx="19">
                  <c:v>1.050270135708967E-2</c:v>
                </c:pt>
                <c:pt idx="20">
                  <c:v>1.0423412736317814E-2</c:v>
                </c:pt>
                <c:pt idx="21">
                  <c:v>1.0349221637818037E-2</c:v>
                </c:pt>
                <c:pt idx="22">
                  <c:v>1.0279730913198807E-2</c:v>
                </c:pt>
                <c:pt idx="23">
                  <c:v>1.0214153253945089E-2</c:v>
                </c:pt>
                <c:pt idx="24">
                  <c:v>1.0151608161911787E-2</c:v>
                </c:pt>
                <c:pt idx="25">
                  <c:v>1.0091298377484226E-2</c:v>
                </c:pt>
                <c:pt idx="26">
                  <c:v>1.0032579839713498E-2</c:v>
                </c:pt>
                <c:pt idx="27">
                  <c:v>9.9749671778379886E-3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1.3496447195181512E-2</c:v>
                </c:pt>
                <c:pt idx="1">
                  <c:v>1.3270483242596807E-2</c:v>
                </c:pt>
                <c:pt idx="2">
                  <c:v>1.3044350542896297E-2</c:v>
                </c:pt>
                <c:pt idx="3">
                  <c:v>1.281798648124316E-2</c:v>
                </c:pt>
                <c:pt idx="4">
                  <c:v>1.2591306359334871E-2</c:v>
                </c:pt>
                <c:pt idx="5">
                  <c:v>1.2364196515963223E-2</c:v>
                </c:pt>
                <c:pt idx="6">
                  <c:v>1.2136506121363333E-2</c:v>
                </c:pt>
                <c:pt idx="7">
                  <c:v>1.1908038230293993E-2</c:v>
                </c:pt>
                <c:pt idx="8">
                  <c:v>1.18378423251802E-2</c:v>
                </c:pt>
                <c:pt idx="9">
                  <c:v>1.176593967873937E-2</c:v>
                </c:pt>
                <c:pt idx="10">
                  <c:v>1.1691756418409426E-2</c:v>
                </c:pt>
                <c:pt idx="11">
                  <c:v>1.1614609633629631E-2</c:v>
                </c:pt>
                <c:pt idx="12">
                  <c:v>1.1533767499518595E-2</c:v>
                </c:pt>
                <c:pt idx="13">
                  <c:v>1.1448590687163964E-2</c:v>
                </c:pt>
                <c:pt idx="14">
                  <c:v>1.1358775940058479E-2</c:v>
                </c:pt>
                <c:pt idx="15">
                  <c:v>1.1264668496652053E-2</c:v>
                </c:pt>
                <c:pt idx="16">
                  <c:v>1.1167509297391007E-2</c:v>
                </c:pt>
                <c:pt idx="17">
                  <c:v>1.1069404648160603E-2</c:v>
                </c:pt>
                <c:pt idx="18">
                  <c:v>1.0972887862553292E-2</c:v>
                </c:pt>
                <c:pt idx="19">
                  <c:v>1.0880218348850772E-2</c:v>
                </c:pt>
                <c:pt idx="20">
                  <c:v>1.0792797561845905E-2</c:v>
                </c:pt>
                <c:pt idx="21">
                  <c:v>1.071099711991025E-2</c:v>
                </c:pt>
                <c:pt idx="22">
                  <c:v>1.0634379141483925E-2</c:v>
                </c:pt>
                <c:pt idx="23">
                  <c:v>1.0562075568460595E-2</c:v>
                </c:pt>
                <c:pt idx="24">
                  <c:v>1.0493115595193104E-2</c:v>
                </c:pt>
                <c:pt idx="25">
                  <c:v>1.0426620191849898E-2</c:v>
                </c:pt>
                <c:pt idx="26">
                  <c:v>1.0361879239948839E-2</c:v>
                </c:pt>
                <c:pt idx="27">
                  <c:v>1.0298357587111739E-2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1.0317566302354808E-2</c:v>
                </c:pt>
                <c:pt idx="1">
                  <c:v>1.0144770338613562E-2</c:v>
                </c:pt>
                <c:pt idx="2">
                  <c:v>9.9718453329602323E-3</c:v>
                </c:pt>
                <c:pt idx="3">
                  <c:v>9.7987434034607756E-3</c:v>
                </c:pt>
                <c:pt idx="4">
                  <c:v>9.6253997808250259E-3</c:v>
                </c:pt>
                <c:pt idx="5">
                  <c:v>9.451727547658469E-3</c:v>
                </c:pt>
                <c:pt idx="6">
                  <c:v>9.2776113635526722E-3</c:v>
                </c:pt>
                <c:pt idx="7">
                  <c:v>9.1029006233231766E-3</c:v>
                </c:pt>
                <c:pt idx="8">
                  <c:v>9.0492214017655719E-3</c:v>
                </c:pt>
                <c:pt idx="9">
                  <c:v>8.9942370250755237E-3</c:v>
                </c:pt>
                <c:pt idx="10">
                  <c:v>8.9375086495290974E-3</c:v>
                </c:pt>
                <c:pt idx="11">
                  <c:v>8.8785140494033708E-3</c:v>
                </c:pt>
                <c:pt idx="12">
                  <c:v>8.8166935939066951E-3</c:v>
                </c:pt>
                <c:pt idx="13">
                  <c:v>8.7515583844590371E-3</c:v>
                </c:pt>
                <c:pt idx="14">
                  <c:v>8.6828765190254311E-3</c:v>
                </c:pt>
                <c:pt idx="15">
                  <c:v>8.6109120034793402E-3</c:v>
                </c:pt>
                <c:pt idx="16">
                  <c:v>8.536613792279716E-3</c:v>
                </c:pt>
                <c:pt idx="17">
                  <c:v>8.4615925899270555E-3</c:v>
                </c:pt>
                <c:pt idx="18">
                  <c:v>8.3877856362273451E-3</c:v>
                </c:pt>
                <c:pt idx="19">
                  <c:v>8.3169207139842417E-3</c:v>
                </c:pt>
                <c:pt idx="20">
                  <c:v>8.2500695239216982E-3</c:v>
                </c:pt>
                <c:pt idx="21">
                  <c:v>8.1875162447944318E-3</c:v>
                </c:pt>
                <c:pt idx="22">
                  <c:v>8.1289260259978305E-3</c:v>
                </c:pt>
                <c:pt idx="23">
                  <c:v>8.0736350583917524E-3</c:v>
                </c:pt>
                <c:pt idx="24">
                  <c:v>8.0209009611872037E-3</c:v>
                </c:pt>
                <c:pt idx="25">
                  <c:v>7.9700515351012226E-3</c:v>
                </c:pt>
                <c:pt idx="26">
                  <c:v>7.9205437483533536E-3</c:v>
                </c:pt>
                <c:pt idx="27">
                  <c:v>7.8719683667720398E-3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2.2908180703883885E-2</c:v>
                </c:pt>
                <c:pt idx="1">
                  <c:v>2.2402612441099916E-2</c:v>
                </c:pt>
                <c:pt idx="2">
                  <c:v>2.1895743815636162E-2</c:v>
                </c:pt>
                <c:pt idx="3">
                  <c:v>2.1544004720269367E-2</c:v>
                </c:pt>
                <c:pt idx="4">
                  <c:v>2.1189613960378703E-2</c:v>
                </c:pt>
                <c:pt idx="5">
                  <c:v>2.0831508144045975E-2</c:v>
                </c:pt>
                <c:pt idx="6">
                  <c:v>2.0468219136269367E-2</c:v>
                </c:pt>
                <c:pt idx="7">
                  <c:v>2.0097742733551412E-2</c:v>
                </c:pt>
                <c:pt idx="8">
                  <c:v>2.0089535930507704E-2</c:v>
                </c:pt>
                <c:pt idx="9">
                  <c:v>2.0066334221030623E-2</c:v>
                </c:pt>
                <c:pt idx="10">
                  <c:v>2.0022783888199662E-2</c:v>
                </c:pt>
                <c:pt idx="11">
                  <c:v>1.995234937158101E-2</c:v>
                </c:pt>
                <c:pt idx="12">
                  <c:v>1.9847765133453023E-2</c:v>
                </c:pt>
                <c:pt idx="13">
                  <c:v>1.934646706244756E-2</c:v>
                </c:pt>
                <c:pt idx="14">
                  <c:v>1.8806618156927347E-2</c:v>
                </c:pt>
                <c:pt idx="15">
                  <c:v>1.8231587345629918E-2</c:v>
                </c:pt>
                <c:pt idx="16">
                  <c:v>1.7632287817195745E-2</c:v>
                </c:pt>
                <c:pt idx="17">
                  <c:v>1.7026735195318228E-2</c:v>
                </c:pt>
                <c:pt idx="18">
                  <c:v>1.6459763960556709E-2</c:v>
                </c:pt>
                <c:pt idx="19">
                  <c:v>1.5925843205865854E-2</c:v>
                </c:pt>
                <c:pt idx="20">
                  <c:v>1.543632333112639E-2</c:v>
                </c:pt>
                <c:pt idx="21">
                  <c:v>1.4993948265730911E-2</c:v>
                </c:pt>
                <c:pt idx="22">
                  <c:v>1.4594804265059798E-2</c:v>
                </c:pt>
                <c:pt idx="23">
                  <c:v>1.4281637489688484E-2</c:v>
                </c:pt>
                <c:pt idx="24">
                  <c:v>1.3995826702339717E-2</c:v>
                </c:pt>
                <c:pt idx="25">
                  <c:v>1.3730203090630973E-2</c:v>
                </c:pt>
                <c:pt idx="26">
                  <c:v>1.3478971256299623E-2</c:v>
                </c:pt>
                <c:pt idx="27">
                  <c:v>1.3237758655356561E-2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2.7546698317471741E-2</c:v>
                </c:pt>
                <c:pt idx="1">
                  <c:v>2.6953723609090464E-2</c:v>
                </c:pt>
                <c:pt idx="2">
                  <c:v>2.6359241274784024E-2</c:v>
                </c:pt>
                <c:pt idx="3">
                  <c:v>2.5946749475844154E-2</c:v>
                </c:pt>
                <c:pt idx="4">
                  <c:v>2.5531183294195341E-2</c:v>
                </c:pt>
                <c:pt idx="5">
                  <c:v>2.5111309339746903E-2</c:v>
                </c:pt>
                <c:pt idx="6">
                  <c:v>2.4685424490852502E-2</c:v>
                </c:pt>
                <c:pt idx="7">
                  <c:v>2.4251203277061331E-2</c:v>
                </c:pt>
                <c:pt idx="8">
                  <c:v>2.4242081995333748E-2</c:v>
                </c:pt>
                <c:pt idx="9">
                  <c:v>2.4215573469163205E-2</c:v>
                </c:pt>
                <c:pt idx="10">
                  <c:v>2.4165466523718364E-2</c:v>
                </c:pt>
                <c:pt idx="11">
                  <c:v>2.4084175556206774E-2</c:v>
                </c:pt>
                <c:pt idx="12">
                  <c:v>2.3963261608098411E-2</c:v>
                </c:pt>
                <c:pt idx="13">
                  <c:v>2.3377319572585178E-2</c:v>
                </c:pt>
                <c:pt idx="14">
                  <c:v>2.2746555022425768E-2</c:v>
                </c:pt>
                <c:pt idx="15">
                  <c:v>2.2074825349875649E-2</c:v>
                </c:pt>
                <c:pt idx="16">
                  <c:v>2.1374749459763524E-2</c:v>
                </c:pt>
                <c:pt idx="17">
                  <c:v>2.0667218786644986E-2</c:v>
                </c:pt>
                <c:pt idx="18">
                  <c:v>2.0004628971211313E-2</c:v>
                </c:pt>
                <c:pt idx="19">
                  <c:v>1.9380301915136091E-2</c:v>
                </c:pt>
                <c:pt idx="20">
                  <c:v>1.8807493869985578E-2</c:v>
                </c:pt>
                <c:pt idx="21">
                  <c:v>1.8289456455045743E-2</c:v>
                </c:pt>
                <c:pt idx="22">
                  <c:v>1.7821684049501921E-2</c:v>
                </c:pt>
                <c:pt idx="23">
                  <c:v>1.7454541414849326E-2</c:v>
                </c:pt>
                <c:pt idx="24">
                  <c:v>1.7119240046434125E-2</c:v>
                </c:pt>
                <c:pt idx="25">
                  <c:v>1.6807442909438641E-2</c:v>
                </c:pt>
                <c:pt idx="26">
                  <c:v>1.6512406230386273E-2</c:v>
                </c:pt>
                <c:pt idx="27">
                  <c:v>1.6229039938022057E-2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2.9458766332593509E-2</c:v>
                </c:pt>
                <c:pt idx="1">
                  <c:v>2.8808656573610286E-2</c:v>
                </c:pt>
                <c:pt idx="2">
                  <c:v>2.8156910278535313E-2</c:v>
                </c:pt>
                <c:pt idx="3">
                  <c:v>2.7704726922098147E-2</c:v>
                </c:pt>
                <c:pt idx="4">
                  <c:v>2.7249206247691865E-2</c:v>
                </c:pt>
                <c:pt idx="5">
                  <c:v>2.6789009394036355E-2</c:v>
                </c:pt>
                <c:pt idx="6">
                  <c:v>2.6322287570912165E-2</c:v>
                </c:pt>
                <c:pt idx="7">
                  <c:v>2.5846516332771546E-2</c:v>
                </c:pt>
                <c:pt idx="8">
                  <c:v>2.5836979762159894E-2</c:v>
                </c:pt>
                <c:pt idx="9">
                  <c:v>2.5808565353944712E-2</c:v>
                </c:pt>
                <c:pt idx="10">
                  <c:v>2.5754527396245931E-2</c:v>
                </c:pt>
                <c:pt idx="11">
                  <c:v>2.5666625479707848E-2</c:v>
                </c:pt>
                <c:pt idx="12">
                  <c:v>2.5535688528209609E-2</c:v>
                </c:pt>
                <c:pt idx="13">
                  <c:v>2.4895255635632343E-2</c:v>
                </c:pt>
                <c:pt idx="14">
                  <c:v>2.4206117934467409E-2</c:v>
                </c:pt>
                <c:pt idx="15">
                  <c:v>2.3472443894802804E-2</c:v>
                </c:pt>
                <c:pt idx="16">
                  <c:v>2.2707919728993105E-2</c:v>
                </c:pt>
                <c:pt idx="17">
                  <c:v>2.1935229211187113E-2</c:v>
                </c:pt>
                <c:pt idx="18">
                  <c:v>2.12116015788174E-2</c:v>
                </c:pt>
                <c:pt idx="19">
                  <c:v>2.0529506510428099E-2</c:v>
                </c:pt>
                <c:pt idx="20">
                  <c:v>1.9903378892845561E-2</c:v>
                </c:pt>
                <c:pt idx="21">
                  <c:v>1.933677872579511E-2</c:v>
                </c:pt>
                <c:pt idx="22">
                  <c:v>1.8824825787632726E-2</c:v>
                </c:pt>
                <c:pt idx="23">
                  <c:v>1.842289897990608E-2</c:v>
                </c:pt>
                <c:pt idx="24">
                  <c:v>1.8055600964439283E-2</c:v>
                </c:pt>
                <c:pt idx="25">
                  <c:v>1.7713867339529454E-2</c:v>
                </c:pt>
                <c:pt idx="26">
                  <c:v>1.739036438160825E-2</c:v>
                </c:pt>
                <c:pt idx="27">
                  <c:v>1.7079556011347096E-2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2.2902658139478661E-2</c:v>
                </c:pt>
                <c:pt idx="1">
                  <c:v>2.2397089958601187E-2</c:v>
                </c:pt>
                <c:pt idx="2">
                  <c:v>2.189022145037875E-2</c:v>
                </c:pt>
                <c:pt idx="3">
                  <c:v>2.1538482522721579E-2</c:v>
                </c:pt>
                <c:pt idx="4">
                  <c:v>2.1184092002499801E-2</c:v>
                </c:pt>
                <c:pt idx="5">
                  <c:v>2.0825986528175085E-2</c:v>
                </c:pt>
                <c:pt idx="6">
                  <c:v>2.0462698007397667E-2</c:v>
                </c:pt>
                <c:pt idx="7">
                  <c:v>2.0092222295938704E-2</c:v>
                </c:pt>
                <c:pt idx="8">
                  <c:v>2.0084016469502933E-2</c:v>
                </c:pt>
                <c:pt idx="9">
                  <c:v>2.0060816130335841E-2</c:v>
                </c:pt>
                <c:pt idx="10">
                  <c:v>2.0017267701124053E-2</c:v>
                </c:pt>
                <c:pt idx="11">
                  <c:v>1.9946835791258326E-2</c:v>
                </c:pt>
                <c:pt idx="12">
                  <c:v>1.9842255050805453E-2</c:v>
                </c:pt>
                <c:pt idx="13">
                  <c:v>1.9340961542415498E-2</c:v>
                </c:pt>
                <c:pt idx="14">
                  <c:v>1.8801118367443869E-2</c:v>
                </c:pt>
                <c:pt idx="15">
                  <c:v>1.8226094410234879E-2</c:v>
                </c:pt>
                <c:pt idx="16">
                  <c:v>1.7626802602932656E-2</c:v>
                </c:pt>
                <c:pt idx="17">
                  <c:v>1.7021258098687115E-2</c:v>
                </c:pt>
                <c:pt idx="18">
                  <c:v>1.6454294788590222E-2</c:v>
                </c:pt>
                <c:pt idx="19">
                  <c:v>1.5920381219453311E-2</c:v>
                </c:pt>
                <c:pt idx="20">
                  <c:v>1.5430867430229648E-2</c:v>
                </c:pt>
                <c:pt idx="21">
                  <c:v>1.4988497224275128E-2</c:v>
                </c:pt>
                <c:pt idx="22">
                  <c:v>1.4589356923249312E-2</c:v>
                </c:pt>
                <c:pt idx="23">
                  <c:v>1.4276192862832817E-2</c:v>
                </c:pt>
                <c:pt idx="24">
                  <c:v>1.3990384014262837E-2</c:v>
                </c:pt>
                <c:pt idx="25">
                  <c:v>1.3724761760173447E-2</c:v>
                </c:pt>
                <c:pt idx="26">
                  <c:v>1.3473530863473762E-2</c:v>
                </c:pt>
                <c:pt idx="27">
                  <c:v>1.3232318903932011E-2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2.0758202356560212E-2</c:v>
                </c:pt>
                <c:pt idx="1">
                  <c:v>2.0396638383853281E-2</c:v>
                </c:pt>
                <c:pt idx="2">
                  <c:v>2.0033844291116279E-2</c:v>
                </c:pt>
                <c:pt idx="3">
                  <c:v>1.9799166636329378E-2</c:v>
                </c:pt>
                <c:pt idx="4">
                  <c:v>1.9561968618954654E-2</c:v>
                </c:pt>
                <c:pt idx="5">
                  <c:v>1.9321220678771733E-2</c:v>
                </c:pt>
                <c:pt idx="6">
                  <c:v>1.9075492366451549E-2</c:v>
                </c:pt>
                <c:pt idx="7">
                  <c:v>1.8822817413035674E-2</c:v>
                </c:pt>
                <c:pt idx="8">
                  <c:v>1.8961623659804503E-2</c:v>
                </c:pt>
                <c:pt idx="9">
                  <c:v>1.9085692359326004E-2</c:v>
                </c:pt>
                <c:pt idx="10">
                  <c:v>1.9189617136163677E-2</c:v>
                </c:pt>
                <c:pt idx="11">
                  <c:v>1.9266716721993031E-2</c:v>
                </c:pt>
                <c:pt idx="12">
                  <c:v>1.9309431790415589E-2</c:v>
                </c:pt>
                <c:pt idx="13">
                  <c:v>1.8874628639557002E-2</c:v>
                </c:pt>
                <c:pt idx="14">
                  <c:v>1.8400820363906563E-2</c:v>
                </c:pt>
                <c:pt idx="15">
                  <c:v>1.7890781342926411E-2</c:v>
                </c:pt>
                <c:pt idx="16">
                  <c:v>1.7354762820518378E-2</c:v>
                </c:pt>
                <c:pt idx="17">
                  <c:v>1.6810247751507277E-2</c:v>
                </c:pt>
                <c:pt idx="18">
                  <c:v>1.629985720655195E-2</c:v>
                </c:pt>
                <c:pt idx="19">
                  <c:v>1.5820359881500469E-2</c:v>
                </c:pt>
                <c:pt idx="20">
                  <c:v>1.5383596948491573E-2</c:v>
                </c:pt>
                <c:pt idx="21">
                  <c:v>1.4992896826073883E-2</c:v>
                </c:pt>
                <c:pt idx="22">
                  <c:v>1.4644855803280529E-2</c:v>
                </c:pt>
                <c:pt idx="23">
                  <c:v>1.4343314004156246E-2</c:v>
                </c:pt>
                <c:pt idx="24">
                  <c:v>1.4069408409792124E-2</c:v>
                </c:pt>
                <c:pt idx="25">
                  <c:v>1.3815950377527314E-2</c:v>
                </c:pt>
                <c:pt idx="26">
                  <c:v>1.3577102668787758E-2</c:v>
                </c:pt>
                <c:pt idx="27">
                  <c:v>1.3348446874230126E-2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2.5070994787644955E-2</c:v>
                </c:pt>
                <c:pt idx="1">
                  <c:v>2.4645938977397717E-2</c:v>
                </c:pt>
                <c:pt idx="2">
                  <c:v>2.4219445091439716E-2</c:v>
                </c:pt>
                <c:pt idx="3">
                  <c:v>2.3943584965240409E-2</c:v>
                </c:pt>
                <c:pt idx="4">
                  <c:v>2.3664778413764007E-2</c:v>
                </c:pt>
                <c:pt idx="5">
                  <c:v>2.3381821640594474E-2</c:v>
                </c:pt>
                <c:pt idx="6">
                  <c:v>2.3093041997924797E-2</c:v>
                </c:pt>
                <c:pt idx="7">
                  <c:v>2.27961400922983E-2</c:v>
                </c:pt>
                <c:pt idx="8">
                  <c:v>2.2959568137780589E-2</c:v>
                </c:pt>
                <c:pt idx="9">
                  <c:v>2.3105768407518597E-2</c:v>
                </c:pt>
                <c:pt idx="10">
                  <c:v>2.3228419855714867E-2</c:v>
                </c:pt>
                <c:pt idx="11">
                  <c:v>2.3319709455922558E-2</c:v>
                </c:pt>
                <c:pt idx="12">
                  <c:v>2.3370794728641522E-2</c:v>
                </c:pt>
                <c:pt idx="13">
                  <c:v>2.2860623031958675E-2</c:v>
                </c:pt>
                <c:pt idx="14">
                  <c:v>2.2304794457665287E-2</c:v>
                </c:pt>
                <c:pt idx="15">
                  <c:v>2.170652761200732E-2</c:v>
                </c:pt>
                <c:pt idx="16">
                  <c:v>2.1077787997468574E-2</c:v>
                </c:pt>
                <c:pt idx="17">
                  <c:v>2.0439013208642252E-2</c:v>
                </c:pt>
                <c:pt idx="18">
                  <c:v>1.9840214053191405E-2</c:v>
                </c:pt>
                <c:pt idx="19">
                  <c:v>1.9277497449817594E-2</c:v>
                </c:pt>
                <c:pt idx="20">
                  <c:v>1.8764753697531715E-2</c:v>
                </c:pt>
                <c:pt idx="21">
                  <c:v>1.8305909424916993E-2</c:v>
                </c:pt>
                <c:pt idx="22">
                  <c:v>1.7897002615228821E-2</c:v>
                </c:pt>
                <c:pt idx="23">
                  <c:v>1.754260887137353E-2</c:v>
                </c:pt>
                <c:pt idx="24">
                  <c:v>1.722058310007497E-2</c:v>
                </c:pt>
                <c:pt idx="25">
                  <c:v>1.6922509569606999E-2</c:v>
                </c:pt>
                <c:pt idx="26">
                  <c:v>1.6641552568467853E-2</c:v>
                </c:pt>
                <c:pt idx="27">
                  <c:v>1.637253687147959E-2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2.6785842871702544E-2</c:v>
                </c:pt>
                <c:pt idx="1">
                  <c:v>2.6319280497586708E-2</c:v>
                </c:pt>
                <c:pt idx="2">
                  <c:v>2.585114723916657E-2</c:v>
                </c:pt>
                <c:pt idx="3">
                  <c:v>2.5548375121913866E-2</c:v>
                </c:pt>
                <c:pt idx="4">
                  <c:v>2.5242384441212663E-2</c:v>
                </c:pt>
                <c:pt idx="5">
                  <c:v>2.4931860197567671E-2</c:v>
                </c:pt>
                <c:pt idx="6">
                  <c:v>2.4614975203468996E-2</c:v>
                </c:pt>
                <c:pt idx="7">
                  <c:v>2.4289217565173014E-2</c:v>
                </c:pt>
                <c:pt idx="8">
                  <c:v>2.4468831936103375E-2</c:v>
                </c:pt>
                <c:pt idx="9">
                  <c:v>2.4629625599662232E-2</c:v>
                </c:pt>
                <c:pt idx="10">
                  <c:v>2.4764692008834494E-2</c:v>
                </c:pt>
                <c:pt idx="11">
                  <c:v>2.4865493446802132E-2</c:v>
                </c:pt>
                <c:pt idx="12">
                  <c:v>2.4922365439705968E-2</c:v>
                </c:pt>
                <c:pt idx="13">
                  <c:v>2.4363324210790044E-2</c:v>
                </c:pt>
                <c:pt idx="14">
                  <c:v>2.3754382507319025E-2</c:v>
                </c:pt>
                <c:pt idx="15">
                  <c:v>2.3099045866402497E-2</c:v>
                </c:pt>
                <c:pt idx="16">
                  <c:v>2.2410378023077278E-2</c:v>
                </c:pt>
                <c:pt idx="17">
                  <c:v>2.1710706315405962E-2</c:v>
                </c:pt>
                <c:pt idx="18">
                  <c:v>2.105482003320985E-2</c:v>
                </c:pt>
                <c:pt idx="19">
                  <c:v>2.0438343621984677E-2</c:v>
                </c:pt>
                <c:pt idx="20">
                  <c:v>1.9876473938301872E-2</c:v>
                </c:pt>
                <c:pt idx="21">
                  <c:v>1.9373516770179608E-2</c:v>
                </c:pt>
                <c:pt idx="22">
                  <c:v>1.8925150673578632E-2</c:v>
                </c:pt>
                <c:pt idx="23">
                  <c:v>1.8536447826130134E-2</c:v>
                </c:pt>
                <c:pt idx="24">
                  <c:v>1.8183136026524112E-2</c:v>
                </c:pt>
                <c:pt idx="25">
                  <c:v>1.7856014936932632E-2</c:v>
                </c:pt>
                <c:pt idx="26">
                  <c:v>1.7547610680854659E-2</c:v>
                </c:pt>
                <c:pt idx="27">
                  <c:v>1.7252264483677938E-2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2.0752764032990718E-2</c:v>
                </c:pt>
                <c:pt idx="1">
                  <c:v>2.0391200099478195E-2</c:v>
                </c:pt>
                <c:pt idx="2">
                  <c:v>2.0028406062845696E-2</c:v>
                </c:pt>
                <c:pt idx="3">
                  <c:v>1.9793728488317369E-2</c:v>
                </c:pt>
                <c:pt idx="4">
                  <c:v>1.9556530585643946E-2</c:v>
                </c:pt>
                <c:pt idx="5">
                  <c:v>1.9315782809152561E-2</c:v>
                </c:pt>
                <c:pt idx="6">
                  <c:v>1.907005472994492E-2</c:v>
                </c:pt>
                <c:pt idx="7">
                  <c:v>1.8817380107466225E-2</c:v>
                </c:pt>
                <c:pt idx="8">
                  <c:v>1.8956186821884515E-2</c:v>
                </c:pt>
                <c:pt idx="9">
                  <c:v>1.9080256177782924E-2</c:v>
                </c:pt>
                <c:pt idx="10">
                  <c:v>1.9184181866845416E-2</c:v>
                </c:pt>
                <c:pt idx="11">
                  <c:v>1.9261282702587999E-2</c:v>
                </c:pt>
                <c:pt idx="12">
                  <c:v>1.9303999449462844E-2</c:v>
                </c:pt>
                <c:pt idx="13">
                  <c:v>1.8869198490425669E-2</c:v>
                </c:pt>
                <c:pt idx="14">
                  <c:v>1.8395392971399145E-2</c:v>
                </c:pt>
                <c:pt idx="15">
                  <c:v>1.788535725299599E-2</c:v>
                </c:pt>
                <c:pt idx="16">
                  <c:v>1.7349342458117416E-2</c:v>
                </c:pt>
                <c:pt idx="17">
                  <c:v>1.6804831316277018E-2</c:v>
                </c:pt>
                <c:pt idx="18">
                  <c:v>1.6294444613294427E-2</c:v>
                </c:pt>
                <c:pt idx="19">
                  <c:v>1.5814950778873307E-2</c:v>
                </c:pt>
                <c:pt idx="20">
                  <c:v>1.5378190807325396E-2</c:v>
                </c:pt>
                <c:pt idx="21">
                  <c:v>1.4987493053151233E-2</c:v>
                </c:pt>
                <c:pt idx="22">
                  <c:v>1.4639453835428685E-2</c:v>
                </c:pt>
                <c:pt idx="23">
                  <c:v>1.4337913362071558E-2</c:v>
                </c:pt>
                <c:pt idx="24">
                  <c:v>1.4064008715038535E-2</c:v>
                </c:pt>
                <c:pt idx="25">
                  <c:v>1.3810551346428272E-2</c:v>
                </c:pt>
                <c:pt idx="26">
                  <c:v>1.3571704096177801E-2</c:v>
                </c:pt>
                <c:pt idx="27">
                  <c:v>1.3343048615322588E-2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3.9483224205403566E-2</c:v>
                </c:pt>
                <c:pt idx="1">
                  <c:v>3.7967881175389219E-2</c:v>
                </c:pt>
                <c:pt idx="2">
                  <c:v>3.6451578069641499E-2</c:v>
                </c:pt>
                <c:pt idx="3">
                  <c:v>3.5089984836856145E-2</c:v>
                </c:pt>
                <c:pt idx="4">
                  <c:v>3.3726558544102017E-2</c:v>
                </c:pt>
                <c:pt idx="5">
                  <c:v>3.2360644285431658E-2</c:v>
                </c:pt>
                <c:pt idx="6">
                  <c:v>3.0991375238960926E-2</c:v>
                </c:pt>
                <c:pt idx="7">
                  <c:v>2.9617623006594405E-2</c:v>
                </c:pt>
                <c:pt idx="8">
                  <c:v>2.899903372813958E-2</c:v>
                </c:pt>
                <c:pt idx="9">
                  <c:v>2.8371009462817457E-2</c:v>
                </c:pt>
                <c:pt idx="10">
                  <c:v>2.7730499549642972E-2</c:v>
                </c:pt>
                <c:pt idx="11">
                  <c:v>2.7073941845428998E-2</c:v>
                </c:pt>
                <c:pt idx="12">
                  <c:v>2.6397629783490851E-2</c:v>
                </c:pt>
                <c:pt idx="13">
                  <c:v>2.5531678921538389E-2</c:v>
                </c:pt>
                <c:pt idx="14">
                  <c:v>2.4643533791320921E-2</c:v>
                </c:pt>
                <c:pt idx="15">
                  <c:v>2.3736284279681628E-2</c:v>
                </c:pt>
                <c:pt idx="16">
                  <c:v>2.2817717580517295E-2</c:v>
                </c:pt>
                <c:pt idx="17">
                  <c:v>2.1899780151891556E-2</c:v>
                </c:pt>
                <c:pt idx="18">
                  <c:v>2.1229684502347794E-2</c:v>
                </c:pt>
                <c:pt idx="19">
                  <c:v>2.0581829589586896E-2</c:v>
                </c:pt>
                <c:pt idx="20">
                  <c:v>1.9963031255024924E-2</c:v>
                </c:pt>
                <c:pt idx="21">
                  <c:v>1.9374652373405209E-2</c:v>
                </c:pt>
                <c:pt idx="22">
                  <c:v>1.8813899659393344E-2</c:v>
                </c:pt>
                <c:pt idx="23">
                  <c:v>1.8424315939462619E-2</c:v>
                </c:pt>
                <c:pt idx="24">
                  <c:v>1.8051625800543834E-2</c:v>
                </c:pt>
                <c:pt idx="25">
                  <c:v>1.7691370063064069E-2</c:v>
                </c:pt>
                <c:pt idx="26">
                  <c:v>1.7339954008143185E-2</c:v>
                </c:pt>
                <c:pt idx="27">
                  <c:v>1.699467323046517E-2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4.727519526221427E-2</c:v>
                </c:pt>
                <c:pt idx="1">
                  <c:v>4.5485695715518734E-2</c:v>
                </c:pt>
                <c:pt idx="2">
                  <c:v>4.3695062395772692E-2</c:v>
                </c:pt>
                <c:pt idx="3">
                  <c:v>4.2087129126148558E-2</c:v>
                </c:pt>
                <c:pt idx="4">
                  <c:v>4.0477031158552931E-2</c:v>
                </c:pt>
                <c:pt idx="5">
                  <c:v>3.8863995101170973E-2</c:v>
                </c:pt>
                <c:pt idx="6">
                  <c:v>3.7246997306328154E-2</c:v>
                </c:pt>
                <c:pt idx="7">
                  <c:v>3.5624705225657409E-2</c:v>
                </c:pt>
                <c:pt idx="8">
                  <c:v>3.4894200507280121E-2</c:v>
                </c:pt>
                <c:pt idx="9">
                  <c:v>3.415255382012896E-2</c:v>
                </c:pt>
                <c:pt idx="10">
                  <c:v>3.3396162576313428E-2</c:v>
                </c:pt>
                <c:pt idx="11">
                  <c:v>3.2620820168159648E-2</c:v>
                </c:pt>
                <c:pt idx="12">
                  <c:v>3.1822149435334485E-2</c:v>
                </c:pt>
                <c:pt idx="13">
                  <c:v>3.0799530368739465E-2</c:v>
                </c:pt>
                <c:pt idx="14">
                  <c:v>2.9750701637261449E-2</c:v>
                </c:pt>
                <c:pt idx="15">
                  <c:v>2.8679312151408259E-2</c:v>
                </c:pt>
                <c:pt idx="16">
                  <c:v>2.7594557967566054E-2</c:v>
                </c:pt>
                <c:pt idx="17">
                  <c:v>2.6510546902160557E-2</c:v>
                </c:pt>
                <c:pt idx="18">
                  <c:v>2.5719217257750039E-2</c:v>
                </c:pt>
                <c:pt idx="19">
                  <c:v>2.4954152153844729E-2</c:v>
                </c:pt>
                <c:pt idx="20">
                  <c:v>2.4223400556838914E-2</c:v>
                </c:pt>
                <c:pt idx="21">
                  <c:v>2.3528571913364216E-2</c:v>
                </c:pt>
                <c:pt idx="22">
                  <c:v>2.2866367575694865E-2</c:v>
                </c:pt>
                <c:pt idx="23">
                  <c:v>2.2406300200580861E-2</c:v>
                </c:pt>
                <c:pt idx="24">
                  <c:v>2.1966182800465354E-2</c:v>
                </c:pt>
                <c:pt idx="25">
                  <c:v>2.1540749439077599E-2</c:v>
                </c:pt>
                <c:pt idx="26">
                  <c:v>2.112575503944223E-2</c:v>
                </c:pt>
                <c:pt idx="27">
                  <c:v>2.0718005914063236E-2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5.1294447763546691E-2</c:v>
                </c:pt>
                <c:pt idx="1">
                  <c:v>4.9325692032867283E-2</c:v>
                </c:pt>
                <c:pt idx="2">
                  <c:v>4.7355688957814668E-2</c:v>
                </c:pt>
                <c:pt idx="3">
                  <c:v>4.5586687202565167E-2</c:v>
                </c:pt>
                <c:pt idx="4">
                  <c:v>4.3815303909111633E-2</c:v>
                </c:pt>
                <c:pt idx="5">
                  <c:v>4.2040688214110541E-2</c:v>
                </c:pt>
                <c:pt idx="6">
                  <c:v>4.026171392994754E-2</c:v>
                </c:pt>
                <c:pt idx="7">
                  <c:v>3.8476915025385562E-2</c:v>
                </c:pt>
                <c:pt idx="8">
                  <c:v>3.7673234827058963E-2</c:v>
                </c:pt>
                <c:pt idx="9">
                  <c:v>3.6857296556404198E-2</c:v>
                </c:pt>
                <c:pt idx="10">
                  <c:v>3.6025136750246448E-2</c:v>
                </c:pt>
                <c:pt idx="11">
                  <c:v>3.5172127420285873E-2</c:v>
                </c:pt>
                <c:pt idx="12">
                  <c:v>3.4293452941111524E-2</c:v>
                </c:pt>
                <c:pt idx="13">
                  <c:v>3.3168396971480982E-2</c:v>
                </c:pt>
                <c:pt idx="14">
                  <c:v>3.2014505885332598E-2</c:v>
                </c:pt>
                <c:pt idx="15">
                  <c:v>3.0835794108647251E-2</c:v>
                </c:pt>
                <c:pt idx="16">
                  <c:v>2.9642378877131045E-2</c:v>
                </c:pt>
                <c:pt idx="17">
                  <c:v>2.8449781203061866E-2</c:v>
                </c:pt>
                <c:pt idx="18">
                  <c:v>2.7579183177392309E-2</c:v>
                </c:pt>
                <c:pt idx="19">
                  <c:v>2.6737480640815658E-2</c:v>
                </c:pt>
                <c:pt idx="20">
                  <c:v>2.5933528833750406E-2</c:v>
                </c:pt>
                <c:pt idx="21">
                  <c:v>2.5169098422908986E-2</c:v>
                </c:pt>
                <c:pt idx="22">
                  <c:v>2.4440560331309737E-2</c:v>
                </c:pt>
                <c:pt idx="23">
                  <c:v>2.3934407489345128E-2</c:v>
                </c:pt>
                <c:pt idx="24">
                  <c:v>2.3450203033831774E-2</c:v>
                </c:pt>
                <c:pt idx="25">
                  <c:v>2.298215353373494E-2</c:v>
                </c:pt>
                <c:pt idx="26">
                  <c:v>2.2525588677940096E-2</c:v>
                </c:pt>
                <c:pt idx="27">
                  <c:v>2.20769948636797E-2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3.947794392793505E-2</c:v>
                </c:pt>
                <c:pt idx="1">
                  <c:v>3.7962600897920709E-2</c:v>
                </c:pt>
                <c:pt idx="2">
                  <c:v>3.6446297792172982E-2</c:v>
                </c:pt>
                <c:pt idx="3">
                  <c:v>3.5084704559387621E-2</c:v>
                </c:pt>
                <c:pt idx="4">
                  <c:v>3.37212782666335E-2</c:v>
                </c:pt>
                <c:pt idx="5">
                  <c:v>3.2355364007963142E-2</c:v>
                </c:pt>
                <c:pt idx="6">
                  <c:v>3.0986094961492412E-2</c:v>
                </c:pt>
                <c:pt idx="7">
                  <c:v>2.9612342729125888E-2</c:v>
                </c:pt>
                <c:pt idx="8">
                  <c:v>2.899375345067106E-2</c:v>
                </c:pt>
                <c:pt idx="9">
                  <c:v>2.8365729185348944E-2</c:v>
                </c:pt>
                <c:pt idx="10">
                  <c:v>2.7725219272174455E-2</c:v>
                </c:pt>
                <c:pt idx="11">
                  <c:v>2.7068661567960485E-2</c:v>
                </c:pt>
                <c:pt idx="12">
                  <c:v>2.6392349506022334E-2</c:v>
                </c:pt>
                <c:pt idx="13">
                  <c:v>2.552639864406988E-2</c:v>
                </c:pt>
                <c:pt idx="14">
                  <c:v>2.4638253513852414E-2</c:v>
                </c:pt>
                <c:pt idx="15">
                  <c:v>2.3731004002213112E-2</c:v>
                </c:pt>
                <c:pt idx="16">
                  <c:v>2.2812437303048778E-2</c:v>
                </c:pt>
                <c:pt idx="17">
                  <c:v>2.1894499874423039E-2</c:v>
                </c:pt>
                <c:pt idx="18">
                  <c:v>2.1224404224879277E-2</c:v>
                </c:pt>
                <c:pt idx="19">
                  <c:v>2.0576549312118379E-2</c:v>
                </c:pt>
                <c:pt idx="20">
                  <c:v>1.99577509775564E-2</c:v>
                </c:pt>
                <c:pt idx="21">
                  <c:v>1.9369372095936688E-2</c:v>
                </c:pt>
                <c:pt idx="22">
                  <c:v>1.8808619381924827E-2</c:v>
                </c:pt>
                <c:pt idx="23">
                  <c:v>1.8419035661994102E-2</c:v>
                </c:pt>
                <c:pt idx="24">
                  <c:v>1.8046345523075318E-2</c:v>
                </c:pt>
                <c:pt idx="25">
                  <c:v>1.7686089785595552E-2</c:v>
                </c:pt>
                <c:pt idx="26">
                  <c:v>1.7334673730674672E-2</c:v>
                </c:pt>
                <c:pt idx="27">
                  <c:v>1.6989392952996653E-2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6.723447093602411E-3</c:v>
                </c:pt>
                <c:pt idx="1">
                  <c:v>6.6460274963496546E-3</c:v>
                </c:pt>
                <c:pt idx="2">
                  <c:v>6.5685672629326409E-3</c:v>
                </c:pt>
                <c:pt idx="3">
                  <c:v>6.4910523030152151E-3</c:v>
                </c:pt>
                <c:pt idx="4">
                  <c:v>6.4134640570208149E-3</c:v>
                </c:pt>
                <c:pt idx="5">
                  <c:v>6.3357783759992233E-3</c:v>
                </c:pt>
                <c:pt idx="6">
                  <c:v>6.2579643671701549E-3</c:v>
                </c:pt>
                <c:pt idx="7">
                  <c:v>6.1799834639484725E-3</c:v>
                </c:pt>
                <c:pt idx="8">
                  <c:v>6.1563968084015971E-3</c:v>
                </c:pt>
                <c:pt idx="9">
                  <c:v>6.1324174663546461E-3</c:v>
                </c:pt>
                <c:pt idx="10">
                  <c:v>6.1079173282897149E-3</c:v>
                </c:pt>
                <c:pt idx="11">
                  <c:v>6.0827461416992253E-3</c:v>
                </c:pt>
                <c:pt idx="12">
                  <c:v>6.0567464632568357E-3</c:v>
                </c:pt>
                <c:pt idx="13">
                  <c:v>6.0297869934913617E-3</c:v>
                </c:pt>
                <c:pt idx="14">
                  <c:v>6.0018182442824804E-3</c:v>
                </c:pt>
                <c:pt idx="15">
                  <c:v>5.9729417689717403E-3</c:v>
                </c:pt>
                <c:pt idx="16">
                  <c:v>5.9434615924388434E-3</c:v>
                </c:pt>
                <c:pt idx="17">
                  <c:v>5.9138703890096655E-3</c:v>
                </c:pt>
                <c:pt idx="18">
                  <c:v>5.8847440253376182E-3</c:v>
                </c:pt>
                <c:pt idx="19">
                  <c:v>5.8565814331507345E-3</c:v>
                </c:pt>
                <c:pt idx="20">
                  <c:v>5.8296769504427391E-3</c:v>
                </c:pt>
                <c:pt idx="21">
                  <c:v>5.8040890142721131E-3</c:v>
                </c:pt>
                <c:pt idx="22">
                  <c:v>5.7796963743175968E-3</c:v>
                </c:pt>
                <c:pt idx="23">
                  <c:v>5.7562868497919324E-3</c:v>
                </c:pt>
                <c:pt idx="24">
                  <c:v>5.7336313647403953E-3</c:v>
                </c:pt>
                <c:pt idx="25">
                  <c:v>5.7115264520028446E-3</c:v>
                </c:pt>
                <c:pt idx="26">
                  <c:v>5.6898099666033309E-3</c:v>
                </c:pt>
                <c:pt idx="27">
                  <c:v>5.6683610640826379E-3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8.6066774264767394E-3</c:v>
                </c:pt>
                <c:pt idx="1">
                  <c:v>8.5148541832234682E-3</c:v>
                </c:pt>
                <c:pt idx="2">
                  <c:v>8.4229827435893349E-3</c:v>
                </c:pt>
                <c:pt idx="3">
                  <c:v>8.3310463957802974E-3</c:v>
                </c:pt>
                <c:pt idx="4">
                  <c:v>8.2390231272753099E-3</c:v>
                </c:pt>
                <c:pt idx="5">
                  <c:v>8.1468842962962133E-3</c:v>
                </c:pt>
                <c:pt idx="6">
                  <c:v>8.0545932625687121E-3</c:v>
                </c:pt>
                <c:pt idx="7">
                  <c:v>7.962104284329044E-3</c:v>
                </c:pt>
                <c:pt idx="8">
                  <c:v>7.9341294137967033E-3</c:v>
                </c:pt>
                <c:pt idx="9">
                  <c:v>7.9056887988107841E-3</c:v>
                </c:pt>
                <c:pt idx="10">
                  <c:v>7.8766304955244712E-3</c:v>
                </c:pt>
                <c:pt idx="11">
                  <c:v>7.8467762974752837E-3</c:v>
                </c:pt>
                <c:pt idx="12">
                  <c:v>7.8159394695552428E-3</c:v>
                </c:pt>
                <c:pt idx="13">
                  <c:v>7.7839642844845626E-3</c:v>
                </c:pt>
                <c:pt idx="14">
                  <c:v>7.7507920470507741E-3</c:v>
                </c:pt>
                <c:pt idx="15">
                  <c:v>7.7165432042403601E-3</c:v>
                </c:pt>
                <c:pt idx="16">
                  <c:v>7.681578343701344E-3</c:v>
                </c:pt>
                <c:pt idx="17">
                  <c:v>7.6464818000992951E-3</c:v>
                </c:pt>
                <c:pt idx="18">
                  <c:v>7.6119365780696578E-3</c:v>
                </c:pt>
                <c:pt idx="19">
                  <c:v>7.578534433848004E-3</c:v>
                </c:pt>
                <c:pt idx="20">
                  <c:v>7.5466244659850336E-3</c:v>
                </c:pt>
                <c:pt idx="21">
                  <c:v>7.5162759835501062E-3</c:v>
                </c:pt>
                <c:pt idx="22">
                  <c:v>7.4873451780226551E-3</c:v>
                </c:pt>
                <c:pt idx="23">
                  <c:v>7.4595803931201236E-3</c:v>
                </c:pt>
                <c:pt idx="24">
                  <c:v>7.43270993410551E-3</c:v>
                </c:pt>
                <c:pt idx="25">
                  <c:v>7.406492479463297E-3</c:v>
                </c:pt>
                <c:pt idx="26">
                  <c:v>7.3807357177103862E-3</c:v>
                </c:pt>
                <c:pt idx="27">
                  <c:v>7.3552963216974732E-3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8.7897304253544608E-3</c:v>
                </c:pt>
                <c:pt idx="1">
                  <c:v>8.688489413562395E-3</c:v>
                </c:pt>
                <c:pt idx="2">
                  <c:v>8.5871952621709158E-3</c:v>
                </c:pt>
                <c:pt idx="3">
                  <c:v>8.4858295453558198E-3</c:v>
                </c:pt>
                <c:pt idx="4">
                  <c:v>8.3843679929016032E-3</c:v>
                </c:pt>
                <c:pt idx="5">
                  <c:v>8.2827790254118312E-3</c:v>
                </c:pt>
                <c:pt idx="6">
                  <c:v>8.1810222446353567E-3</c:v>
                </c:pt>
                <c:pt idx="7">
                  <c:v>8.0790472173454669E-3</c:v>
                </c:pt>
                <c:pt idx="8">
                  <c:v>8.0482031293226276E-3</c:v>
                </c:pt>
                <c:pt idx="9">
                  <c:v>8.0168455281843087E-3</c:v>
                </c:pt>
                <c:pt idx="10">
                  <c:v>7.9848068860993958E-3</c:v>
                </c:pt>
                <c:pt idx="11">
                  <c:v>7.9518907190195276E-3</c:v>
                </c:pt>
                <c:pt idx="12">
                  <c:v>7.9178911395179387E-3</c:v>
                </c:pt>
                <c:pt idx="13">
                  <c:v>7.8826364482861653E-3</c:v>
                </c:pt>
                <c:pt idx="14">
                  <c:v>7.8460619300899353E-3</c:v>
                </c:pt>
                <c:pt idx="15">
                  <c:v>7.8083003854528136E-3</c:v>
                </c:pt>
                <c:pt idx="16">
                  <c:v>7.7697493853713341E-3</c:v>
                </c:pt>
                <c:pt idx="17">
                  <c:v>7.7310531962716394E-3</c:v>
                </c:pt>
                <c:pt idx="18">
                  <c:v>7.6929648745466539E-3</c:v>
                </c:pt>
                <c:pt idx="19">
                  <c:v>7.6561368693791902E-3</c:v>
                </c:pt>
                <c:pt idx="20">
                  <c:v>7.6209540842995041E-3</c:v>
                </c:pt>
                <c:pt idx="21">
                  <c:v>7.5874929369994558E-3</c:v>
                </c:pt>
                <c:pt idx="22">
                  <c:v>7.5555948693666261E-3</c:v>
                </c:pt>
                <c:pt idx="23">
                  <c:v>7.5249824142176805E-3</c:v>
                </c:pt>
                <c:pt idx="24">
                  <c:v>7.4953560106887484E-3</c:v>
                </c:pt>
                <c:pt idx="25">
                  <c:v>7.4664495863396418E-3</c:v>
                </c:pt>
                <c:pt idx="26">
                  <c:v>7.4380511054325856E-3</c:v>
                </c:pt>
                <c:pt idx="27">
                  <c:v>7.4100025405978345E-3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6.7183123018988286E-3</c:v>
                </c:pt>
                <c:pt idx="1">
                  <c:v>6.6408927046460731E-3</c:v>
                </c:pt>
                <c:pt idx="2">
                  <c:v>6.5634324712290585E-3</c:v>
                </c:pt>
                <c:pt idx="3">
                  <c:v>6.4859175113116327E-3</c:v>
                </c:pt>
                <c:pt idx="4">
                  <c:v>6.4083292653172325E-3</c:v>
                </c:pt>
                <c:pt idx="5">
                  <c:v>6.3306435842956418E-3</c:v>
                </c:pt>
                <c:pt idx="6">
                  <c:v>6.2528295754665725E-3</c:v>
                </c:pt>
                <c:pt idx="7">
                  <c:v>6.1748486722448918E-3</c:v>
                </c:pt>
                <c:pt idx="8">
                  <c:v>6.1512620166980147E-3</c:v>
                </c:pt>
                <c:pt idx="9">
                  <c:v>6.1272826746510646E-3</c:v>
                </c:pt>
                <c:pt idx="10">
                  <c:v>6.1027825365861325E-3</c:v>
                </c:pt>
                <c:pt idx="11">
                  <c:v>6.0776113499956437E-3</c:v>
                </c:pt>
                <c:pt idx="12">
                  <c:v>6.0516116715532541E-3</c:v>
                </c:pt>
                <c:pt idx="13">
                  <c:v>6.0246522017877793E-3</c:v>
                </c:pt>
                <c:pt idx="14">
                  <c:v>5.996683452578898E-3</c:v>
                </c:pt>
                <c:pt idx="15">
                  <c:v>5.9678069772681579E-3</c:v>
                </c:pt>
                <c:pt idx="16">
                  <c:v>5.9383268007352618E-3</c:v>
                </c:pt>
                <c:pt idx="17">
                  <c:v>5.9087355973060831E-3</c:v>
                </c:pt>
                <c:pt idx="18">
                  <c:v>5.8796092336340358E-3</c:v>
                </c:pt>
                <c:pt idx="19">
                  <c:v>5.8514466414471521E-3</c:v>
                </c:pt>
                <c:pt idx="20">
                  <c:v>5.8245421587391558E-3</c:v>
                </c:pt>
                <c:pt idx="21">
                  <c:v>5.7989542225685307E-3</c:v>
                </c:pt>
                <c:pt idx="22">
                  <c:v>5.7745615826140144E-3</c:v>
                </c:pt>
                <c:pt idx="23">
                  <c:v>5.7511520580883499E-3</c:v>
                </c:pt>
                <c:pt idx="24">
                  <c:v>5.7284965730368138E-3</c:v>
                </c:pt>
                <c:pt idx="25">
                  <c:v>5.7063916602992613E-3</c:v>
                </c:pt>
                <c:pt idx="26">
                  <c:v>5.6846751748997476E-3</c:v>
                </c:pt>
                <c:pt idx="27">
                  <c:v>5.6632262723790554E-3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1.9885516794763114E-3</c:v>
                </c:pt>
                <c:pt idx="1">
                  <c:v>4.4360443997863777E-3</c:v>
                </c:pt>
                <c:pt idx="2">
                  <c:v>1.0998500789181229E-2</c:v>
                </c:pt>
                <c:pt idx="3">
                  <c:v>9.8428104466493447E-3</c:v>
                </c:pt>
                <c:pt idx="4">
                  <c:v>2.3179426482003523E-2</c:v>
                </c:pt>
                <c:pt idx="5" formatCode="General">
                  <c:v>1.9885516794763114E-3</c:v>
                </c:pt>
                <c:pt idx="6">
                  <c:v>4.4360443997863777E-3</c:v>
                </c:pt>
                <c:pt idx="7">
                  <c:v>1.0998500789181229E-2</c:v>
                </c:pt>
                <c:pt idx="8">
                  <c:v>9.8428104466493447E-3</c:v>
                </c:pt>
                <c:pt idx="9">
                  <c:v>2.3179426482003523E-2</c:v>
                </c:pt>
                <c:pt idx="10">
                  <c:v>1.9885516794763114E-3</c:v>
                </c:pt>
                <c:pt idx="11">
                  <c:v>4.4360443997863777E-3</c:v>
                </c:pt>
                <c:pt idx="12">
                  <c:v>1.0998500789181229E-2</c:v>
                </c:pt>
                <c:pt idx="13">
                  <c:v>9.8428104466493447E-3</c:v>
                </c:pt>
                <c:pt idx="14">
                  <c:v>2.3179426482003523E-2</c:v>
                </c:pt>
                <c:pt idx="15">
                  <c:v>1.9885516794763114E-3</c:v>
                </c:pt>
                <c:pt idx="16">
                  <c:v>4.4360443997863777E-3</c:v>
                </c:pt>
                <c:pt idx="17">
                  <c:v>1.0998500789181229E-2</c:v>
                </c:pt>
                <c:pt idx="18">
                  <c:v>9.8428104466493447E-3</c:v>
                </c:pt>
                <c:pt idx="19">
                  <c:v>2.3179426482003523E-2</c:v>
                </c:pt>
                <c:pt idx="20">
                  <c:v>2.2211568098096379E-3</c:v>
                </c:pt>
                <c:pt idx="21">
                  <c:v>1.1431958244874703E-3</c:v>
                </c:pt>
                <c:pt idx="22">
                  <c:v>1.2146455635179375E-3</c:v>
                </c:pt>
                <c:pt idx="23">
                  <c:v>3.8421317513793731E-3</c:v>
                </c:pt>
                <c:pt idx="24">
                  <c:v>2.2211568098096379E-3</c:v>
                </c:pt>
                <c:pt idx="25">
                  <c:v>1.1431958244874703E-3</c:v>
                </c:pt>
                <c:pt idx="26">
                  <c:v>1.2146455635179375E-3</c:v>
                </c:pt>
                <c:pt idx="27">
                  <c:v>3.8421317513793731E-3</c:v>
                </c:pt>
                <c:pt idx="28">
                  <c:v>2.2211568098096379E-3</c:v>
                </c:pt>
                <c:pt idx="29">
                  <c:v>1.1431958244874703E-3</c:v>
                </c:pt>
                <c:pt idx="30">
                  <c:v>1.2146455635179375E-3</c:v>
                </c:pt>
                <c:pt idx="31">
                  <c:v>3.8421317513793731E-3</c:v>
                </c:pt>
                <c:pt idx="32">
                  <c:v>2.2211568098096379E-3</c:v>
                </c:pt>
                <c:pt idx="33">
                  <c:v>1.1431958244874703E-3</c:v>
                </c:pt>
                <c:pt idx="34">
                  <c:v>1.2146455635179375E-3</c:v>
                </c:pt>
                <c:pt idx="35">
                  <c:v>3.8421317513793731E-3</c:v>
                </c:pt>
                <c:pt idx="36">
                  <c:v>1.7769254478477103E-3</c:v>
                </c:pt>
                <c:pt idx="37">
                  <c:v>9.1455665958997635E-4</c:v>
                </c:pt>
                <c:pt idx="38">
                  <c:v>9.717164508143499E-4</c:v>
                </c:pt>
                <c:pt idx="39">
                  <c:v>3.0737054011034984E-3</c:v>
                </c:pt>
                <c:pt idx="40">
                  <c:v>7.4999956937941573E-3</c:v>
                </c:pt>
                <c:pt idx="41">
                  <c:v>4.8598821824262202E-3</c:v>
                </c:pt>
                <c:pt idx="42">
                  <c:v>1.7662855635614476E-2</c:v>
                </c:pt>
                <c:pt idx="43">
                  <c:v>7.4999956937941573E-3</c:v>
                </c:pt>
                <c:pt idx="44">
                  <c:v>4.8598821824262202E-3</c:v>
                </c:pt>
                <c:pt idx="45">
                  <c:v>1.7662855635614476E-2</c:v>
                </c:pt>
                <c:pt idx="46">
                  <c:v>7.4999956937941573E-3</c:v>
                </c:pt>
                <c:pt idx="47">
                  <c:v>4.8598821824262202E-3</c:v>
                </c:pt>
                <c:pt idx="48">
                  <c:v>1.7662855635614476E-2</c:v>
                </c:pt>
                <c:pt idx="49">
                  <c:v>7.4999956937941573E-3</c:v>
                </c:pt>
                <c:pt idx="50">
                  <c:v>4.8598821824262202E-3</c:v>
                </c:pt>
                <c:pt idx="51">
                  <c:v>1.7662855635614472E-2</c:v>
                </c:pt>
                <c:pt idx="52">
                  <c:v>7.4999956937941573E-3</c:v>
                </c:pt>
                <c:pt idx="53">
                  <c:v>4.8598821824262202E-3</c:v>
                </c:pt>
                <c:pt idx="54">
                  <c:v>1.7662855635614476E-2</c:v>
                </c:pt>
                <c:pt idx="55" formatCode="0.00000">
                  <c:v>1.5474706053674888E-3</c:v>
                </c:pt>
                <c:pt idx="56">
                  <c:v>3.4520844409647441E-3</c:v>
                </c:pt>
                <c:pt idx="57">
                  <c:v>9.2291415253648278E-3</c:v>
                </c:pt>
                <c:pt idx="58">
                  <c:v>8.9836445575697966E-3</c:v>
                </c:pt>
                <c:pt idx="59">
                  <c:v>1.5009822198599115E-2</c:v>
                </c:pt>
                <c:pt idx="60" formatCode="General">
                  <c:v>1.5474706053674888E-3</c:v>
                </c:pt>
                <c:pt idx="61">
                  <c:v>3.4520844409647441E-3</c:v>
                </c:pt>
                <c:pt idx="62">
                  <c:v>9.2291415253648278E-3</c:v>
                </c:pt>
                <c:pt idx="63">
                  <c:v>8.9836445575697966E-3</c:v>
                </c:pt>
                <c:pt idx="64">
                  <c:v>1.5009822198599115E-2</c:v>
                </c:pt>
                <c:pt idx="65">
                  <c:v>1.5474706053674888E-3</c:v>
                </c:pt>
                <c:pt idx="66">
                  <c:v>3.4520844409647441E-3</c:v>
                </c:pt>
                <c:pt idx="67">
                  <c:v>9.2291415253648278E-3</c:v>
                </c:pt>
                <c:pt idx="68">
                  <c:v>8.9836445575697966E-3</c:v>
                </c:pt>
                <c:pt idx="69">
                  <c:v>1.5009822198599115E-2</c:v>
                </c:pt>
                <c:pt idx="70">
                  <c:v>1.5474706053674888E-3</c:v>
                </c:pt>
                <c:pt idx="71">
                  <c:v>3.4520844409647441E-3</c:v>
                </c:pt>
                <c:pt idx="72">
                  <c:v>9.2291415253648278E-3</c:v>
                </c:pt>
                <c:pt idx="73">
                  <c:v>8.9836445575697966E-3</c:v>
                </c:pt>
                <c:pt idx="74">
                  <c:v>1.5009822198599115E-2</c:v>
                </c:pt>
                <c:pt idx="75">
                  <c:v>1.7417000535071175E-3</c:v>
                </c:pt>
                <c:pt idx="76">
                  <c:v>1.2598676559575413E-3</c:v>
                </c:pt>
                <c:pt idx="77">
                  <c:v>1.3386093844548876E-3</c:v>
                </c:pt>
                <c:pt idx="78">
                  <c:v>3.0499460445107076E-3</c:v>
                </c:pt>
                <c:pt idx="79">
                  <c:v>1.7417000535071175E-3</c:v>
                </c:pt>
                <c:pt idx="80">
                  <c:v>1.2598676559575413E-3</c:v>
                </c:pt>
                <c:pt idx="81">
                  <c:v>1.3386093844548876E-3</c:v>
                </c:pt>
                <c:pt idx="82">
                  <c:v>3.0499460445107076E-3</c:v>
                </c:pt>
                <c:pt idx="83">
                  <c:v>1.7417000535071175E-3</c:v>
                </c:pt>
                <c:pt idx="84">
                  <c:v>1.2598676559575413E-3</c:v>
                </c:pt>
                <c:pt idx="85">
                  <c:v>1.3386093844548876E-3</c:v>
                </c:pt>
                <c:pt idx="86">
                  <c:v>3.0499460445107076E-3</c:v>
                </c:pt>
                <c:pt idx="87">
                  <c:v>1.7417000535071175E-3</c:v>
                </c:pt>
                <c:pt idx="88">
                  <c:v>1.2598676559575413E-3</c:v>
                </c:pt>
                <c:pt idx="89">
                  <c:v>1.3386093844548876E-3</c:v>
                </c:pt>
                <c:pt idx="90">
                  <c:v>3.0499460445107076E-3</c:v>
                </c:pt>
                <c:pt idx="91">
                  <c:v>1.3933600428056938E-3</c:v>
                </c:pt>
                <c:pt idx="92">
                  <c:v>1.0078941247660331E-3</c:v>
                </c:pt>
                <c:pt idx="93">
                  <c:v>1.0708875075639099E-3</c:v>
                </c:pt>
                <c:pt idx="94">
                  <c:v>2.4399568356085659E-3</c:v>
                </c:pt>
                <c:pt idx="95">
                  <c:v>5.4476320290995812E-3</c:v>
                </c:pt>
                <c:pt idx="96">
                  <c:v>5.5719568088488311E-3</c:v>
                </c:pt>
                <c:pt idx="97">
                  <c:v>1.1998664665103829E-2</c:v>
                </c:pt>
                <c:pt idx="98">
                  <c:v>5.4476320290995812E-3</c:v>
                </c:pt>
                <c:pt idx="99">
                  <c:v>4.3849921608221393E-3</c:v>
                </c:pt>
                <c:pt idx="100">
                  <c:v>1.1998664665103829E-2</c:v>
                </c:pt>
                <c:pt idx="101">
                  <c:v>5.4476320290995812E-3</c:v>
                </c:pt>
                <c:pt idx="102">
                  <c:v>4.3849921608221393E-3</c:v>
                </c:pt>
                <c:pt idx="103">
                  <c:v>1.1998664665103829E-2</c:v>
                </c:pt>
                <c:pt idx="104">
                  <c:v>5.4476320290995812E-3</c:v>
                </c:pt>
                <c:pt idx="105">
                  <c:v>4.3849921608221393E-3</c:v>
                </c:pt>
                <c:pt idx="106">
                  <c:v>1.1998664665103829E-2</c:v>
                </c:pt>
                <c:pt idx="107">
                  <c:v>5.4476320290995812E-3</c:v>
                </c:pt>
                <c:pt idx="108">
                  <c:v>4.3849921608221393E-3</c:v>
                </c:pt>
                <c:pt idx="109">
                  <c:v>1.1998664665103829E-2</c:v>
                </c:pt>
                <c:pt idx="110" formatCode="0.00000">
                  <c:v>1.2203078195589308E-3</c:v>
                </c:pt>
                <c:pt idx="111">
                  <c:v>2.7222524437461601E-3</c:v>
                </c:pt>
                <c:pt idx="112">
                  <c:v>5.7533619435061857E-3</c:v>
                </c:pt>
                <c:pt idx="113">
                  <c:v>5.981953183602064E-3</c:v>
                </c:pt>
                <c:pt idx="114">
                  <c:v>8.648815138865713E-3</c:v>
                </c:pt>
                <c:pt idx="115" formatCode="General">
                  <c:v>1.2203078195589308E-3</c:v>
                </c:pt>
                <c:pt idx="116">
                  <c:v>2.7222524437461601E-3</c:v>
                </c:pt>
                <c:pt idx="117">
                  <c:v>5.7533619435061857E-3</c:v>
                </c:pt>
                <c:pt idx="118">
                  <c:v>5.981953183602064E-3</c:v>
                </c:pt>
                <c:pt idx="119">
                  <c:v>8.648815138865713E-3</c:v>
                </c:pt>
                <c:pt idx="120">
                  <c:v>1.2203078195589308E-3</c:v>
                </c:pt>
                <c:pt idx="121">
                  <c:v>2.7222524437461601E-3</c:v>
                </c:pt>
                <c:pt idx="122">
                  <c:v>5.7533619435061857E-3</c:v>
                </c:pt>
                <c:pt idx="123">
                  <c:v>5.981953183602064E-3</c:v>
                </c:pt>
                <c:pt idx="124">
                  <c:v>8.648815138865713E-3</c:v>
                </c:pt>
                <c:pt idx="125">
                  <c:v>1.2203078195589308E-3</c:v>
                </c:pt>
                <c:pt idx="126">
                  <c:v>2.7222524437461601E-3</c:v>
                </c:pt>
                <c:pt idx="127">
                  <c:v>5.7533619435061857E-3</c:v>
                </c:pt>
                <c:pt idx="128">
                  <c:v>5.981953183602064E-3</c:v>
                </c:pt>
                <c:pt idx="129">
                  <c:v>8.648815138865713E-3</c:v>
                </c:pt>
                <c:pt idx="130">
                  <c:v>1.4677247641913908E-3</c:v>
                </c:pt>
                <c:pt idx="131">
                  <c:v>1.1055597498197058E-3</c:v>
                </c:pt>
                <c:pt idx="132">
                  <c:v>1.1746572341834374E-3</c:v>
                </c:pt>
                <c:pt idx="133">
                  <c:v>1.9299899093780208E-3</c:v>
                </c:pt>
                <c:pt idx="134">
                  <c:v>1.4677247641913908E-3</c:v>
                </c:pt>
                <c:pt idx="135">
                  <c:v>1.1055597498197058E-3</c:v>
                </c:pt>
                <c:pt idx="136">
                  <c:v>1.1746572341834374E-3</c:v>
                </c:pt>
                <c:pt idx="137">
                  <c:v>1.9299899093780208E-3</c:v>
                </c:pt>
                <c:pt idx="138">
                  <c:v>1.4677247641913908E-3</c:v>
                </c:pt>
                <c:pt idx="139">
                  <c:v>1.1055597498197058E-3</c:v>
                </c:pt>
                <c:pt idx="140">
                  <c:v>1.1746572341834374E-3</c:v>
                </c:pt>
                <c:pt idx="141">
                  <c:v>1.9299899093780208E-3</c:v>
                </c:pt>
                <c:pt idx="142">
                  <c:v>1.4677247641913908E-3</c:v>
                </c:pt>
                <c:pt idx="143">
                  <c:v>1.1055597498197058E-3</c:v>
                </c:pt>
                <c:pt idx="144">
                  <c:v>1.1746572341834374E-3</c:v>
                </c:pt>
                <c:pt idx="145">
                  <c:v>1.9299899093780208E-3</c:v>
                </c:pt>
                <c:pt idx="146">
                  <c:v>1.1741798113531128E-3</c:v>
                </c:pt>
                <c:pt idx="147">
                  <c:v>8.8444779985576464E-4</c:v>
                </c:pt>
                <c:pt idx="148">
                  <c:v>9.3972578734674984E-4</c:v>
                </c:pt>
                <c:pt idx="149">
                  <c:v>1.5439919275024167E-3</c:v>
                </c:pt>
                <c:pt idx="150">
                  <c:v>4.1127344164172209E-3</c:v>
                </c:pt>
                <c:pt idx="151">
                  <c:v>4.0342174151229478E-3</c:v>
                </c:pt>
                <c:pt idx="152">
                  <c:v>7.4863769124855761E-3</c:v>
                </c:pt>
                <c:pt idx="153">
                  <c:v>4.1127344164172209E-3</c:v>
                </c:pt>
                <c:pt idx="154">
                  <c:v>3.6038550798649731E-3</c:v>
                </c:pt>
                <c:pt idx="155">
                  <c:v>7.4863769124855761E-3</c:v>
                </c:pt>
                <c:pt idx="156">
                  <c:v>4.1127344164172217E-3</c:v>
                </c:pt>
                <c:pt idx="157">
                  <c:v>3.6038550798649727E-3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2.1559179817390011E-3</c:v>
                </c:pt>
                <c:pt idx="1">
                  <c:v>3.3076792618849139E-3</c:v>
                </c:pt>
                <c:pt idx="2">
                  <c:v>6.8199956541845873E-3</c:v>
                </c:pt>
                <c:pt idx="3">
                  <c:v>6.2760451256054419E-3</c:v>
                </c:pt>
                <c:pt idx="4">
                  <c:v>1.2290807122381234E-2</c:v>
                </c:pt>
                <c:pt idx="5" formatCode="General">
                  <c:v>3.7016151138716128E-3</c:v>
                </c:pt>
                <c:pt idx="6">
                  <c:v>5.5230050452651511E-3</c:v>
                </c:pt>
                <c:pt idx="7">
                  <c:v>1.1077365851692542E-2</c:v>
                </c:pt>
                <c:pt idx="8">
                  <c:v>1.0217165015799936E-2</c:v>
                </c:pt>
                <c:pt idx="9">
                  <c:v>1.9728881661863987E-2</c:v>
                </c:pt>
                <c:pt idx="10">
                  <c:v>4.2256929718494868E-3</c:v>
                </c:pt>
                <c:pt idx="11">
                  <c:v>6.4849170213664717E-3</c:v>
                </c:pt>
                <c:pt idx="12">
                  <c:v>1.3374460713954293E-2</c:v>
                </c:pt>
                <c:pt idx="13">
                  <c:v>1.230748083097212E-2</c:v>
                </c:pt>
                <c:pt idx="14">
                  <c:v>2.4105667824647722E-2</c:v>
                </c:pt>
                <c:pt idx="15">
                  <c:v>2.1542748483938546E-3</c:v>
                </c:pt>
                <c:pt idx="16">
                  <c:v>3.3060361285397683E-3</c:v>
                </c:pt>
                <c:pt idx="17">
                  <c:v>6.8183525208394408E-3</c:v>
                </c:pt>
                <c:pt idx="18">
                  <c:v>6.2744019922602937E-3</c:v>
                </c:pt>
                <c:pt idx="19">
                  <c:v>1.2289163989036088E-2</c:v>
                </c:pt>
                <c:pt idx="20">
                  <c:v>5.4419257673008932E-3</c:v>
                </c:pt>
                <c:pt idx="21">
                  <c:v>4.4286626162296418E-3</c:v>
                </c:pt>
                <c:pt idx="22">
                  <c:v>6.0113711596236075E-3</c:v>
                </c:pt>
                <c:pt idx="23">
                  <c:v>7.6203695927016587E-3</c:v>
                </c:pt>
                <c:pt idx="24">
                  <c:v>1.3090202775817922E-2</c:v>
                </c:pt>
                <c:pt idx="25">
                  <c:v>1.0669629692703261E-2</c:v>
                </c:pt>
                <c:pt idx="26">
                  <c:v>1.4450544546366626E-2</c:v>
                </c:pt>
                <c:pt idx="27">
                  <c:v>1.829426302538641E-2</c:v>
                </c:pt>
                <c:pt idx="28">
                  <c:v>1.2338786944597011E-2</c:v>
                </c:pt>
                <c:pt idx="29">
                  <c:v>9.9182138614823563E-3</c:v>
                </c:pt>
                <c:pt idx="30">
                  <c:v>1.369912871514572E-2</c:v>
                </c:pt>
                <c:pt idx="31">
                  <c:v>1.754284719416551E-2</c:v>
                </c:pt>
                <c:pt idx="32">
                  <c:v>5.4157582024372992E-3</c:v>
                </c:pt>
                <c:pt idx="33">
                  <c:v>4.7152305918201406E-3</c:v>
                </c:pt>
                <c:pt idx="34">
                  <c:v>5.8094488440431271E-3</c:v>
                </c:pt>
                <c:pt idx="35">
                  <c:v>6.9218428224674562E-3</c:v>
                </c:pt>
                <c:pt idx="36">
                  <c:v>1.4728901620926023E-2</c:v>
                </c:pt>
                <c:pt idx="37">
                  <c:v>1.1948057195208257E-2</c:v>
                </c:pt>
                <c:pt idx="38">
                  <c:v>1.6291712864300586E-2</c:v>
                </c:pt>
                <c:pt idx="39">
                  <c:v>2.0707519675081457E-2</c:v>
                </c:pt>
                <c:pt idx="40">
                  <c:v>7.1930209617625959E-2</c:v>
                </c:pt>
                <c:pt idx="41">
                  <c:v>8.986363136102013E-2</c:v>
                </c:pt>
                <c:pt idx="42">
                  <c:v>0.10564710855761061</c:v>
                </c:pt>
                <c:pt idx="43">
                  <c:v>2.9789398608815854E-2</c:v>
                </c:pt>
                <c:pt idx="44">
                  <c:v>3.5466216512344939E-2</c:v>
                </c:pt>
                <c:pt idx="45">
                  <c:v>4.4716820201651866E-2</c:v>
                </c:pt>
                <c:pt idx="46">
                  <c:v>3.3396114676104878E-2</c:v>
                </c:pt>
                <c:pt idx="47">
                  <c:v>4.0140769240826754E-2</c:v>
                </c:pt>
                <c:pt idx="48">
                  <c:v>5.0617947339419211E-2</c:v>
                </c:pt>
                <c:pt idx="49">
                  <c:v>4.2908478999872157E-2</c:v>
                </c:pt>
                <c:pt idx="50">
                  <c:v>5.2563966855782907E-2</c:v>
                </c:pt>
                <c:pt idx="51">
                  <c:v>6.3873900524220817E-2</c:v>
                </c:pt>
                <c:pt idx="52">
                  <c:v>3.3860297081009468E-2</c:v>
                </c:pt>
                <c:pt idx="53">
                  <c:v>4.1128644263132688E-2</c:v>
                </c:pt>
                <c:pt idx="54">
                  <c:v>5.0834565979525945E-2</c:v>
                </c:pt>
                <c:pt idx="55" formatCode="0.00000">
                  <c:v>1.9508936771299827E-3</c:v>
                </c:pt>
                <c:pt idx="56">
                  <c:v>2.8471825409404541E-3</c:v>
                </c:pt>
                <c:pt idx="57">
                  <c:v>5.9502244093326464E-3</c:v>
                </c:pt>
                <c:pt idx="58">
                  <c:v>5.8300223073278357E-3</c:v>
                </c:pt>
                <c:pt idx="59">
                  <c:v>8.4292476197635399E-3</c:v>
                </c:pt>
                <c:pt idx="60" formatCode="General">
                  <c:v>3.3773906321643262E-3</c:v>
                </c:pt>
                <c:pt idx="61">
                  <c:v>4.7947776726087951E-3</c:v>
                </c:pt>
                <c:pt idx="62">
                  <c:v>9.7019136505313314E-3</c:v>
                </c:pt>
                <c:pt idx="63">
                  <c:v>9.5118266055004737E-3</c:v>
                </c:pt>
                <c:pt idx="64">
                  <c:v>1.3622229425166239E-2</c:v>
                </c:pt>
                <c:pt idx="65">
                  <c:v>3.8235299128087192E-3</c:v>
                </c:pt>
                <c:pt idx="66">
                  <c:v>5.5816349918215687E-3</c:v>
                </c:pt>
                <c:pt idx="67">
                  <c:v>1.1668370964437022E-2</c:v>
                </c:pt>
                <c:pt idx="68">
                  <c:v>1.1432589918196824E-2</c:v>
                </c:pt>
                <c:pt idx="69">
                  <c:v>1.6531070338743781E-2</c:v>
                </c:pt>
                <c:pt idx="70">
                  <c:v>1.9492505437848362E-3</c:v>
                </c:pt>
                <c:pt idx="71">
                  <c:v>2.8455394075953084E-3</c:v>
                </c:pt>
                <c:pt idx="72">
                  <c:v>5.9485812759874999E-3</c:v>
                </c:pt>
                <c:pt idx="73">
                  <c:v>5.828379173982691E-3</c:v>
                </c:pt>
                <c:pt idx="74">
                  <c:v>8.4276044864183934E-3</c:v>
                </c:pt>
                <c:pt idx="75">
                  <c:v>5.1905392137826505E-3</c:v>
                </c:pt>
                <c:pt idx="76">
                  <c:v>4.4942905214315574E-3</c:v>
                </c:pt>
                <c:pt idx="77">
                  <c:v>5.569574338381466E-3</c:v>
                </c:pt>
                <c:pt idx="78">
                  <c:v>6.3517094432929966E-3</c:v>
                </c:pt>
                <c:pt idx="79">
                  <c:v>1.2489668231302119E-2</c:v>
                </c:pt>
                <c:pt idx="80">
                  <c:v>1.0826407466241172E-2</c:v>
                </c:pt>
                <c:pt idx="81">
                  <c:v>1.3395141028954841E-2</c:v>
                </c:pt>
                <c:pt idx="82">
                  <c:v>1.5263574890687939E-2</c:v>
                </c:pt>
                <c:pt idx="83">
                  <c:v>1.1738252400081211E-2</c:v>
                </c:pt>
                <c:pt idx="84">
                  <c:v>1.0074991635020264E-2</c:v>
                </c:pt>
                <c:pt idx="85">
                  <c:v>1.2643725197733935E-2</c:v>
                </c:pt>
                <c:pt idx="86">
                  <c:v>1.4512159059467034E-2</c:v>
                </c:pt>
                <c:pt idx="87">
                  <c:v>5.241960091362961E-3</c:v>
                </c:pt>
                <c:pt idx="88">
                  <c:v>4.7606029707251678E-3</c:v>
                </c:pt>
                <c:pt idx="89">
                  <c:v>5.5040090663942397E-3</c:v>
                </c:pt>
                <c:pt idx="90">
                  <c:v>6.0447444475676421E-3</c:v>
                </c:pt>
                <c:pt idx="91">
                  <c:v>1.4038985190714847E-2</c:v>
                </c:pt>
                <c:pt idx="92">
                  <c:v>1.2128169335040177E-2</c:v>
                </c:pt>
                <c:pt idx="93">
                  <c:v>1.5079226032669374E-2</c:v>
                </c:pt>
                <c:pt idx="94">
                  <c:v>1.722575237614879E-2</c:v>
                </c:pt>
                <c:pt idx="95">
                  <c:v>7.1063283561263069E-2</c:v>
                </c:pt>
                <c:pt idx="96">
                  <c:v>7.4785156649354201E-2</c:v>
                </c:pt>
                <c:pt idx="97">
                  <c:v>8.4671826672179554E-2</c:v>
                </c:pt>
                <c:pt idx="98">
                  <c:v>2.8901851205672423E-2</c:v>
                </c:pt>
                <c:pt idx="99">
                  <c:v>2.9601411324949055E-2</c:v>
                </c:pt>
                <c:pt idx="100">
                  <c:v>3.5615568998115327E-2</c:v>
                </c:pt>
                <c:pt idx="101">
                  <c:v>3.2415620430095805E-2</c:v>
                </c:pt>
                <c:pt idx="102">
                  <c:v>3.3268905305089622E-2</c:v>
                </c:pt>
                <c:pt idx="103">
                  <c:v>4.0101819154188284E-2</c:v>
                </c:pt>
                <c:pt idx="104">
                  <c:v>4.203646493667039E-2</c:v>
                </c:pt>
                <c:pt idx="105">
                  <c:v>4.3417014814898194E-2</c:v>
                </c:pt>
                <c:pt idx="106">
                  <c:v>5.0953655929807329E-2</c:v>
                </c:pt>
                <c:pt idx="107">
                  <c:v>3.3032062379698766E-2</c:v>
                </c:pt>
                <c:pt idx="108">
                  <c:v>3.4019910286793777E-2</c:v>
                </c:pt>
                <c:pt idx="109">
                  <c:v>4.0418838379850677E-2</c:v>
                </c:pt>
                <c:pt idx="110" formatCode="0.00000">
                  <c:v>1.818290452292674E-3</c:v>
                </c:pt>
                <c:pt idx="111">
                  <c:v>2.5250879224984297E-3</c:v>
                </c:pt>
                <c:pt idx="112">
                  <c:v>4.0027697250568268E-3</c:v>
                </c:pt>
                <c:pt idx="113">
                  <c:v>4.0672276364347049E-3</c:v>
                </c:pt>
                <c:pt idx="114">
                  <c:v>5.2927491204555095E-3</c:v>
                </c:pt>
                <c:pt idx="115" formatCode="General">
                  <c:v>3.1676925091657935E-3</c:v>
                </c:pt>
                <c:pt idx="116">
                  <c:v>4.2854187411190793E-3</c:v>
                </c:pt>
                <c:pt idx="117">
                  <c:v>6.622217870746315E-3</c:v>
                </c:pt>
                <c:pt idx="118">
                  <c:v>6.7241513119950507E-3</c:v>
                </c:pt>
                <c:pt idx="119">
                  <c:v>8.6621852867256287E-3</c:v>
                </c:pt>
                <c:pt idx="120">
                  <c:v>3.5634235871663065E-3</c:v>
                </c:pt>
                <c:pt idx="121">
                  <c:v>4.9498340094929804E-3</c:v>
                </c:pt>
                <c:pt idx="122">
                  <c:v>7.848363699126764E-3</c:v>
                </c:pt>
                <c:pt idx="123">
                  <c:v>7.9748003714449085E-3</c:v>
                </c:pt>
                <c:pt idx="124">
                  <c:v>1.037870789779341E-2</c:v>
                </c:pt>
                <c:pt idx="125">
                  <c:v>1.8166473189475275E-3</c:v>
                </c:pt>
                <c:pt idx="126">
                  <c:v>2.5234447891532832E-3</c:v>
                </c:pt>
                <c:pt idx="127">
                  <c:v>4.0011265917116803E-3</c:v>
                </c:pt>
                <c:pt idx="128">
                  <c:v>4.0655845030895584E-3</c:v>
                </c:pt>
                <c:pt idx="129">
                  <c:v>5.291105987110363E-3</c:v>
                </c:pt>
                <c:pt idx="130">
                  <c:v>5.0603862736520542E-3</c:v>
                </c:pt>
                <c:pt idx="131">
                  <c:v>4.4074923242290245E-3</c:v>
                </c:pt>
                <c:pt idx="132">
                  <c:v>4.8079543328682396E-3</c:v>
                </c:pt>
                <c:pt idx="133">
                  <c:v>4.6446619109206718E-3</c:v>
                </c:pt>
                <c:pt idx="134">
                  <c:v>1.217874731876792E-2</c:v>
                </c:pt>
                <c:pt idx="135">
                  <c:v>1.0619056217368455E-2</c:v>
                </c:pt>
                <c:pt idx="136">
                  <c:v>1.1575715460228803E-2</c:v>
                </c:pt>
                <c:pt idx="137">
                  <c:v>1.1185628007798506E-2</c:v>
                </c:pt>
                <c:pt idx="138">
                  <c:v>1.1427331487547009E-2</c:v>
                </c:pt>
                <c:pt idx="139">
                  <c:v>9.8676403861475467E-3</c:v>
                </c:pt>
                <c:pt idx="140">
                  <c:v>1.0824299629007892E-2</c:v>
                </c:pt>
                <c:pt idx="141">
                  <c:v>1.0434212176577595E-2</c:v>
                </c:pt>
                <c:pt idx="142">
                  <c:v>5.1519778117664998E-3</c:v>
                </c:pt>
                <c:pt idx="143">
                  <c:v>4.7005943405604537E-3</c:v>
                </c:pt>
                <c:pt idx="144">
                  <c:v>4.9774569638171944E-3</c:v>
                </c:pt>
                <c:pt idx="145">
                  <c:v>4.864563437532457E-3</c:v>
                </c:pt>
                <c:pt idx="146">
                  <c:v>1.3681787677245327E-2</c:v>
                </c:pt>
                <c:pt idx="147">
                  <c:v>1.1889956504939896E-2</c:v>
                </c:pt>
                <c:pt idx="148">
                  <c:v>1.298900223976085E-2</c:v>
                </c:pt>
                <c:pt idx="149">
                  <c:v>1.2540855259526976E-2</c:v>
                </c:pt>
                <c:pt idx="150">
                  <c:v>7.0990206506489656E-2</c:v>
                </c:pt>
                <c:pt idx="151">
                  <c:v>6.9097068904093562E-2</c:v>
                </c:pt>
                <c:pt idx="152">
                  <c:v>7.4220708916393957E-2</c:v>
                </c:pt>
                <c:pt idx="153">
                  <c:v>2.8500252988180937E-2</c:v>
                </c:pt>
                <c:pt idx="154">
                  <c:v>2.7558434058035715E-2</c:v>
                </c:pt>
                <c:pt idx="155">
                  <c:v>3.0605462961927267E-2</c:v>
                </c:pt>
                <c:pt idx="156">
                  <c:v>3.1984161225213935E-2</c:v>
                </c:pt>
                <c:pt idx="157">
                  <c:v>3.0893607954903105E-2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1.6094908838890122E-3</c:v>
                </c:pt>
                <c:pt idx="3">
                  <c:v>1.1593579383751725E-3</c:v>
                </c:pt>
                <c:pt idx="4">
                  <c:v>1.0882485472941718E-3</c:v>
                </c:pt>
                <c:pt idx="5" formatCode="General">
                  <c:v>0</c:v>
                </c:pt>
                <c:pt idx="6">
                  <c:v>0</c:v>
                </c:pt>
                <c:pt idx="7">
                  <c:v>1.6531050992271978E-3</c:v>
                </c:pt>
                <c:pt idx="8">
                  <c:v>1.1934972785237041E-3</c:v>
                </c:pt>
                <c:pt idx="9">
                  <c:v>1.1046118638804031E-3</c:v>
                </c:pt>
                <c:pt idx="10">
                  <c:v>0</c:v>
                </c:pt>
                <c:pt idx="11">
                  <c:v>0</c:v>
                </c:pt>
                <c:pt idx="12">
                  <c:v>1.609103111187369E-3</c:v>
                </c:pt>
                <c:pt idx="13">
                  <c:v>1.1590544065092634E-3</c:v>
                </c:pt>
                <c:pt idx="14">
                  <c:v>1.0881030615292366E-3</c:v>
                </c:pt>
                <c:pt idx="15">
                  <c:v>0</c:v>
                </c:pt>
                <c:pt idx="16">
                  <c:v>0</c:v>
                </c:pt>
                <c:pt idx="17">
                  <c:v>1.609103111187369E-3</c:v>
                </c:pt>
                <c:pt idx="18">
                  <c:v>1.1590544065092634E-3</c:v>
                </c:pt>
                <c:pt idx="19">
                  <c:v>1.0881030615292366E-3</c:v>
                </c:pt>
                <c:pt idx="20">
                  <c:v>0</c:v>
                </c:pt>
                <c:pt idx="21">
                  <c:v>0</c:v>
                </c:pt>
                <c:pt idx="22">
                  <c:v>3.9310156750901361E-4</c:v>
                </c:pt>
                <c:pt idx="23">
                  <c:v>2.4631497673379202E-4</c:v>
                </c:pt>
                <c:pt idx="24">
                  <c:v>0</c:v>
                </c:pt>
                <c:pt idx="25">
                  <c:v>0</c:v>
                </c:pt>
                <c:pt idx="26">
                  <c:v>3.955664910389612E-4</c:v>
                </c:pt>
                <c:pt idx="27">
                  <c:v>2.4753336863102098E-4</c:v>
                </c:pt>
                <c:pt idx="28">
                  <c:v>0</c:v>
                </c:pt>
                <c:pt idx="29">
                  <c:v>0</c:v>
                </c:pt>
                <c:pt idx="30">
                  <c:v>3.749973752721833E-4</c:v>
                </c:pt>
                <c:pt idx="31">
                  <c:v>2.3736621996334022E-4</c:v>
                </c:pt>
                <c:pt idx="32">
                  <c:v>0</c:v>
                </c:pt>
                <c:pt idx="33">
                  <c:v>0</c:v>
                </c:pt>
                <c:pt idx="34">
                  <c:v>5.4949425457785639E-4</c:v>
                </c:pt>
                <c:pt idx="35">
                  <c:v>3.2361862546601006E-4</c:v>
                </c:pt>
                <c:pt idx="36">
                  <c:v>0</c:v>
                </c:pt>
                <c:pt idx="37">
                  <c:v>0</c:v>
                </c:pt>
                <c:pt idx="38">
                  <c:v>2.4662677564051862E-4</c:v>
                </c:pt>
                <c:pt idx="39">
                  <c:v>1.5552206292380674E-4</c:v>
                </c:pt>
                <c:pt idx="40">
                  <c:v>0</c:v>
                </c:pt>
                <c:pt idx="41">
                  <c:v>1.2614849574781067E-2</c:v>
                </c:pt>
                <c:pt idx="42">
                  <c:v>7.0178563445111586E-3</c:v>
                </c:pt>
                <c:pt idx="43">
                  <c:v>0</c:v>
                </c:pt>
                <c:pt idx="44">
                  <c:v>6.9543268032841721E-3</c:v>
                </c:pt>
                <c:pt idx="45">
                  <c:v>4.1491572511282715E-3</c:v>
                </c:pt>
                <c:pt idx="46">
                  <c:v>0</c:v>
                </c:pt>
                <c:pt idx="47">
                  <c:v>7.0227674246001043E-3</c:v>
                </c:pt>
                <c:pt idx="48">
                  <c:v>4.1905967465577232E-3</c:v>
                </c:pt>
                <c:pt idx="49">
                  <c:v>0</c:v>
                </c:pt>
                <c:pt idx="50">
                  <c:v>9.196249128357481E-3</c:v>
                </c:pt>
                <c:pt idx="51">
                  <c:v>5.2880405823627769E-3</c:v>
                </c:pt>
                <c:pt idx="52">
                  <c:v>0</c:v>
                </c:pt>
                <c:pt idx="53">
                  <c:v>8.0646333696825639E-3</c:v>
                </c:pt>
                <c:pt idx="54">
                  <c:v>4.7168069440258892E-3</c:v>
                </c:pt>
                <c:pt idx="55" formatCode="0.00000">
                  <c:v>0</c:v>
                </c:pt>
                <c:pt idx="56">
                  <c:v>0</c:v>
                </c:pt>
                <c:pt idx="57">
                  <c:v>1.3716946917484568E-3</c:v>
                </c:pt>
                <c:pt idx="58">
                  <c:v>1.0616936109255053E-3</c:v>
                </c:pt>
                <c:pt idx="59">
                  <c:v>7.463396329998942E-4</c:v>
                </c:pt>
                <c:pt idx="60" formatCode="General">
                  <c:v>0</c:v>
                </c:pt>
                <c:pt idx="61">
                  <c:v>0</c:v>
                </c:pt>
                <c:pt idx="62">
                  <c:v>1.4142984344338184E-3</c:v>
                </c:pt>
                <c:pt idx="63">
                  <c:v>1.0953488459406781E-3</c:v>
                </c:pt>
                <c:pt idx="64">
                  <c:v>7.6270294958613247E-4</c:v>
                </c:pt>
                <c:pt idx="65">
                  <c:v>0</c:v>
                </c:pt>
                <c:pt idx="66">
                  <c:v>0</c:v>
                </c:pt>
                <c:pt idx="67">
                  <c:v>1.3713159031293522E-3</c:v>
                </c:pt>
                <c:pt idx="68">
                  <c:v>1.0613943832240534E-3</c:v>
                </c:pt>
                <c:pt idx="69">
                  <c:v>7.4619414723496244E-4</c:v>
                </c:pt>
                <c:pt idx="70">
                  <c:v>0</c:v>
                </c:pt>
                <c:pt idx="71">
                  <c:v>0</c:v>
                </c:pt>
                <c:pt idx="72">
                  <c:v>1.3713159031293522E-3</c:v>
                </c:pt>
                <c:pt idx="73">
                  <c:v>1.0613943832240534E-3</c:v>
                </c:pt>
                <c:pt idx="74">
                  <c:v>7.4619414723496244E-4</c:v>
                </c:pt>
                <c:pt idx="75">
                  <c:v>0</c:v>
                </c:pt>
                <c:pt idx="76">
                  <c:v>0</c:v>
                </c:pt>
                <c:pt idx="77">
                  <c:v>2.8379079159480611E-4</c:v>
                </c:pt>
                <c:pt idx="78">
                  <c:v>2.0530777998522924E-4</c:v>
                </c:pt>
                <c:pt idx="79">
                  <c:v>0</c:v>
                </c:pt>
                <c:pt idx="80">
                  <c:v>0</c:v>
                </c:pt>
                <c:pt idx="81">
                  <c:v>2.857114428431156E-4</c:v>
                </c:pt>
                <c:pt idx="82">
                  <c:v>2.065261718824582E-4</c:v>
                </c:pt>
                <c:pt idx="83">
                  <c:v>0</c:v>
                </c:pt>
                <c:pt idx="84">
                  <c:v>0</c:v>
                </c:pt>
                <c:pt idx="85">
                  <c:v>2.6968413108512633E-4</c:v>
                </c:pt>
                <c:pt idx="86">
                  <c:v>1.9635902321477744E-4</c:v>
                </c:pt>
                <c:pt idx="87">
                  <c:v>0</c:v>
                </c:pt>
                <c:pt idx="88">
                  <c:v>0</c:v>
                </c:pt>
                <c:pt idx="89">
                  <c:v>4.0565088420853671E-4</c:v>
                </c:pt>
                <c:pt idx="90">
                  <c:v>2.8261142871744728E-4</c:v>
                </c:pt>
                <c:pt idx="91">
                  <c:v>0</c:v>
                </c:pt>
                <c:pt idx="92">
                  <c:v>0</c:v>
                </c:pt>
                <c:pt idx="93">
                  <c:v>1.7815518981820211E-4</c:v>
                </c:pt>
                <c:pt idx="94">
                  <c:v>1.2937254615660691E-4</c:v>
                </c:pt>
                <c:pt idx="95">
                  <c:v>0</c:v>
                </c:pt>
                <c:pt idx="96">
                  <c:v>8.054003272115931E-3</c:v>
                </c:pt>
                <c:pt idx="97">
                  <c:v>4.118358446684442E-3</c:v>
                </c:pt>
                <c:pt idx="98">
                  <c:v>0</c:v>
                </c:pt>
                <c:pt idx="99">
                  <c:v>4.4529819465365245E-3</c:v>
                </c:pt>
                <c:pt idx="100">
                  <c:v>2.4197317550514602E-3</c:v>
                </c:pt>
                <c:pt idx="101">
                  <c:v>0</c:v>
                </c:pt>
                <c:pt idx="102">
                  <c:v>4.4653899249899945E-3</c:v>
                </c:pt>
                <c:pt idx="103">
                  <c:v>2.4309373790494526E-3</c:v>
                </c:pt>
                <c:pt idx="104">
                  <c:v>0</c:v>
                </c:pt>
                <c:pt idx="105">
                  <c:v>5.827480608384436E-3</c:v>
                </c:pt>
                <c:pt idx="106">
                  <c:v>3.0887662807201344E-3</c:v>
                </c:pt>
                <c:pt idx="107">
                  <c:v>0</c:v>
                </c:pt>
                <c:pt idx="108">
                  <c:v>5.1176629609617288E-3</c:v>
                </c:pt>
                <c:pt idx="109">
                  <c:v>2.7460672251282264E-3</c:v>
                </c:pt>
                <c:pt idx="110" formatCode="0.00000">
                  <c:v>0</c:v>
                </c:pt>
                <c:pt idx="111">
                  <c:v>0</c:v>
                </c:pt>
                <c:pt idx="112">
                  <c:v>7.4289986388594367E-4</c:v>
                </c:pt>
                <c:pt idx="113">
                  <c:v>6.5215710970363897E-4</c:v>
                </c:pt>
                <c:pt idx="114">
                  <c:v>4.6862882837366525E-4</c:v>
                </c:pt>
                <c:pt idx="115" formatCode="General">
                  <c:v>0</c:v>
                </c:pt>
                <c:pt idx="116">
                  <c:v>0</c:v>
                </c:pt>
                <c:pt idx="117">
                  <c:v>7.7719980012023494E-4</c:v>
                </c:pt>
                <c:pt idx="118">
                  <c:v>6.8179023065103976E-4</c:v>
                </c:pt>
                <c:pt idx="119">
                  <c:v>4.8499214495989831E-4</c:v>
                </c:pt>
                <c:pt idx="120">
                  <c:v>0</c:v>
                </c:pt>
                <c:pt idx="121">
                  <c:v>0</c:v>
                </c:pt>
                <c:pt idx="122">
                  <c:v>7.4259490416497473E-4</c:v>
                </c:pt>
                <c:pt idx="123">
                  <c:v>6.5189364249968254E-4</c:v>
                </c:pt>
                <c:pt idx="124">
                  <c:v>4.6848334260873002E-4</c:v>
                </c:pt>
                <c:pt idx="125">
                  <c:v>0</c:v>
                </c:pt>
                <c:pt idx="126">
                  <c:v>0</c:v>
                </c:pt>
                <c:pt idx="127">
                  <c:v>7.4259490416497473E-4</c:v>
                </c:pt>
                <c:pt idx="128">
                  <c:v>6.5189364249968254E-4</c:v>
                </c:pt>
                <c:pt idx="129">
                  <c:v>4.6848334260873002E-4</c:v>
                </c:pt>
                <c:pt idx="130">
                  <c:v>0</c:v>
                </c:pt>
                <c:pt idx="131">
                  <c:v>0</c:v>
                </c:pt>
                <c:pt idx="132">
                  <c:v>1.5576081099902099E-4</c:v>
                </c:pt>
                <c:pt idx="133">
                  <c:v>1.5013048600955731E-4</c:v>
                </c:pt>
                <c:pt idx="134">
                  <c:v>0</c:v>
                </c:pt>
                <c:pt idx="135">
                  <c:v>0</c:v>
                </c:pt>
                <c:pt idx="136">
                  <c:v>1.5698196400869627E-4</c:v>
                </c:pt>
                <c:pt idx="137">
                  <c:v>1.5134887790678626E-4</c:v>
                </c:pt>
                <c:pt idx="138">
                  <c:v>0</c:v>
                </c:pt>
                <c:pt idx="139">
                  <c:v>0</c:v>
                </c:pt>
                <c:pt idx="140">
                  <c:v>1.4679177460938386E-4</c:v>
                </c:pt>
                <c:pt idx="141">
                  <c:v>1.4118172923910464E-4</c:v>
                </c:pt>
                <c:pt idx="142">
                  <c:v>0</c:v>
                </c:pt>
                <c:pt idx="143">
                  <c:v>0</c:v>
                </c:pt>
                <c:pt idx="144">
                  <c:v>2.3323964479862735E-4</c:v>
                </c:pt>
                <c:pt idx="145">
                  <c:v>2.2743413474177708E-4</c:v>
                </c:pt>
                <c:pt idx="146">
                  <c:v>0</c:v>
                </c:pt>
                <c:pt idx="147">
                  <c:v>0</c:v>
                </c:pt>
                <c:pt idx="148">
                  <c:v>9.7773065850501051E-5</c:v>
                </c:pt>
                <c:pt idx="149">
                  <c:v>9.4187025360526096E-5</c:v>
                </c:pt>
                <c:pt idx="150">
                  <c:v>0</c:v>
                </c:pt>
                <c:pt idx="151">
                  <c:v>4.6393566245115647E-3</c:v>
                </c:pt>
                <c:pt idx="152">
                  <c:v>1.9343783214292448E-3</c:v>
                </c:pt>
                <c:pt idx="153">
                  <c:v>0</c:v>
                </c:pt>
                <c:pt idx="154">
                  <c:v>2.5846086391673115E-3</c:v>
                </c:pt>
                <c:pt idx="155">
                  <c:v>1.1141852229948485E-3</c:v>
                </c:pt>
                <c:pt idx="156">
                  <c:v>0</c:v>
                </c:pt>
                <c:pt idx="157">
                  <c:v>2.5851827358283549E-3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1.2614849574781067E-2</c:v>
                </c:pt>
                <c:pt idx="1">
                  <c:v>7.3685007348169712E-3</c:v>
                </c:pt>
                <c:pt idx="2">
                  <c:v>4.6393566245115647E-3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6.9543268032841721E-3</c:v>
                </c:pt>
                <c:pt idx="1">
                  <c:v>4.096001887972385E-3</c:v>
                </c:pt>
                <c:pt idx="2">
                  <c:v>2.5846086391673115E-3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7.0227674246001043E-3</c:v>
                </c:pt>
                <c:pt idx="1">
                  <c:v>4.1046080716234459E-3</c:v>
                </c:pt>
                <c:pt idx="2">
                  <c:v>2.5851827358283549E-3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9.196249128357481E-3</c:v>
                </c:pt>
                <c:pt idx="1">
                  <c:v>5.3534129838530425E-3</c:v>
                </c:pt>
                <c:pt idx="2">
                  <c:v>3.3798395951720461E-3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8.0646333696825639E-3</c:v>
                </c:pt>
                <c:pt idx="1">
                  <c:v>4.702572182749172E-3</c:v>
                </c:pt>
                <c:pt idx="2">
                  <c:v>2.9655830445903045E-3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5" x14ac:dyDescent="0.25"/>
  <sheetData>
    <row r="1" spans="1:1" x14ac:dyDescent="0.25">
      <c r="A1" t="s">
        <v>248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tabSelected="1" zoomScaleNormal="100" workbookViewId="0">
      <selection activeCell="J7" sqref="J6:K7"/>
    </sheetView>
  </sheetViews>
  <sheetFormatPr defaultRowHeight="15" x14ac:dyDescent="0.25"/>
  <cols>
    <col min="1" max="1" width="24.140625" customWidth="1"/>
    <col min="2" max="2" width="15.28515625" bestFit="1" customWidth="1"/>
    <col min="3" max="3" width="12.7109375" bestFit="1" customWidth="1"/>
    <col min="4" max="4" width="12.28515625" customWidth="1"/>
    <col min="5" max="5" width="8.28515625" customWidth="1"/>
    <col min="6" max="6" width="22.7109375" customWidth="1"/>
    <col min="7" max="7" width="24.28515625" customWidth="1"/>
    <col min="8" max="8" width="19.7109375" customWidth="1"/>
    <col min="9" max="9" width="27.5703125" customWidth="1"/>
    <col min="10" max="10" width="22.28515625" customWidth="1"/>
    <col min="11" max="11" width="31.7109375" customWidth="1"/>
    <col min="12" max="12" width="26.140625" bestFit="1" customWidth="1"/>
  </cols>
  <sheetData>
    <row r="1" spans="1:12" x14ac:dyDescent="0.25">
      <c r="A1" s="125" t="s">
        <v>232</v>
      </c>
      <c r="B1" s="133" t="s">
        <v>236</v>
      </c>
      <c r="C1" s="133" t="s">
        <v>242</v>
      </c>
      <c r="D1" s="133" t="s">
        <v>246</v>
      </c>
      <c r="E1" s="133" t="s">
        <v>247</v>
      </c>
      <c r="F1" s="133" t="s">
        <v>425</v>
      </c>
      <c r="G1" s="133" t="s">
        <v>426</v>
      </c>
      <c r="H1" s="133" t="s">
        <v>427</v>
      </c>
      <c r="I1" s="133" t="s">
        <v>491</v>
      </c>
      <c r="J1" s="133" t="s">
        <v>493</v>
      </c>
      <c r="K1" s="133" t="s">
        <v>492</v>
      </c>
      <c r="L1" s="133" t="s">
        <v>490</v>
      </c>
    </row>
    <row r="2" spans="1:12" x14ac:dyDescent="0.25">
      <c r="A2">
        <v>1</v>
      </c>
      <c r="B2" s="134" t="s">
        <v>222</v>
      </c>
      <c r="C2" s="135" t="s">
        <v>243</v>
      </c>
      <c r="D2" s="135" t="s">
        <v>168</v>
      </c>
      <c r="E2" s="135" t="s">
        <v>227</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25">
      <c r="A3">
        <v>2</v>
      </c>
      <c r="B3" s="137" t="s">
        <v>222</v>
      </c>
      <c r="C3" t="s">
        <v>244</v>
      </c>
      <c r="D3" t="s">
        <v>168</v>
      </c>
      <c r="E3" t="s">
        <v>221</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25">
      <c r="A4">
        <v>3</v>
      </c>
      <c r="B4" s="137" t="s">
        <v>222</v>
      </c>
      <c r="C4" t="s">
        <v>245</v>
      </c>
      <c r="D4" t="s">
        <v>227</v>
      </c>
      <c r="E4" t="s">
        <v>221</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25">
      <c r="A5">
        <v>4</v>
      </c>
      <c r="B5" s="167" t="s">
        <v>223</v>
      </c>
      <c r="C5" s="168" t="s">
        <v>243</v>
      </c>
      <c r="D5" s="135" t="s">
        <v>168</v>
      </c>
      <c r="E5" s="135" t="s">
        <v>227</v>
      </c>
      <c r="F5" s="136">
        <f t="shared" si="0"/>
        <v>14</v>
      </c>
      <c r="G5">
        <v>0</v>
      </c>
      <c r="H5" s="125">
        <v>0</v>
      </c>
      <c r="I5" s="166">
        <v>0</v>
      </c>
      <c r="J5" s="166">
        <v>0</v>
      </c>
      <c r="K5" s="166">
        <v>0</v>
      </c>
      <c r="L5" s="166">
        <v>0</v>
      </c>
    </row>
    <row r="6" spans="1:12" x14ac:dyDescent="0.25">
      <c r="A6">
        <v>5</v>
      </c>
      <c r="B6" s="169" t="s">
        <v>223</v>
      </c>
      <c r="C6" s="170" t="s">
        <v>244</v>
      </c>
      <c r="D6" t="s">
        <v>168</v>
      </c>
      <c r="E6" t="s">
        <v>221</v>
      </c>
      <c r="F6" s="138">
        <f t="shared" si="0"/>
        <v>17</v>
      </c>
      <c r="G6">
        <v>0</v>
      </c>
      <c r="H6" s="125">
        <v>0</v>
      </c>
      <c r="I6" s="166">
        <v>0</v>
      </c>
      <c r="J6" s="166">
        <v>0</v>
      </c>
      <c r="K6" s="166">
        <v>0</v>
      </c>
      <c r="L6" s="166">
        <v>0</v>
      </c>
    </row>
    <row r="7" spans="1:12" x14ac:dyDescent="0.25">
      <c r="A7">
        <v>6</v>
      </c>
      <c r="B7" s="139" t="s">
        <v>223</v>
      </c>
      <c r="C7" s="140" t="s">
        <v>245</v>
      </c>
      <c r="D7" s="140" t="s">
        <v>227</v>
      </c>
      <c r="E7" s="140" t="s">
        <v>221</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25">
      <c r="A8">
        <v>7</v>
      </c>
      <c r="B8" s="137" t="s">
        <v>224</v>
      </c>
      <c r="C8" t="s">
        <v>243</v>
      </c>
      <c r="D8" t="s">
        <v>168</v>
      </c>
      <c r="E8" t="s">
        <v>227</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25">
      <c r="A9">
        <v>8</v>
      </c>
      <c r="B9" s="137" t="s">
        <v>224</v>
      </c>
      <c r="C9" t="s">
        <v>244</v>
      </c>
      <c r="D9" t="s">
        <v>168</v>
      </c>
      <c r="E9" t="s">
        <v>221</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25">
      <c r="A10">
        <v>9</v>
      </c>
      <c r="B10" s="137" t="s">
        <v>224</v>
      </c>
      <c r="C10" t="s">
        <v>245</v>
      </c>
      <c r="D10" t="s">
        <v>227</v>
      </c>
      <c r="E10" t="s">
        <v>221</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25">
      <c r="A11">
        <v>10</v>
      </c>
      <c r="B11" s="134" t="s">
        <v>225</v>
      </c>
      <c r="C11" s="135" t="s">
        <v>243</v>
      </c>
      <c r="D11" s="135" t="s">
        <v>168</v>
      </c>
      <c r="E11" s="135" t="s">
        <v>227</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25">
      <c r="A12">
        <v>11</v>
      </c>
      <c r="B12" s="137" t="s">
        <v>225</v>
      </c>
      <c r="C12" t="s">
        <v>244</v>
      </c>
      <c r="D12" t="s">
        <v>168</v>
      </c>
      <c r="E12" t="s">
        <v>221</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25">
      <c r="A13">
        <v>12</v>
      </c>
      <c r="B13" s="139" t="s">
        <v>225</v>
      </c>
      <c r="C13" s="140" t="s">
        <v>245</v>
      </c>
      <c r="D13" s="140" t="s">
        <v>227</v>
      </c>
      <c r="E13" s="140" t="s">
        <v>221</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25">
      <c r="A14">
        <v>13</v>
      </c>
      <c r="B14" s="134" t="s">
        <v>226</v>
      </c>
      <c r="C14" s="135" t="s">
        <v>243</v>
      </c>
      <c r="D14" s="135" t="s">
        <v>168</v>
      </c>
      <c r="E14" s="135" t="s">
        <v>227</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25">
      <c r="A15">
        <v>14</v>
      </c>
      <c r="B15" s="137" t="s">
        <v>226</v>
      </c>
      <c r="C15" t="s">
        <v>244</v>
      </c>
      <c r="D15" t="s">
        <v>168</v>
      </c>
      <c r="E15" t="s">
        <v>221</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25">
      <c r="A16">
        <v>15</v>
      </c>
      <c r="B16" s="139" t="s">
        <v>226</v>
      </c>
      <c r="C16" s="140" t="s">
        <v>245</v>
      </c>
      <c r="D16" s="140" t="s">
        <v>227</v>
      </c>
      <c r="E16" s="140" t="s">
        <v>221</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25">
      <c r="A19" t="s">
        <v>428</v>
      </c>
    </row>
    <row r="21" spans="1:9" x14ac:dyDescent="0.25">
      <c r="A21" s="171" t="s">
        <v>429</v>
      </c>
    </row>
    <row r="22" spans="1:9" x14ac:dyDescent="0.25">
      <c r="B22" t="s">
        <v>236</v>
      </c>
      <c r="C22" t="s">
        <v>219</v>
      </c>
      <c r="D22" t="s">
        <v>430</v>
      </c>
      <c r="E22" t="s">
        <v>431</v>
      </c>
      <c r="H22" s="172" t="s">
        <v>432</v>
      </c>
      <c r="I22" t="s">
        <v>430</v>
      </c>
    </row>
    <row r="23" spans="1:9" ht="14.45" customHeight="1" x14ac:dyDescent="0.25">
      <c r="A23" t="s">
        <v>433</v>
      </c>
      <c r="B23" t="s">
        <v>224</v>
      </c>
      <c r="C23" t="s">
        <v>168</v>
      </c>
      <c r="D23">
        <v>199</v>
      </c>
      <c r="E23">
        <v>188</v>
      </c>
      <c r="F23" t="s">
        <v>434</v>
      </c>
      <c r="I23">
        <f>E23/('Parameter Input'!B227*'Parameter Input'!B228)</f>
        <v>3.4699150978220746E-2</v>
      </c>
    </row>
    <row r="24" spans="1:9" x14ac:dyDescent="0.25">
      <c r="A24" t="s">
        <v>435</v>
      </c>
      <c r="B24" t="s">
        <v>225</v>
      </c>
      <c r="C24" t="s">
        <v>168</v>
      </c>
      <c r="D24">
        <v>94</v>
      </c>
      <c r="E24">
        <v>84</v>
      </c>
      <c r="I24">
        <f>E24/('Parameter Input'!B239*'Parameter Input'!B240)</f>
        <v>1.7094017094017096E-2</v>
      </c>
    </row>
    <row r="25" spans="1:9" x14ac:dyDescent="0.25">
      <c r="A25" t="s">
        <v>436</v>
      </c>
      <c r="B25" t="s">
        <v>437</v>
      </c>
      <c r="C25" t="s">
        <v>168</v>
      </c>
      <c r="D25">
        <v>7</v>
      </c>
      <c r="E25">
        <v>37851</v>
      </c>
      <c r="I25">
        <f>E25/('Parameter Input'!B215*'Parameter Input'!B216)</f>
        <v>5.890289449112978</v>
      </c>
    </row>
    <row r="26" spans="1:9" x14ac:dyDescent="0.25">
      <c r="A26" t="s">
        <v>438</v>
      </c>
      <c r="B26" t="s">
        <v>226</v>
      </c>
      <c r="C26" t="s">
        <v>168</v>
      </c>
      <c r="D26">
        <v>76</v>
      </c>
      <c r="E26">
        <v>71</v>
      </c>
      <c r="I26">
        <f>E26/('Parameter Input'!B252*'Parameter Input'!B253)</f>
        <v>1.1048863990040458E-2</v>
      </c>
    </row>
    <row r="28" spans="1:9" x14ac:dyDescent="0.25">
      <c r="A28" t="s">
        <v>439</v>
      </c>
      <c r="B28" t="s">
        <v>224</v>
      </c>
      <c r="C28" t="s">
        <v>227</v>
      </c>
      <c r="D28">
        <v>217</v>
      </c>
      <c r="E28">
        <v>34</v>
      </c>
      <c r="F28" t="s">
        <v>440</v>
      </c>
      <c r="I28">
        <f>E28/('Parameter Input'!B174*'Parameter Input'!B175)</f>
        <v>3.5574776785714288E-2</v>
      </c>
    </row>
    <row r="29" spans="1:9" x14ac:dyDescent="0.25">
      <c r="A29" t="s">
        <v>441</v>
      </c>
      <c r="B29" t="s">
        <v>225</v>
      </c>
      <c r="C29" t="s">
        <v>227</v>
      </c>
      <c r="D29">
        <v>217</v>
      </c>
      <c r="E29">
        <v>34</v>
      </c>
      <c r="I29">
        <f>E29/('Parameter Input'!B186*'Parameter Input'!B187)</f>
        <v>2.1081349206349204E-2</v>
      </c>
    </row>
    <row r="30" spans="1:9" x14ac:dyDescent="0.25">
      <c r="A30" t="s">
        <v>442</v>
      </c>
      <c r="B30" t="s">
        <v>437</v>
      </c>
      <c r="C30" t="s">
        <v>227</v>
      </c>
      <c r="D30">
        <v>2</v>
      </c>
      <c r="E30">
        <v>49</v>
      </c>
      <c r="I30">
        <f>E30/('Parameter Input'!B150*'Parameter Input'!B151)</f>
        <v>3.41796875E-2</v>
      </c>
    </row>
    <row r="31" spans="1:9" x14ac:dyDescent="0.25">
      <c r="A31" t="s">
        <v>443</v>
      </c>
      <c r="B31" t="s">
        <v>226</v>
      </c>
      <c r="C31" t="s">
        <v>227</v>
      </c>
      <c r="D31">
        <v>19</v>
      </c>
      <c r="E31">
        <v>214</v>
      </c>
      <c r="I31">
        <f>E31/('Parameter Input'!B197*'Parameter Input'!B198)</f>
        <v>0.17912946428571427</v>
      </c>
    </row>
    <row r="32" spans="1:9" x14ac:dyDescent="0.25">
      <c r="A32" t="s">
        <v>444</v>
      </c>
      <c r="B32" t="s">
        <v>223</v>
      </c>
      <c r="C32" t="s">
        <v>227</v>
      </c>
      <c r="D32">
        <v>9</v>
      </c>
      <c r="E32">
        <v>85</v>
      </c>
      <c r="I32">
        <f>E32/('Parameter Input'!B162*'Parameter Input'!B163)</f>
        <v>8.8936941964285712E-2</v>
      </c>
    </row>
    <row r="34" spans="1:9" x14ac:dyDescent="0.25">
      <c r="A34" t="s">
        <v>445</v>
      </c>
      <c r="B34" t="s">
        <v>224</v>
      </c>
      <c r="C34" t="s">
        <v>221</v>
      </c>
      <c r="D34">
        <v>179</v>
      </c>
      <c r="E34">
        <v>171</v>
      </c>
      <c r="F34" t="s">
        <v>446</v>
      </c>
      <c r="I34">
        <f>E34/('Parameter Input'!B105*'Parameter Input'!B106)</f>
        <v>11.152173913043477</v>
      </c>
    </row>
    <row r="35" spans="1:9" x14ac:dyDescent="0.25">
      <c r="A35" t="s">
        <v>447</v>
      </c>
      <c r="B35" t="s">
        <v>225</v>
      </c>
      <c r="C35" t="s">
        <v>221</v>
      </c>
      <c r="D35">
        <v>135</v>
      </c>
      <c r="E35">
        <v>158</v>
      </c>
      <c r="I35">
        <f>E35/('Parameter Input'!B118*'Parameter Input'!B119)</f>
        <v>10.304347826086955</v>
      </c>
    </row>
    <row r="36" spans="1:9" x14ac:dyDescent="0.25">
      <c r="A36" t="s">
        <v>448</v>
      </c>
      <c r="B36" t="s">
        <v>437</v>
      </c>
      <c r="C36" t="s">
        <v>221</v>
      </c>
      <c r="D36">
        <v>4</v>
      </c>
      <c r="E36">
        <v>85</v>
      </c>
      <c r="I36">
        <f>E36/('Parameter Input'!B80*'Parameter Input'!B81)</f>
        <v>6.0714285714285721</v>
      </c>
    </row>
    <row r="37" spans="1:9" x14ac:dyDescent="0.25">
      <c r="A37" t="s">
        <v>449</v>
      </c>
      <c r="B37" t="s">
        <v>226</v>
      </c>
      <c r="C37" t="s">
        <v>221</v>
      </c>
      <c r="D37">
        <v>8</v>
      </c>
      <c r="E37">
        <v>339</v>
      </c>
      <c r="I37">
        <f>E37/('Parameter Input'!B132*'Parameter Input'!B133)</f>
        <v>21.1875</v>
      </c>
    </row>
    <row r="38" spans="1:9" x14ac:dyDescent="0.25">
      <c r="A38" t="s">
        <v>450</v>
      </c>
      <c r="B38" t="s">
        <v>223</v>
      </c>
      <c r="C38" t="s">
        <v>221</v>
      </c>
      <c r="D38">
        <v>12</v>
      </c>
      <c r="E38">
        <v>157</v>
      </c>
      <c r="I38">
        <f>E38/('Parameter Input'!B92*'Parameter Input'!B93)</f>
        <v>9.8125</v>
      </c>
    </row>
    <row r="42" spans="1:9" x14ac:dyDescent="0.25">
      <c r="A42" s="171" t="s">
        <v>429</v>
      </c>
      <c r="C42" t="s">
        <v>451</v>
      </c>
      <c r="E42" t="s">
        <v>452</v>
      </c>
      <c r="F42" t="s">
        <v>453</v>
      </c>
    </row>
    <row r="43" spans="1:9" x14ac:dyDescent="0.25">
      <c r="C43" s="133" t="s">
        <v>454</v>
      </c>
      <c r="E43" t="s">
        <v>224</v>
      </c>
      <c r="F43">
        <f>2*170</f>
        <v>340</v>
      </c>
      <c r="G43" t="s">
        <v>455</v>
      </c>
    </row>
    <row r="44" spans="1:9" x14ac:dyDescent="0.25">
      <c r="A44" t="s">
        <v>436</v>
      </c>
      <c r="C44">
        <v>4</v>
      </c>
    </row>
    <row r="45" spans="1:9" x14ac:dyDescent="0.25">
      <c r="A45" t="s">
        <v>436</v>
      </c>
      <c r="C45">
        <v>4</v>
      </c>
    </row>
    <row r="46" spans="1:9" x14ac:dyDescent="0.25">
      <c r="A46" t="s">
        <v>456</v>
      </c>
      <c r="C46">
        <v>2</v>
      </c>
    </row>
    <row r="47" spans="1:9" x14ac:dyDescent="0.25">
      <c r="A47" t="s">
        <v>457</v>
      </c>
      <c r="C47">
        <v>5</v>
      </c>
    </row>
    <row r="48" spans="1:9" x14ac:dyDescent="0.25">
      <c r="A48" t="s">
        <v>457</v>
      </c>
      <c r="C48">
        <v>5</v>
      </c>
    </row>
    <row r="49" spans="1:3" x14ac:dyDescent="0.25">
      <c r="A49" t="s">
        <v>456</v>
      </c>
      <c r="C49">
        <v>2</v>
      </c>
    </row>
    <row r="50" spans="1:3" x14ac:dyDescent="0.25">
      <c r="A50" t="s">
        <v>433</v>
      </c>
      <c r="C50">
        <v>199</v>
      </c>
    </row>
    <row r="51" spans="1:3" x14ac:dyDescent="0.25">
      <c r="A51" t="s">
        <v>433</v>
      </c>
      <c r="C51">
        <v>199</v>
      </c>
    </row>
    <row r="52" spans="1:3" x14ac:dyDescent="0.25">
      <c r="A52" t="s">
        <v>458</v>
      </c>
      <c r="C52">
        <v>217</v>
      </c>
    </row>
    <row r="53" spans="1:3" x14ac:dyDescent="0.25">
      <c r="A53" t="s">
        <v>459</v>
      </c>
      <c r="C53">
        <v>94</v>
      </c>
    </row>
    <row r="54" spans="1:3" x14ac:dyDescent="0.25">
      <c r="A54" t="s">
        <v>459</v>
      </c>
      <c r="C54">
        <v>94</v>
      </c>
    </row>
    <row r="55" spans="1:3" x14ac:dyDescent="0.25">
      <c r="A55" t="s">
        <v>458</v>
      </c>
      <c r="C55">
        <v>217</v>
      </c>
    </row>
    <row r="56" spans="1:3" x14ac:dyDescent="0.25">
      <c r="A56" t="s">
        <v>438</v>
      </c>
      <c r="C56">
        <v>76</v>
      </c>
    </row>
    <row r="57" spans="1:3" x14ac:dyDescent="0.25">
      <c r="A57" t="s">
        <v>438</v>
      </c>
      <c r="C57">
        <v>76</v>
      </c>
    </row>
    <row r="58" spans="1:3" x14ac:dyDescent="0.25">
      <c r="A58" t="s">
        <v>460</v>
      </c>
      <c r="C58">
        <v>31</v>
      </c>
    </row>
    <row r="60" spans="1:3" x14ac:dyDescent="0.25">
      <c r="C60" s="133" t="s">
        <v>420</v>
      </c>
    </row>
    <row r="61" spans="1:3" x14ac:dyDescent="0.25">
      <c r="A61" t="s">
        <v>456</v>
      </c>
      <c r="C61">
        <v>2</v>
      </c>
    </row>
    <row r="62" spans="1:3" x14ac:dyDescent="0.25">
      <c r="A62" t="s">
        <v>461</v>
      </c>
      <c r="C62">
        <v>4</v>
      </c>
    </row>
    <row r="63" spans="1:3" x14ac:dyDescent="0.25">
      <c r="A63" t="s">
        <v>461</v>
      </c>
      <c r="C63">
        <v>4</v>
      </c>
    </row>
    <row r="64" spans="1:3" x14ac:dyDescent="0.25">
      <c r="A64" t="s">
        <v>462</v>
      </c>
      <c r="C64">
        <v>9</v>
      </c>
    </row>
    <row r="65" spans="1:3" x14ac:dyDescent="0.25">
      <c r="A65" t="s">
        <v>463</v>
      </c>
      <c r="C65">
        <v>12</v>
      </c>
    </row>
    <row r="66" spans="1:3" x14ac:dyDescent="0.25">
      <c r="A66" t="s">
        <v>463</v>
      </c>
      <c r="C66">
        <v>12</v>
      </c>
    </row>
    <row r="67" spans="1:3" x14ac:dyDescent="0.25">
      <c r="A67" t="s">
        <v>458</v>
      </c>
      <c r="C67">
        <v>217</v>
      </c>
    </row>
    <row r="68" spans="1:3" x14ac:dyDescent="0.25">
      <c r="A68" t="s">
        <v>464</v>
      </c>
      <c r="C68">
        <v>178</v>
      </c>
    </row>
    <row r="69" spans="1:3" x14ac:dyDescent="0.25">
      <c r="A69" t="s">
        <v>464</v>
      </c>
      <c r="C69">
        <v>178</v>
      </c>
    </row>
    <row r="70" spans="1:3" x14ac:dyDescent="0.25">
      <c r="A70" t="s">
        <v>458</v>
      </c>
      <c r="C70">
        <v>217</v>
      </c>
    </row>
    <row r="71" spans="1:3" x14ac:dyDescent="0.25">
      <c r="A71" t="s">
        <v>465</v>
      </c>
      <c r="C71">
        <v>200</v>
      </c>
    </row>
    <row r="72" spans="1:3" x14ac:dyDescent="0.25">
      <c r="A72" t="s">
        <v>465</v>
      </c>
      <c r="C72">
        <v>200</v>
      </c>
    </row>
    <row r="73" spans="1:3" x14ac:dyDescent="0.25">
      <c r="A73" t="s">
        <v>460</v>
      </c>
      <c r="C73">
        <v>31</v>
      </c>
    </row>
    <row r="74" spans="1:3" x14ac:dyDescent="0.25">
      <c r="A74" t="s">
        <v>466</v>
      </c>
      <c r="C74">
        <v>26</v>
      </c>
    </row>
    <row r="75" spans="1:3" x14ac:dyDescent="0.25">
      <c r="A75" t="s">
        <v>466</v>
      </c>
      <c r="C75">
        <v>26</v>
      </c>
    </row>
    <row r="86" spans="1:7" x14ac:dyDescent="0.25">
      <c r="A86" t="s">
        <v>488</v>
      </c>
    </row>
    <row r="87" spans="1:7" x14ac:dyDescent="0.25">
      <c r="A87" s="184" t="s">
        <v>467</v>
      </c>
      <c r="B87" t="s">
        <v>468</v>
      </c>
      <c r="C87" t="s">
        <v>469</v>
      </c>
    </row>
    <row r="88" spans="1:7" x14ac:dyDescent="0.25">
      <c r="A88" t="s">
        <v>470</v>
      </c>
      <c r="B88">
        <v>525</v>
      </c>
    </row>
    <row r="89" spans="1:7" x14ac:dyDescent="0.25">
      <c r="A89" t="s">
        <v>224</v>
      </c>
      <c r="B89">
        <v>47</v>
      </c>
    </row>
    <row r="90" spans="1:7" x14ac:dyDescent="0.25">
      <c r="A90" t="s">
        <v>471</v>
      </c>
      <c r="B90">
        <v>44</v>
      </c>
    </row>
    <row r="91" spans="1:7" x14ac:dyDescent="0.25">
      <c r="A91" t="s">
        <v>472</v>
      </c>
      <c r="B91">
        <v>734</v>
      </c>
    </row>
    <row r="93" spans="1:7" x14ac:dyDescent="0.25">
      <c r="A93" t="s">
        <v>489</v>
      </c>
    </row>
    <row r="94" spans="1:7" x14ac:dyDescent="0.25">
      <c r="A94" s="184" t="s">
        <v>473</v>
      </c>
      <c r="C94" t="s">
        <v>474</v>
      </c>
    </row>
    <row r="95" spans="1:7" x14ac:dyDescent="0.25">
      <c r="A95" t="s">
        <v>475</v>
      </c>
      <c r="B95">
        <f>5/20</f>
        <v>0.25</v>
      </c>
      <c r="C95" t="s">
        <v>476</v>
      </c>
      <c r="G95" s="173"/>
    </row>
    <row r="96" spans="1:7" x14ac:dyDescent="0.25">
      <c r="A96" t="s">
        <v>477</v>
      </c>
      <c r="B96">
        <f>5/20</f>
        <v>0.25</v>
      </c>
      <c r="C96" t="s">
        <v>478</v>
      </c>
      <c r="G96" s="173"/>
    </row>
    <row r="97" spans="1:7" x14ac:dyDescent="0.25">
      <c r="A97" t="s">
        <v>479</v>
      </c>
      <c r="B97">
        <v>0.1</v>
      </c>
      <c r="C97" t="s">
        <v>478</v>
      </c>
      <c r="G97" s="173"/>
    </row>
    <row r="98" spans="1:7" x14ac:dyDescent="0.25">
      <c r="A98" t="s">
        <v>480</v>
      </c>
      <c r="B98">
        <f>7/20</f>
        <v>0.35</v>
      </c>
      <c r="C98" t="s">
        <v>478</v>
      </c>
      <c r="G98" s="173"/>
    </row>
    <row r="99" spans="1:7" x14ac:dyDescent="0.25">
      <c r="A99" t="s">
        <v>505</v>
      </c>
      <c r="B99">
        <f>25/25</f>
        <v>1</v>
      </c>
      <c r="C99" t="s">
        <v>506</v>
      </c>
      <c r="G99" s="173"/>
    </row>
    <row r="102" spans="1:7" x14ac:dyDescent="0.25">
      <c r="A102" s="184" t="s">
        <v>481</v>
      </c>
      <c r="C102" t="s">
        <v>482</v>
      </c>
    </row>
    <row r="103" spans="1:7" x14ac:dyDescent="0.25">
      <c r="A103" t="s">
        <v>224</v>
      </c>
      <c r="B103">
        <v>8</v>
      </c>
    </row>
    <row r="104" spans="1:7" x14ac:dyDescent="0.25">
      <c r="A104" t="s">
        <v>225</v>
      </c>
      <c r="B104">
        <v>8</v>
      </c>
    </row>
    <row r="105" spans="1:7" x14ac:dyDescent="0.25">
      <c r="A105" t="s">
        <v>437</v>
      </c>
      <c r="B105">
        <v>24</v>
      </c>
    </row>
    <row r="106" spans="1:7" x14ac:dyDescent="0.25">
      <c r="A106" t="s">
        <v>226</v>
      </c>
      <c r="B106">
        <v>24</v>
      </c>
    </row>
    <row r="107" spans="1:7" x14ac:dyDescent="0.25">
      <c r="A107" t="s">
        <v>223</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CI296"/>
  <sheetViews>
    <sheetView topLeftCell="G24" zoomScale="85" zoomScaleNormal="85" workbookViewId="0">
      <selection activeCell="J56" sqref="J56"/>
    </sheetView>
  </sheetViews>
  <sheetFormatPr defaultColWidth="8.7109375" defaultRowHeight="15" x14ac:dyDescent="0.25"/>
  <cols>
    <col min="1" max="1" width="48.7109375" style="4" bestFit="1" customWidth="1"/>
    <col min="2" max="2" width="14" style="4" customWidth="1"/>
    <col min="3" max="3" width="12.42578125" style="4" bestFit="1" customWidth="1"/>
    <col min="4" max="4" width="7.28515625" style="4" bestFit="1" customWidth="1"/>
    <col min="5" max="5" width="21.42578125" style="4" bestFit="1" customWidth="1"/>
    <col min="6" max="7" width="4.42578125" style="4" bestFit="1" customWidth="1"/>
    <col min="8" max="8" width="7" style="4" bestFit="1" customWidth="1"/>
    <col min="9" max="9" width="32.28515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7109375" style="4" bestFit="1" customWidth="1"/>
    <col min="17" max="17" width="5.42578125" style="4" bestFit="1" customWidth="1"/>
    <col min="18" max="18" width="7" style="4" bestFit="1" customWidth="1"/>
    <col min="19" max="19" width="41.5703125" style="4" bestFit="1" customWidth="1"/>
    <col min="20" max="21" width="8.7109375" style="4"/>
    <col min="22" max="22" width="11.5703125" style="4" bestFit="1" customWidth="1"/>
    <col min="23" max="23" width="32.28515625" style="4" bestFit="1" customWidth="1"/>
    <col min="24" max="24" width="12.7109375" style="4" bestFit="1" customWidth="1"/>
    <col min="25" max="25" width="27" style="4" bestFit="1" customWidth="1"/>
    <col min="26" max="26" width="14.7109375" style="4" bestFit="1" customWidth="1"/>
    <col min="27" max="27" width="8.7109375" style="4"/>
    <col min="28" max="28" width="24.42578125" style="4" bestFit="1" customWidth="1"/>
    <col min="29" max="29" width="25.5703125" style="4" bestFit="1" customWidth="1"/>
    <col min="30" max="30" width="8.7109375" style="4" customWidth="1"/>
    <col min="31" max="31" width="12.7109375" style="4" bestFit="1" customWidth="1"/>
    <col min="32" max="32" width="8.7109375" style="4"/>
    <col min="33" max="33" width="24.42578125" style="4" bestFit="1" customWidth="1"/>
    <col min="34" max="34" width="13.5703125" style="4" bestFit="1" customWidth="1"/>
    <col min="35" max="35" width="8.7109375" style="4" customWidth="1"/>
    <col min="36" max="36" width="11.42578125" style="4" bestFit="1" customWidth="1"/>
    <col min="37" max="37" width="8.7109375" style="4"/>
    <col min="38" max="38" width="24.42578125" style="4" bestFit="1" customWidth="1"/>
    <col min="39" max="39" width="13.5703125" style="4" bestFit="1" customWidth="1"/>
    <col min="40" max="40" width="8.71093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7109375" style="4" bestFit="1" customWidth="1"/>
    <col min="46" max="46" width="14.5703125" style="4" bestFit="1" customWidth="1"/>
    <col min="47" max="16384" width="8.7109375" style="4"/>
  </cols>
  <sheetData>
    <row r="1" spans="1:37" s="93" customFormat="1" ht="31.5" x14ac:dyDescent="0.5">
      <c r="A1" s="93" t="s">
        <v>238</v>
      </c>
    </row>
    <row r="2" spans="1:37" ht="15.75" thickBot="1" x14ac:dyDescent="0.3">
      <c r="I2" s="152"/>
    </row>
    <row r="3" spans="1:37" ht="15.75" thickBot="1" x14ac:dyDescent="0.3">
      <c r="A3" s="185" t="s">
        <v>238</v>
      </c>
      <c r="B3" s="186">
        <v>2023</v>
      </c>
      <c r="C3" s="186">
        <v>2050</v>
      </c>
      <c r="D3" s="187" t="s">
        <v>5</v>
      </c>
      <c r="E3" s="185" t="s">
        <v>8</v>
      </c>
      <c r="F3" s="186" t="s">
        <v>9</v>
      </c>
      <c r="G3" s="187" t="s">
        <v>10</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25">
      <c r="A4" s="188" t="s">
        <v>239</v>
      </c>
      <c r="B4" s="189">
        <v>0</v>
      </c>
      <c r="C4" s="189">
        <v>0</v>
      </c>
      <c r="D4" s="190" t="s">
        <v>13</v>
      </c>
      <c r="E4" s="191">
        <v>17</v>
      </c>
      <c r="F4" s="189">
        <v>0.9</v>
      </c>
      <c r="G4" s="190">
        <v>0.4</v>
      </c>
      <c r="I4" s="4" t="s">
        <v>409</v>
      </c>
      <c r="J4" s="165">
        <v>8.0999995899999996E-2</v>
      </c>
      <c r="K4" s="165">
        <v>8.0999995899999996E-2</v>
      </c>
      <c r="L4" s="165">
        <v>8.0999995899999996E-2</v>
      </c>
      <c r="M4" s="165">
        <v>8.0999995899999996E-2</v>
      </c>
      <c r="N4" s="165">
        <v>8.0999995899999996E-2</v>
      </c>
      <c r="O4" s="165">
        <v>8.0999995899999996E-2</v>
      </c>
      <c r="P4" s="165">
        <v>8.0999995899999996E-2</v>
      </c>
      <c r="Q4" s="165">
        <v>8.0999995899999996E-2</v>
      </c>
      <c r="R4" s="165">
        <v>8.3066662360000001E-2</v>
      </c>
      <c r="S4" s="165">
        <v>8.5133328820000007E-2</v>
      </c>
      <c r="T4" s="165">
        <v>8.7199995280000012E-2</v>
      </c>
      <c r="U4" s="165">
        <v>8.9266661740000017E-2</v>
      </c>
      <c r="V4" s="165">
        <v>9.1333328199999994E-2</v>
      </c>
      <c r="W4" s="165">
        <v>9.046666162E-2</v>
      </c>
      <c r="X4" s="165">
        <v>8.9599995039999991E-2</v>
      </c>
      <c r="Y4" s="165">
        <v>8.8733328459999983E-2</v>
      </c>
      <c r="Z4" s="165">
        <v>8.7866661879999974E-2</v>
      </c>
      <c r="AA4" s="165">
        <v>8.6999995299999994E-2</v>
      </c>
      <c r="AB4" s="165">
        <v>8.6133328719999985E-2</v>
      </c>
      <c r="AC4" s="165">
        <v>8.5266662139999991E-2</v>
      </c>
      <c r="AD4" s="165">
        <v>8.4399995559999982E-2</v>
      </c>
      <c r="AE4" s="165">
        <v>8.3533328979999974E-2</v>
      </c>
      <c r="AF4" s="165">
        <v>8.2666662399999993E-2</v>
      </c>
      <c r="AG4" s="165">
        <v>8.1799995819999985E-2</v>
      </c>
      <c r="AH4" s="165">
        <v>8.093332923999999E-2</v>
      </c>
      <c r="AI4" s="165">
        <v>8.0066662659999982E-2</v>
      </c>
      <c r="AJ4" s="165">
        <v>7.9199996079999987E-2</v>
      </c>
      <c r="AK4" s="165">
        <v>7.8333329499999993E-2</v>
      </c>
    </row>
    <row r="5" spans="1:37" x14ac:dyDescent="0.25">
      <c r="A5" s="175" t="s">
        <v>406</v>
      </c>
      <c r="B5" s="176">
        <v>0.1</v>
      </c>
      <c r="C5" s="176">
        <v>0.1</v>
      </c>
      <c r="D5" s="176" t="s">
        <v>68</v>
      </c>
      <c r="E5" s="176">
        <v>12</v>
      </c>
      <c r="F5" s="176">
        <v>0.9</v>
      </c>
      <c r="G5" s="177">
        <v>0.4</v>
      </c>
      <c r="I5" s="4" t="s">
        <v>103</v>
      </c>
      <c r="J5" s="165">
        <v>0.17650758633144634</v>
      </c>
      <c r="K5" s="165">
        <v>0.17141203646151962</v>
      </c>
      <c r="L5" s="165">
        <v>0.16631648659159295</v>
      </c>
      <c r="M5" s="165">
        <v>0.16281432766630949</v>
      </c>
      <c r="N5" s="165">
        <v>0.15931216874102602</v>
      </c>
      <c r="O5" s="165">
        <v>0.15581000981574256</v>
      </c>
      <c r="P5" s="165">
        <v>0.15230785089045909</v>
      </c>
      <c r="Q5" s="165">
        <v>0.1488056919651756</v>
      </c>
      <c r="R5" s="165">
        <v>0.14909793604375518</v>
      </c>
      <c r="S5" s="165">
        <v>0.14939018012233476</v>
      </c>
      <c r="T5" s="165">
        <v>0.14968242420091435</v>
      </c>
      <c r="U5" s="165">
        <v>0.14997466827949391</v>
      </c>
      <c r="V5" s="165">
        <v>0.15026691235807355</v>
      </c>
      <c r="W5" s="165">
        <v>0.14685063279900346</v>
      </c>
      <c r="X5" s="165">
        <v>0.14343435323993334</v>
      </c>
      <c r="Y5" s="165">
        <v>0.14001807368086325</v>
      </c>
      <c r="Z5" s="165">
        <v>0.13660179412179316</v>
      </c>
      <c r="AA5" s="165">
        <v>0.1331855145627231</v>
      </c>
      <c r="AB5" s="165">
        <v>0.13003016708307891</v>
      </c>
      <c r="AC5" s="165">
        <v>0.12687481960343472</v>
      </c>
      <c r="AD5" s="165">
        <v>0.12371947212379053</v>
      </c>
      <c r="AE5" s="165">
        <v>0.12056412464414634</v>
      </c>
      <c r="AF5" s="165">
        <v>0.11740877716450215</v>
      </c>
      <c r="AG5" s="165">
        <v>0.11483288597039364</v>
      </c>
      <c r="AH5" s="165">
        <v>0.11225699477628512</v>
      </c>
      <c r="AI5" s="165">
        <v>0.10968110358217659</v>
      </c>
      <c r="AJ5" s="165">
        <v>0.10710521238806807</v>
      </c>
      <c r="AK5" s="165">
        <v>0.10452932119395957</v>
      </c>
    </row>
    <row r="6" spans="1:37" x14ac:dyDescent="0.25">
      <c r="A6" s="178" t="s">
        <v>407</v>
      </c>
      <c r="B6" s="179">
        <v>0.06</v>
      </c>
      <c r="C6" s="179">
        <v>0.06</v>
      </c>
      <c r="D6" s="179" t="s">
        <v>68</v>
      </c>
      <c r="E6" s="179">
        <v>17</v>
      </c>
      <c r="F6" s="179">
        <v>0.9</v>
      </c>
      <c r="G6" s="180">
        <v>0.4</v>
      </c>
      <c r="I6" s="4" t="s">
        <v>186</v>
      </c>
      <c r="J6" s="165">
        <v>0.15796068463848831</v>
      </c>
      <c r="K6" s="165">
        <v>0.15426708731267802</v>
      </c>
      <c r="L6" s="165">
        <v>0.1505734899868677</v>
      </c>
      <c r="M6" s="165">
        <v>0.14821852539008218</v>
      </c>
      <c r="N6" s="165">
        <v>0.14586356079329663</v>
      </c>
      <c r="O6" s="165">
        <v>0.1435085961965111</v>
      </c>
      <c r="P6" s="165">
        <v>0.14115363159972555</v>
      </c>
      <c r="Q6" s="165">
        <v>0.13879866700293997</v>
      </c>
      <c r="R6" s="165">
        <v>0.1405953284523826</v>
      </c>
      <c r="S6" s="165">
        <v>0.14239198990182525</v>
      </c>
      <c r="T6" s="165">
        <v>0.14418865135126788</v>
      </c>
      <c r="U6" s="165">
        <v>0.14598531280071053</v>
      </c>
      <c r="V6" s="165">
        <v>0.14778197425015313</v>
      </c>
      <c r="W6" s="165">
        <v>0.14497239428752798</v>
      </c>
      <c r="X6" s="165">
        <v>0.14216281432490285</v>
      </c>
      <c r="Y6" s="165">
        <v>0.1393532343622777</v>
      </c>
      <c r="Z6" s="165">
        <v>0.13654365439965255</v>
      </c>
      <c r="AA6" s="165">
        <v>0.13373407443702739</v>
      </c>
      <c r="AB6" s="165">
        <v>0.13116562897048312</v>
      </c>
      <c r="AC6" s="165">
        <v>0.12859718350393887</v>
      </c>
      <c r="AD6" s="165">
        <v>0.12602873803739459</v>
      </c>
      <c r="AE6" s="165">
        <v>0.1234602925708503</v>
      </c>
      <c r="AF6" s="165">
        <v>0.12089184710430603</v>
      </c>
      <c r="AG6" s="165">
        <v>0.11844996886324041</v>
      </c>
      <c r="AH6" s="165">
        <v>0.11600809062217481</v>
      </c>
      <c r="AI6" s="165">
        <v>0.1135662123811092</v>
      </c>
      <c r="AJ6" s="165">
        <v>0.11112433414004359</v>
      </c>
      <c r="AK6" s="165">
        <v>0.10868245589897794</v>
      </c>
    </row>
    <row r="7" spans="1:37" x14ac:dyDescent="0.25">
      <c r="A7" s="178" t="s">
        <v>408</v>
      </c>
      <c r="B7" s="179">
        <v>3.1399999999999997E-2</v>
      </c>
      <c r="C7" s="179">
        <v>3.1399999999999997E-2</v>
      </c>
      <c r="D7" s="179" t="s">
        <v>68</v>
      </c>
      <c r="E7" s="179">
        <v>17</v>
      </c>
      <c r="F7" s="179">
        <v>0.9</v>
      </c>
      <c r="G7" s="180">
        <v>0.4</v>
      </c>
      <c r="I7" s="4" t="s">
        <v>187</v>
      </c>
      <c r="J7" s="165">
        <v>0.33860978809845654</v>
      </c>
      <c r="K7" s="165">
        <v>0.32399893120368356</v>
      </c>
      <c r="L7" s="165">
        <v>0.30938807430891058</v>
      </c>
      <c r="M7" s="165">
        <v>0.29628478287221349</v>
      </c>
      <c r="N7" s="165">
        <v>0.28318149143551641</v>
      </c>
      <c r="O7" s="165">
        <v>0.27007819999881932</v>
      </c>
      <c r="P7" s="165">
        <v>0.25697490856212224</v>
      </c>
      <c r="Q7" s="165">
        <v>0.24387161712542507</v>
      </c>
      <c r="R7" s="165">
        <v>0.23813955720586791</v>
      </c>
      <c r="S7" s="165">
        <v>0.23240749728631072</v>
      </c>
      <c r="T7" s="165">
        <v>0.22667543736675355</v>
      </c>
      <c r="U7" s="165">
        <v>0.22094337744719639</v>
      </c>
      <c r="V7" s="165">
        <v>0.21521131752763925</v>
      </c>
      <c r="W7" s="165">
        <v>0.20784400914982837</v>
      </c>
      <c r="X7" s="165">
        <v>0.20047670077201749</v>
      </c>
      <c r="Y7" s="165">
        <v>0.19310939239420657</v>
      </c>
      <c r="Z7" s="165">
        <v>0.18574208401639569</v>
      </c>
      <c r="AA7" s="165">
        <v>0.17837477563858489</v>
      </c>
      <c r="AB7" s="165">
        <v>0.17337343843558548</v>
      </c>
      <c r="AC7" s="165">
        <v>0.16837210123258603</v>
      </c>
      <c r="AD7" s="165">
        <v>0.16337076402958661</v>
      </c>
      <c r="AE7" s="165">
        <v>0.15836942682658722</v>
      </c>
      <c r="AF7" s="165">
        <v>0.15336808962358783</v>
      </c>
      <c r="AG7" s="165">
        <v>0.14990370608596207</v>
      </c>
      <c r="AH7" s="165">
        <v>0.1464393225483363</v>
      </c>
      <c r="AI7" s="165">
        <v>0.14297493901071057</v>
      </c>
      <c r="AJ7" s="165">
        <v>0.1395105554730848</v>
      </c>
      <c r="AK7" s="165">
        <v>0.13604617193545901</v>
      </c>
    </row>
    <row r="8" spans="1:37" x14ac:dyDescent="0.25">
      <c r="A8" s="178" t="s">
        <v>409</v>
      </c>
      <c r="B8" s="179">
        <v>0.13371034051801745</v>
      </c>
      <c r="C8" s="179">
        <v>8.7585019329602734E-2</v>
      </c>
      <c r="D8" s="179" t="s">
        <v>68</v>
      </c>
      <c r="E8" s="179">
        <v>12</v>
      </c>
      <c r="F8" s="179">
        <v>0.9</v>
      </c>
      <c r="G8" s="180">
        <v>0.4</v>
      </c>
      <c r="I8" s="4" t="s">
        <v>11</v>
      </c>
      <c r="J8" s="165">
        <v>6.4802641056422569E-2</v>
      </c>
      <c r="K8" s="165">
        <v>6.3089795918367345E-2</v>
      </c>
      <c r="L8" s="165">
        <v>6.1376950780312127E-2</v>
      </c>
      <c r="M8" s="165">
        <v>5.9664105642256909E-2</v>
      </c>
      <c r="N8" s="165">
        <v>5.7951260504201692E-2</v>
      </c>
      <c r="O8" s="165">
        <v>5.6238415366146474E-2</v>
      </c>
      <c r="P8" s="165">
        <v>5.4525570228091257E-2</v>
      </c>
      <c r="Q8" s="165">
        <v>5.2812725090036025E-2</v>
      </c>
      <c r="R8" s="165">
        <v>5.2313145258103252E-2</v>
      </c>
      <c r="S8" s="165">
        <v>5.181356542617048E-2</v>
      </c>
      <c r="T8" s="165">
        <v>5.1313985594237707E-2</v>
      </c>
      <c r="U8" s="165">
        <v>5.0814405762304934E-2</v>
      </c>
      <c r="V8" s="165">
        <v>5.0314825930372155E-2</v>
      </c>
      <c r="W8" s="165">
        <v>4.9815246098439382E-2</v>
      </c>
      <c r="X8" s="165">
        <v>4.931566626650661E-2</v>
      </c>
      <c r="Y8" s="165">
        <v>4.8816086434573837E-2</v>
      </c>
      <c r="Z8" s="165">
        <v>4.8316506602641064E-2</v>
      </c>
      <c r="AA8" s="165">
        <v>4.7816926770708292E-2</v>
      </c>
      <c r="AB8" s="165">
        <v>4.7317346938775519E-2</v>
      </c>
      <c r="AC8" s="165">
        <v>4.6817767106842746E-2</v>
      </c>
      <c r="AD8" s="165">
        <v>4.6318187274909974E-2</v>
      </c>
      <c r="AE8" s="165">
        <v>4.5818607442977201E-2</v>
      </c>
      <c r="AF8" s="165">
        <v>4.5319027611044428E-2</v>
      </c>
      <c r="AG8" s="165">
        <v>4.4819447779111656E-2</v>
      </c>
      <c r="AH8" s="165">
        <v>4.4319867947178883E-2</v>
      </c>
      <c r="AI8" s="165">
        <v>4.382028811524611E-2</v>
      </c>
      <c r="AJ8" s="165">
        <v>4.3320708283313338E-2</v>
      </c>
      <c r="AK8" s="165">
        <v>4.2821128451380565E-2</v>
      </c>
    </row>
    <row r="9" spans="1:37" x14ac:dyDescent="0.25">
      <c r="A9" s="178" t="s">
        <v>103</v>
      </c>
      <c r="B9" s="179">
        <v>0.2544561408768215</v>
      </c>
      <c r="C9" s="179">
        <v>0.10949010032952979</v>
      </c>
      <c r="D9" s="179" t="s">
        <v>68</v>
      </c>
      <c r="E9" s="179">
        <v>12</v>
      </c>
      <c r="F9" s="179">
        <v>0.9</v>
      </c>
      <c r="G9" s="180">
        <v>0.4</v>
      </c>
      <c r="I9" s="4" t="s">
        <v>279</v>
      </c>
      <c r="J9" s="165">
        <v>6.4802641056422569E-2</v>
      </c>
      <c r="K9" s="165">
        <v>6.3089795918367345E-2</v>
      </c>
      <c r="L9" s="165">
        <v>6.1376950780312127E-2</v>
      </c>
      <c r="M9" s="165">
        <v>5.9664105642256909E-2</v>
      </c>
      <c r="N9" s="165">
        <v>5.7951260504201692E-2</v>
      </c>
      <c r="O9" s="165">
        <v>5.6238415366146474E-2</v>
      </c>
      <c r="P9" s="165">
        <v>5.4525570228091257E-2</v>
      </c>
      <c r="Q9" s="165">
        <v>5.2812725090036025E-2</v>
      </c>
      <c r="R9" s="165">
        <v>5.2313145258103252E-2</v>
      </c>
      <c r="S9" s="165">
        <v>5.181356542617048E-2</v>
      </c>
      <c r="T9" s="165">
        <v>5.1313985594237707E-2</v>
      </c>
      <c r="U9" s="165">
        <v>5.0814405762304934E-2</v>
      </c>
      <c r="V9" s="165">
        <v>5.0314825930372155E-2</v>
      </c>
      <c r="W9" s="165">
        <v>4.9815246098439382E-2</v>
      </c>
      <c r="X9" s="165">
        <v>4.931566626650661E-2</v>
      </c>
      <c r="Y9" s="165">
        <v>4.8816086434573837E-2</v>
      </c>
      <c r="Z9" s="165">
        <v>4.8316506602641064E-2</v>
      </c>
      <c r="AA9" s="165">
        <v>4.7816926770708292E-2</v>
      </c>
      <c r="AB9" s="165">
        <v>4.7317346938775519E-2</v>
      </c>
      <c r="AC9" s="165">
        <v>4.6817767106842746E-2</v>
      </c>
      <c r="AD9" s="165">
        <v>4.6318187274909974E-2</v>
      </c>
      <c r="AE9" s="165">
        <v>4.5818607442977201E-2</v>
      </c>
      <c r="AF9" s="165">
        <v>4.5319027611044428E-2</v>
      </c>
      <c r="AG9" s="165">
        <v>4.4819447779111656E-2</v>
      </c>
      <c r="AH9" s="165">
        <v>4.4319867947178883E-2</v>
      </c>
      <c r="AI9" s="165">
        <v>4.382028811524611E-2</v>
      </c>
      <c r="AJ9" s="165">
        <v>4.3320708283313338E-2</v>
      </c>
      <c r="AK9" s="165">
        <v>4.2821128451380565E-2</v>
      </c>
    </row>
    <row r="10" spans="1:37" x14ac:dyDescent="0.25">
      <c r="A10" s="178" t="s">
        <v>186</v>
      </c>
      <c r="B10" s="179">
        <v>0.23976160758395154</v>
      </c>
      <c r="C10" s="179">
        <v>0.11428118371505049</v>
      </c>
      <c r="D10" s="179" t="s">
        <v>68</v>
      </c>
      <c r="E10" s="179">
        <v>14</v>
      </c>
      <c r="F10" s="179">
        <v>0.9</v>
      </c>
      <c r="G10" s="180">
        <v>0.4</v>
      </c>
      <c r="I10" s="4" t="s">
        <v>280</v>
      </c>
      <c r="J10" s="165">
        <v>2.9049168379255901E-2</v>
      </c>
      <c r="K10" s="165">
        <v>2.8281348950729313E-2</v>
      </c>
      <c r="L10" s="165">
        <v>2.7513529522202727E-2</v>
      </c>
      <c r="M10" s="165">
        <v>2.6745710093676139E-2</v>
      </c>
      <c r="N10" s="165">
        <v>2.597789066514955E-2</v>
      </c>
      <c r="O10" s="165">
        <v>2.5210071236622961E-2</v>
      </c>
      <c r="P10" s="165">
        <v>2.4442251808096373E-2</v>
      </c>
      <c r="Q10" s="165">
        <v>2.3674432379569791E-2</v>
      </c>
      <c r="R10" s="165">
        <v>2.3450485046249536E-2</v>
      </c>
      <c r="S10" s="165">
        <v>2.322653771292928E-2</v>
      </c>
      <c r="T10" s="165">
        <v>2.3002590379609025E-2</v>
      </c>
      <c r="U10" s="165">
        <v>2.2778643046288769E-2</v>
      </c>
      <c r="V10" s="165">
        <v>2.2554695712968514E-2</v>
      </c>
      <c r="W10" s="165">
        <v>2.2330748379648258E-2</v>
      </c>
      <c r="X10" s="165">
        <v>2.2106801046328003E-2</v>
      </c>
      <c r="Y10" s="165">
        <v>2.1882853713007747E-2</v>
      </c>
      <c r="Z10" s="165">
        <v>2.1658906379687492E-2</v>
      </c>
      <c r="AA10" s="165">
        <v>2.1434959046367243E-2</v>
      </c>
      <c r="AB10" s="165">
        <v>2.1211011713046988E-2</v>
      </c>
      <c r="AC10" s="165">
        <v>2.0987064379726732E-2</v>
      </c>
      <c r="AD10" s="165">
        <v>2.0763117046406477E-2</v>
      </c>
      <c r="AE10" s="165">
        <v>2.0539169713086221E-2</v>
      </c>
      <c r="AF10" s="165">
        <v>2.0315222379765973E-2</v>
      </c>
      <c r="AG10" s="165">
        <v>2.0091275046445718E-2</v>
      </c>
      <c r="AH10" s="165">
        <v>1.9867327713125462E-2</v>
      </c>
      <c r="AI10" s="165">
        <v>1.9643380379805207E-2</v>
      </c>
      <c r="AJ10" s="165">
        <v>1.9419433046484951E-2</v>
      </c>
      <c r="AK10" s="165">
        <v>1.9195485713164699E-2</v>
      </c>
    </row>
    <row r="11" spans="1:37" x14ac:dyDescent="0.25">
      <c r="A11" s="181" t="s">
        <v>187</v>
      </c>
      <c r="B11" s="182">
        <v>0.46076973995226939</v>
      </c>
      <c r="C11" s="182">
        <v>0.14224714585492179</v>
      </c>
      <c r="D11" s="182" t="s">
        <v>68</v>
      </c>
      <c r="E11" s="182">
        <v>17</v>
      </c>
      <c r="F11" s="182">
        <v>0.9</v>
      </c>
      <c r="G11" s="183">
        <v>0.4</v>
      </c>
      <c r="J11" s="123"/>
    </row>
    <row r="12" spans="1:37" x14ac:dyDescent="0.25">
      <c r="A12" s="4" t="s">
        <v>486</v>
      </c>
    </row>
    <row r="13" spans="1:37" x14ac:dyDescent="0.25">
      <c r="I13" s="152" t="s">
        <v>487</v>
      </c>
    </row>
    <row r="14" spans="1:37" ht="15.75" thickBot="1" x14ac:dyDescent="0.3"/>
    <row r="15" spans="1:37" x14ac:dyDescent="0.25">
      <c r="I15" s="192" t="s">
        <v>483</v>
      </c>
      <c r="J15" s="193" t="s">
        <v>68</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25">
      <c r="I16" s="102"/>
      <c r="J16" s="4">
        <v>2023</v>
      </c>
      <c r="K16" s="4">
        <v>2024</v>
      </c>
      <c r="L16" s="4">
        <v>2025</v>
      </c>
      <c r="M16" s="4">
        <v>2026</v>
      </c>
      <c r="N16" s="4">
        <v>2027</v>
      </c>
      <c r="O16" s="4">
        <v>2028</v>
      </c>
      <c r="P16" s="4">
        <v>2029</v>
      </c>
      <c r="Q16" s="4">
        <v>2030</v>
      </c>
      <c r="R16" s="4">
        <v>2031</v>
      </c>
      <c r="S16" s="4">
        <v>2032</v>
      </c>
      <c r="T16" s="4">
        <v>2033</v>
      </c>
      <c r="U16" s="4">
        <v>2034</v>
      </c>
      <c r="V16" s="4">
        <v>2035</v>
      </c>
      <c r="W16" s="4">
        <v>2036</v>
      </c>
      <c r="X16" s="4">
        <v>2037</v>
      </c>
      <c r="Y16" s="4">
        <v>2038</v>
      </c>
      <c r="Z16" s="4">
        <v>2039</v>
      </c>
      <c r="AA16" s="4">
        <v>2040</v>
      </c>
      <c r="AB16" s="4">
        <v>2041</v>
      </c>
      <c r="AC16" s="4">
        <v>2042</v>
      </c>
      <c r="AD16" s="4">
        <v>2043</v>
      </c>
      <c r="AE16" s="4">
        <v>2044</v>
      </c>
      <c r="AF16" s="4">
        <v>2045</v>
      </c>
      <c r="AG16" s="4">
        <v>2046</v>
      </c>
      <c r="AH16" s="4">
        <v>2047</v>
      </c>
      <c r="AI16" s="4">
        <v>2048</v>
      </c>
      <c r="AJ16" s="4">
        <v>2049</v>
      </c>
      <c r="AK16" s="103">
        <v>2050</v>
      </c>
    </row>
    <row r="17" spans="9:37" x14ac:dyDescent="0.25">
      <c r="I17" s="102" t="s">
        <v>409</v>
      </c>
      <c r="J17" s="4">
        <v>7.5233329809999999E-2</v>
      </c>
      <c r="K17" s="4">
        <v>7.5233329809999999E-2</v>
      </c>
      <c r="L17" s="4">
        <v>7.5233329809999999E-2</v>
      </c>
      <c r="M17" s="4">
        <v>7.5233329809999999E-2</v>
      </c>
      <c r="N17" s="4">
        <v>7.5233329809999999E-2</v>
      </c>
      <c r="O17" s="4">
        <v>7.5233329809999999E-2</v>
      </c>
      <c r="P17" s="4">
        <v>7.5233329809999999E-2</v>
      </c>
      <c r="Q17" s="4">
        <v>7.5233329809999999E-2</v>
      </c>
      <c r="R17" s="4">
        <v>7.6599996340000004E-2</v>
      </c>
      <c r="S17" s="4">
        <v>7.7966662870000009E-2</v>
      </c>
      <c r="T17" s="4">
        <v>7.9333329400000013E-2</v>
      </c>
      <c r="U17" s="4">
        <v>8.0699995930000018E-2</v>
      </c>
      <c r="V17" s="4">
        <v>8.2066662460000009E-2</v>
      </c>
      <c r="W17" s="4">
        <v>8.1106662556000006E-2</v>
      </c>
      <c r="X17" s="4">
        <v>8.0146662651999989E-2</v>
      </c>
      <c r="Y17" s="4">
        <v>7.9186662747999986E-2</v>
      </c>
      <c r="Z17" s="4">
        <v>7.8226662843999983E-2</v>
      </c>
      <c r="AA17" s="4">
        <v>7.7266662939999994E-2</v>
      </c>
      <c r="AB17" s="4">
        <v>7.6306663035999991E-2</v>
      </c>
      <c r="AC17" s="4">
        <v>7.5346663131999989E-2</v>
      </c>
      <c r="AD17" s="4">
        <v>7.4386663227999986E-2</v>
      </c>
      <c r="AE17" s="4">
        <v>7.3426663323999983E-2</v>
      </c>
      <c r="AF17" s="4">
        <v>7.2466663419999994E-2</v>
      </c>
      <c r="AG17" s="4">
        <v>7.1506663515999991E-2</v>
      </c>
      <c r="AH17" s="4">
        <v>7.0546663611999988E-2</v>
      </c>
      <c r="AI17" s="4">
        <v>6.9586663707999985E-2</v>
      </c>
      <c r="AJ17" s="4">
        <v>6.8626663803999982E-2</v>
      </c>
      <c r="AK17" s="103">
        <v>6.7666663899999993E-2</v>
      </c>
    </row>
    <row r="18" spans="9:37" x14ac:dyDescent="0.25">
      <c r="I18" s="102" t="s">
        <v>103</v>
      </c>
      <c r="J18" s="4">
        <v>0.16755030740877733</v>
      </c>
      <c r="K18" s="4">
        <v>0.16246311320948742</v>
      </c>
      <c r="L18" s="4">
        <v>0.1573759190101976</v>
      </c>
      <c r="M18" s="4">
        <v>0.15390105952791075</v>
      </c>
      <c r="N18" s="4">
        <v>0.1504262000456239</v>
      </c>
      <c r="O18" s="4">
        <v>0.14695134056333706</v>
      </c>
      <c r="P18" s="4">
        <v>0.14347648108105024</v>
      </c>
      <c r="Q18" s="4">
        <v>0.14000162159876336</v>
      </c>
      <c r="R18" s="4">
        <v>0.13928851087301347</v>
      </c>
      <c r="S18" s="4">
        <v>0.13857540014726355</v>
      </c>
      <c r="T18" s="4">
        <v>0.13786228942151366</v>
      </c>
      <c r="U18" s="4">
        <v>0.13714917869576373</v>
      </c>
      <c r="V18" s="4">
        <v>0.13643606797001384</v>
      </c>
      <c r="W18" s="4">
        <v>0.13294825106115046</v>
      </c>
      <c r="X18" s="4">
        <v>0.12946043415228706</v>
      </c>
      <c r="Y18" s="4">
        <v>0.12597261724342368</v>
      </c>
      <c r="Z18" s="4">
        <v>0.12248480033456027</v>
      </c>
      <c r="AA18" s="4">
        <v>0.11899698342569687</v>
      </c>
      <c r="AB18" s="4">
        <v>0.11578161519050338</v>
      </c>
      <c r="AC18" s="4">
        <v>0.1125662469553099</v>
      </c>
      <c r="AD18" s="4">
        <v>0.10935087872011641</v>
      </c>
      <c r="AE18" s="4">
        <v>0.10613551048492292</v>
      </c>
      <c r="AF18" s="4">
        <v>0.10292014224972944</v>
      </c>
      <c r="AG18" s="4">
        <v>0.10028722302472504</v>
      </c>
      <c r="AH18" s="4">
        <v>9.7654303799720649E-2</v>
      </c>
      <c r="AI18" s="4">
        <v>9.5021384574716261E-2</v>
      </c>
      <c r="AJ18" s="4">
        <v>9.238846534971186E-2</v>
      </c>
      <c r="AK18" s="103">
        <v>8.9755546124707486E-2</v>
      </c>
    </row>
    <row r="19" spans="9:37" x14ac:dyDescent="0.25">
      <c r="I19" s="102" t="s">
        <v>186</v>
      </c>
      <c r="J19" s="4">
        <v>0.14785151321799878</v>
      </c>
      <c r="K19" s="4">
        <v>0.14416734608940909</v>
      </c>
      <c r="L19" s="4">
        <v>0.14048317896081941</v>
      </c>
      <c r="M19" s="4">
        <v>0.13815902447403705</v>
      </c>
      <c r="N19" s="4">
        <v>0.13583486998725472</v>
      </c>
      <c r="O19" s="4">
        <v>0.13351071550047239</v>
      </c>
      <c r="P19" s="4">
        <v>0.13118656101369006</v>
      </c>
      <c r="Q19" s="4">
        <v>0.1288624065269077</v>
      </c>
      <c r="R19" s="4">
        <v>0.12952442606744893</v>
      </c>
      <c r="S19" s="4">
        <v>0.13018644560799014</v>
      </c>
      <c r="T19" s="4">
        <v>0.13084846514853138</v>
      </c>
      <c r="U19" s="4">
        <v>0.13151048468907259</v>
      </c>
      <c r="V19" s="4">
        <v>0.13217250422961382</v>
      </c>
      <c r="W19" s="4">
        <v>0.12928218732240185</v>
      </c>
      <c r="X19" s="4">
        <v>0.1263918704151899</v>
      </c>
      <c r="Y19" s="4">
        <v>0.12350155350797795</v>
      </c>
      <c r="Z19" s="4">
        <v>0.120611236600766</v>
      </c>
      <c r="AA19" s="4">
        <v>0.11772091969355404</v>
      </c>
      <c r="AB19" s="4">
        <v>0.11508473489323738</v>
      </c>
      <c r="AC19" s="4">
        <v>0.11244855009292071</v>
      </c>
      <c r="AD19" s="4">
        <v>0.10981236529260403</v>
      </c>
      <c r="AE19" s="4">
        <v>0.10717618049228736</v>
      </c>
      <c r="AF19" s="4">
        <v>0.1045399956919707</v>
      </c>
      <c r="AG19" s="4">
        <v>0.10203375570164211</v>
      </c>
      <c r="AH19" s="4">
        <v>9.9527515711313519E-2</v>
      </c>
      <c r="AI19" s="4">
        <v>9.7021275720984915E-2</v>
      </c>
      <c r="AJ19" s="4">
        <v>9.4515035730656324E-2</v>
      </c>
      <c r="AK19" s="103">
        <v>9.2008795740327734E-2</v>
      </c>
    </row>
    <row r="20" spans="9:37" x14ac:dyDescent="0.25">
      <c r="I20" s="102" t="s">
        <v>187</v>
      </c>
      <c r="J20" s="4">
        <v>0.32741318944512032</v>
      </c>
      <c r="K20" s="4">
        <v>0.31281277713864336</v>
      </c>
      <c r="L20" s="4">
        <v>0.29821236483216634</v>
      </c>
      <c r="M20" s="4">
        <v>0.28514319769921503</v>
      </c>
      <c r="N20" s="4">
        <v>0.27207403056626372</v>
      </c>
      <c r="O20" s="4">
        <v>0.25900486343331242</v>
      </c>
      <c r="P20" s="4">
        <v>0.24593569630036111</v>
      </c>
      <c r="Q20" s="4">
        <v>0.23286652916740982</v>
      </c>
      <c r="R20" s="4">
        <v>0.22587777574244078</v>
      </c>
      <c r="S20" s="4">
        <v>0.21888902231747173</v>
      </c>
      <c r="T20" s="4">
        <v>0.21190026889250269</v>
      </c>
      <c r="U20" s="4">
        <v>0.20491151546753364</v>
      </c>
      <c r="V20" s="4">
        <v>0.19792276204256468</v>
      </c>
      <c r="W20" s="4">
        <v>0.19046603197751216</v>
      </c>
      <c r="X20" s="4">
        <v>0.18300930191245968</v>
      </c>
      <c r="Y20" s="4">
        <v>0.17555257184740719</v>
      </c>
      <c r="Z20" s="4">
        <v>0.16809584178235468</v>
      </c>
      <c r="AA20" s="4">
        <v>0.16063911171730211</v>
      </c>
      <c r="AB20" s="4">
        <v>0.15556274856986607</v>
      </c>
      <c r="AC20" s="4">
        <v>0.15048638542243004</v>
      </c>
      <c r="AD20" s="4">
        <v>0.145410022274994</v>
      </c>
      <c r="AE20" s="4">
        <v>0.14033365912755799</v>
      </c>
      <c r="AF20" s="4">
        <v>0.13525729598012193</v>
      </c>
      <c r="AG20" s="4">
        <v>0.13172162740387633</v>
      </c>
      <c r="AH20" s="4">
        <v>0.12818595882763073</v>
      </c>
      <c r="AI20" s="4">
        <v>0.12465029025138512</v>
      </c>
      <c r="AJ20" s="4">
        <v>0.12111462167513951</v>
      </c>
      <c r="AK20" s="103">
        <v>0.11757895309889392</v>
      </c>
    </row>
    <row r="21" spans="9:37" x14ac:dyDescent="0.25">
      <c r="I21" s="102" t="s">
        <v>11</v>
      </c>
      <c r="J21" s="4">
        <v>5.7951260504201685E-2</v>
      </c>
      <c r="K21" s="4">
        <v>5.3954621848739497E-2</v>
      </c>
      <c r="L21" s="4">
        <v>4.9957983193277315E-2</v>
      </c>
      <c r="M21" s="4">
        <v>4.5961344537815127E-2</v>
      </c>
      <c r="N21" s="4">
        <v>4.1964705882352946E-2</v>
      </c>
      <c r="O21" s="4">
        <v>3.7968067226890764E-2</v>
      </c>
      <c r="P21" s="4">
        <v>3.3971428571428583E-2</v>
      </c>
      <c r="Q21" s="4">
        <v>2.9974789915966391E-2</v>
      </c>
      <c r="R21" s="4">
        <v>2.9368157262905165E-2</v>
      </c>
      <c r="S21" s="4">
        <v>2.8761524609843939E-2</v>
      </c>
      <c r="T21" s="4">
        <v>2.8154891956782713E-2</v>
      </c>
      <c r="U21" s="4">
        <v>2.7548259303721487E-2</v>
      </c>
      <c r="V21" s="4">
        <v>2.6941626650660268E-2</v>
      </c>
      <c r="W21" s="4">
        <v>2.6334993997599043E-2</v>
      </c>
      <c r="X21" s="4">
        <v>2.5728361344537817E-2</v>
      </c>
      <c r="Y21" s="4">
        <v>2.5121728691476591E-2</v>
      </c>
      <c r="Z21" s="4">
        <v>2.4515096038415365E-2</v>
      </c>
      <c r="AA21" s="4">
        <v>2.3908463385354146E-2</v>
      </c>
      <c r="AB21" s="4">
        <v>2.330183073229292E-2</v>
      </c>
      <c r="AC21" s="4">
        <v>2.2695198079231694E-2</v>
      </c>
      <c r="AD21" s="4">
        <v>2.2088565426170468E-2</v>
      </c>
      <c r="AE21" s="4">
        <v>2.1481932773109242E-2</v>
      </c>
      <c r="AF21" s="4">
        <v>2.0875300120048023E-2</v>
      </c>
      <c r="AG21" s="4">
        <v>2.0268667466986797E-2</v>
      </c>
      <c r="AH21" s="4">
        <v>1.9662034813925571E-2</v>
      </c>
      <c r="AI21" s="4">
        <v>1.9055402160864345E-2</v>
      </c>
      <c r="AJ21" s="4">
        <v>1.8448769507803119E-2</v>
      </c>
      <c r="AK21" s="103">
        <v>1.78421368547419E-2</v>
      </c>
    </row>
    <row r="22" spans="9:37" x14ac:dyDescent="0.25">
      <c r="I22" s="102" t="s">
        <v>279</v>
      </c>
      <c r="J22" s="4">
        <v>5.7951260504201685E-2</v>
      </c>
      <c r="K22" s="4">
        <v>5.3954621848739497E-2</v>
      </c>
      <c r="L22" s="4">
        <v>4.9957983193277315E-2</v>
      </c>
      <c r="M22" s="4">
        <v>4.5961344537815127E-2</v>
      </c>
      <c r="N22" s="4">
        <v>4.1964705882352946E-2</v>
      </c>
      <c r="O22" s="4">
        <v>3.7968067226890764E-2</v>
      </c>
      <c r="P22" s="4">
        <v>3.3971428571428583E-2</v>
      </c>
      <c r="Q22" s="4">
        <v>2.9974789915966391E-2</v>
      </c>
      <c r="R22" s="4">
        <v>2.9368157262905165E-2</v>
      </c>
      <c r="S22" s="4">
        <v>2.8761524609843939E-2</v>
      </c>
      <c r="T22" s="4">
        <v>2.8154891956782713E-2</v>
      </c>
      <c r="U22" s="4">
        <v>2.7548259303721487E-2</v>
      </c>
      <c r="V22" s="4">
        <v>2.6941626650660268E-2</v>
      </c>
      <c r="W22" s="4">
        <v>2.6334993997599043E-2</v>
      </c>
      <c r="X22" s="4">
        <v>2.5728361344537817E-2</v>
      </c>
      <c r="Y22" s="4">
        <v>2.5121728691476591E-2</v>
      </c>
      <c r="Z22" s="4">
        <v>2.4515096038415365E-2</v>
      </c>
      <c r="AA22" s="4">
        <v>2.3908463385354146E-2</v>
      </c>
      <c r="AB22" s="4">
        <v>2.330183073229292E-2</v>
      </c>
      <c r="AC22" s="4">
        <v>2.2695198079231694E-2</v>
      </c>
      <c r="AD22" s="4">
        <v>2.2088565426170468E-2</v>
      </c>
      <c r="AE22" s="4">
        <v>2.1481932773109242E-2</v>
      </c>
      <c r="AF22" s="4">
        <v>2.0875300120048023E-2</v>
      </c>
      <c r="AG22" s="4">
        <v>2.0268667466986797E-2</v>
      </c>
      <c r="AH22" s="4">
        <v>1.9662034813925571E-2</v>
      </c>
      <c r="AI22" s="4">
        <v>1.9055402160864345E-2</v>
      </c>
      <c r="AJ22" s="4">
        <v>1.8448769507803119E-2</v>
      </c>
      <c r="AK22" s="103">
        <v>1.78421368547419E-2</v>
      </c>
    </row>
    <row r="23" spans="9:37" x14ac:dyDescent="0.25">
      <c r="I23" s="102" t="s">
        <v>280</v>
      </c>
      <c r="J23" s="4">
        <v>2.5977890665149557E-2</v>
      </c>
      <c r="K23" s="4">
        <v>2.418631199858752E-2</v>
      </c>
      <c r="L23" s="4">
        <v>2.2394733332025477E-2</v>
      </c>
      <c r="M23" s="4">
        <v>2.060315466546344E-2</v>
      </c>
      <c r="N23" s="4">
        <v>1.8811575998901403E-2</v>
      </c>
      <c r="O23" s="4">
        <v>1.7019997332339366E-2</v>
      </c>
      <c r="P23" s="4">
        <v>1.5228418665777328E-2</v>
      </c>
      <c r="Q23" s="4">
        <v>1.3436839999215288E-2</v>
      </c>
      <c r="R23" s="4">
        <v>1.3164903951612121E-2</v>
      </c>
      <c r="S23" s="4">
        <v>1.2892967904008954E-2</v>
      </c>
      <c r="T23" s="4">
        <v>1.2621031856405788E-2</v>
      </c>
      <c r="U23" s="4">
        <v>1.2349095808802621E-2</v>
      </c>
      <c r="V23" s="4">
        <v>1.2077159761199453E-2</v>
      </c>
      <c r="W23" s="4">
        <v>1.1805223713596286E-2</v>
      </c>
      <c r="X23" s="4">
        <v>1.153328766599312E-2</v>
      </c>
      <c r="Y23" s="4">
        <v>1.1261351618389953E-2</v>
      </c>
      <c r="Z23" s="4">
        <v>1.0989415570786787E-2</v>
      </c>
      <c r="AA23" s="4">
        <v>1.0717479523183622E-2</v>
      </c>
      <c r="AB23" s="4">
        <v>1.0445543475580455E-2</v>
      </c>
      <c r="AC23" s="4">
        <v>1.0173607427977288E-2</v>
      </c>
      <c r="AD23" s="4">
        <v>9.9016713803741219E-3</v>
      </c>
      <c r="AE23" s="4">
        <v>9.6297353327709553E-3</v>
      </c>
      <c r="AF23" s="4">
        <v>9.3577992851677887E-3</v>
      </c>
      <c r="AG23" s="4">
        <v>9.0858632375646221E-3</v>
      </c>
      <c r="AH23" s="4">
        <v>8.8139271899614555E-3</v>
      </c>
      <c r="AI23" s="4">
        <v>8.5419911423582889E-3</v>
      </c>
      <c r="AJ23" s="4">
        <v>8.2700550947551223E-3</v>
      </c>
      <c r="AK23" s="103">
        <v>7.9981190471519557E-3</v>
      </c>
    </row>
    <row r="24" spans="9:37" x14ac:dyDescent="0.25">
      <c r="I24" s="102"/>
      <c r="AK24" s="103"/>
    </row>
    <row r="25" spans="9:37" x14ac:dyDescent="0.25">
      <c r="I25" s="102"/>
      <c r="AK25" s="103"/>
    </row>
    <row r="26" spans="9:37" x14ac:dyDescent="0.25">
      <c r="I26" s="102" t="s">
        <v>484</v>
      </c>
      <c r="AK26" s="103"/>
    </row>
    <row r="27" spans="9:37" x14ac:dyDescent="0.25">
      <c r="I27" s="102"/>
      <c r="J27" s="4">
        <v>2023</v>
      </c>
      <c r="K27" s="4">
        <v>2024</v>
      </c>
      <c r="L27" s="4">
        <v>2025</v>
      </c>
      <c r="M27" s="4">
        <v>2026</v>
      </c>
      <c r="N27" s="4">
        <v>2027</v>
      </c>
      <c r="O27" s="4">
        <v>2028</v>
      </c>
      <c r="P27" s="4">
        <v>2029</v>
      </c>
      <c r="Q27" s="4">
        <v>2030</v>
      </c>
      <c r="R27" s="4">
        <v>2031</v>
      </c>
      <c r="S27" s="4">
        <v>2032</v>
      </c>
      <c r="T27" s="4">
        <v>2033</v>
      </c>
      <c r="U27" s="4">
        <v>2034</v>
      </c>
      <c r="V27" s="4">
        <v>2035</v>
      </c>
      <c r="W27" s="4">
        <v>2036</v>
      </c>
      <c r="X27" s="4">
        <v>2037</v>
      </c>
      <c r="Y27" s="4">
        <v>2038</v>
      </c>
      <c r="Z27" s="4">
        <v>2039</v>
      </c>
      <c r="AA27" s="4">
        <v>2040</v>
      </c>
      <c r="AB27" s="4">
        <v>2041</v>
      </c>
      <c r="AC27" s="4">
        <v>2042</v>
      </c>
      <c r="AD27" s="4">
        <v>2043</v>
      </c>
      <c r="AE27" s="4">
        <v>2044</v>
      </c>
      <c r="AF27" s="4">
        <v>2045</v>
      </c>
      <c r="AG27" s="4">
        <v>2046</v>
      </c>
      <c r="AH27" s="4">
        <v>2047</v>
      </c>
      <c r="AI27" s="4">
        <v>2048</v>
      </c>
      <c r="AJ27" s="4">
        <v>2049</v>
      </c>
      <c r="AK27" s="103">
        <v>2050</v>
      </c>
    </row>
    <row r="28" spans="9:37" x14ac:dyDescent="0.25">
      <c r="I28" s="102" t="s">
        <v>409</v>
      </c>
      <c r="J28" s="4">
        <v>8.0999995899999996E-2</v>
      </c>
      <c r="K28" s="4">
        <v>8.0999995899999996E-2</v>
      </c>
      <c r="L28" s="4">
        <v>8.0999995899999996E-2</v>
      </c>
      <c r="M28" s="4">
        <v>8.0999995899999996E-2</v>
      </c>
      <c r="N28" s="4">
        <v>8.0999995899999996E-2</v>
      </c>
      <c r="O28" s="4">
        <v>8.0999995899999996E-2</v>
      </c>
      <c r="P28" s="4">
        <v>8.0999995899999996E-2</v>
      </c>
      <c r="Q28" s="4">
        <v>8.0999995899999996E-2</v>
      </c>
      <c r="R28" s="4">
        <v>8.3066662360000001E-2</v>
      </c>
      <c r="S28" s="4">
        <v>8.5133328820000007E-2</v>
      </c>
      <c r="T28" s="4">
        <v>8.7199995280000012E-2</v>
      </c>
      <c r="U28" s="4">
        <v>8.9266661740000017E-2</v>
      </c>
      <c r="V28" s="4">
        <v>9.1333328199999994E-2</v>
      </c>
      <c r="W28" s="4">
        <v>9.046666162E-2</v>
      </c>
      <c r="X28" s="4">
        <v>8.9599995039999991E-2</v>
      </c>
      <c r="Y28" s="4">
        <v>8.8733328459999983E-2</v>
      </c>
      <c r="Z28" s="4">
        <v>8.7866661879999974E-2</v>
      </c>
      <c r="AA28" s="4">
        <v>8.6999995299999994E-2</v>
      </c>
      <c r="AB28" s="4">
        <v>8.6133328719999985E-2</v>
      </c>
      <c r="AC28" s="4">
        <v>8.5266662139999991E-2</v>
      </c>
      <c r="AD28" s="4">
        <v>8.4399995559999982E-2</v>
      </c>
      <c r="AE28" s="4">
        <v>8.3533328979999974E-2</v>
      </c>
      <c r="AF28" s="4">
        <v>8.2666662399999993E-2</v>
      </c>
      <c r="AG28" s="4">
        <v>8.1799995819999985E-2</v>
      </c>
      <c r="AH28" s="4">
        <v>8.093332923999999E-2</v>
      </c>
      <c r="AI28" s="4">
        <v>8.0066662659999982E-2</v>
      </c>
      <c r="AJ28" s="4">
        <v>7.9199996079999987E-2</v>
      </c>
      <c r="AK28" s="103">
        <v>7.8333329499999993E-2</v>
      </c>
    </row>
    <row r="29" spans="9:37" x14ac:dyDescent="0.25">
      <c r="I29" s="102" t="s">
        <v>103</v>
      </c>
      <c r="J29" s="4">
        <v>0.17650758633144634</v>
      </c>
      <c r="K29" s="4">
        <v>0.17141203646151962</v>
      </c>
      <c r="L29" s="4">
        <v>0.16631648659159295</v>
      </c>
      <c r="M29" s="4">
        <v>0.16281432766630949</v>
      </c>
      <c r="N29" s="4">
        <v>0.15931216874102602</v>
      </c>
      <c r="O29" s="4">
        <v>0.15581000981574256</v>
      </c>
      <c r="P29" s="4">
        <v>0.15230785089045909</v>
      </c>
      <c r="Q29" s="4">
        <v>0.1488056919651756</v>
      </c>
      <c r="R29" s="4">
        <v>0.14909793604375518</v>
      </c>
      <c r="S29" s="4">
        <v>0.14939018012233476</v>
      </c>
      <c r="T29" s="4">
        <v>0.14968242420091435</v>
      </c>
      <c r="U29" s="4">
        <v>0.14997466827949391</v>
      </c>
      <c r="V29" s="4">
        <v>0.15026691235807355</v>
      </c>
      <c r="W29" s="4">
        <v>0.14685063279900346</v>
      </c>
      <c r="X29" s="4">
        <v>0.14343435323993334</v>
      </c>
      <c r="Y29" s="4">
        <v>0.14001807368086325</v>
      </c>
      <c r="Z29" s="4">
        <v>0.13660179412179316</v>
      </c>
      <c r="AA29" s="4">
        <v>0.1331855145627231</v>
      </c>
      <c r="AB29" s="4">
        <v>0.13003016708307891</v>
      </c>
      <c r="AC29" s="4">
        <v>0.12687481960343472</v>
      </c>
      <c r="AD29" s="4">
        <v>0.12371947212379053</v>
      </c>
      <c r="AE29" s="4">
        <v>0.12056412464414634</v>
      </c>
      <c r="AF29" s="4">
        <v>0.11740877716450215</v>
      </c>
      <c r="AG29" s="4">
        <v>0.11483288597039364</v>
      </c>
      <c r="AH29" s="4">
        <v>0.11225699477628512</v>
      </c>
      <c r="AI29" s="4">
        <v>0.10968110358217659</v>
      </c>
      <c r="AJ29" s="4">
        <v>0.10710521238806807</v>
      </c>
      <c r="AK29" s="103">
        <v>0.10452932119395957</v>
      </c>
    </row>
    <row r="30" spans="9:37" x14ac:dyDescent="0.25">
      <c r="I30" s="102" t="s">
        <v>186</v>
      </c>
      <c r="J30" s="4">
        <v>0.15796068463848831</v>
      </c>
      <c r="K30" s="4">
        <v>0.15426708731267802</v>
      </c>
      <c r="L30" s="4">
        <v>0.1505734899868677</v>
      </c>
      <c r="M30" s="4">
        <v>0.14821852539008218</v>
      </c>
      <c r="N30" s="4">
        <v>0.14586356079329663</v>
      </c>
      <c r="O30" s="4">
        <v>0.1435085961965111</v>
      </c>
      <c r="P30" s="4">
        <v>0.14115363159972555</v>
      </c>
      <c r="Q30" s="4">
        <v>0.13879866700293997</v>
      </c>
      <c r="R30" s="4">
        <v>0.1405953284523826</v>
      </c>
      <c r="S30" s="4">
        <v>0.14239198990182525</v>
      </c>
      <c r="T30" s="4">
        <v>0.14418865135126788</v>
      </c>
      <c r="U30" s="4">
        <v>0.14598531280071053</v>
      </c>
      <c r="V30" s="4">
        <v>0.14778197425015313</v>
      </c>
      <c r="W30" s="4">
        <v>0.14497239428752798</v>
      </c>
      <c r="X30" s="4">
        <v>0.14216281432490285</v>
      </c>
      <c r="Y30" s="4">
        <v>0.1393532343622777</v>
      </c>
      <c r="Z30" s="4">
        <v>0.13654365439965255</v>
      </c>
      <c r="AA30" s="4">
        <v>0.13373407443702739</v>
      </c>
      <c r="AB30" s="4">
        <v>0.13116562897048312</v>
      </c>
      <c r="AC30" s="4">
        <v>0.12859718350393887</v>
      </c>
      <c r="AD30" s="4">
        <v>0.12602873803739459</v>
      </c>
      <c r="AE30" s="4">
        <v>0.1234602925708503</v>
      </c>
      <c r="AF30" s="4">
        <v>0.12089184710430603</v>
      </c>
      <c r="AG30" s="4">
        <v>0.11844996886324041</v>
      </c>
      <c r="AH30" s="4">
        <v>0.11600809062217481</v>
      </c>
      <c r="AI30" s="4">
        <v>0.1135662123811092</v>
      </c>
      <c r="AJ30" s="4">
        <v>0.11112433414004359</v>
      </c>
      <c r="AK30" s="103">
        <v>0.10868245589897794</v>
      </c>
    </row>
    <row r="31" spans="9:37" x14ac:dyDescent="0.25">
      <c r="I31" s="102" t="s">
        <v>187</v>
      </c>
      <c r="J31" s="4">
        <v>0.33860978809845654</v>
      </c>
      <c r="K31" s="4">
        <v>0.32399893120368356</v>
      </c>
      <c r="L31" s="4">
        <v>0.30938807430891058</v>
      </c>
      <c r="M31" s="4">
        <v>0.29628478287221349</v>
      </c>
      <c r="N31" s="4">
        <v>0.28318149143551641</v>
      </c>
      <c r="O31" s="4">
        <v>0.27007819999881932</v>
      </c>
      <c r="P31" s="4">
        <v>0.25697490856212224</v>
      </c>
      <c r="Q31" s="4">
        <v>0.24387161712542507</v>
      </c>
      <c r="R31" s="4">
        <v>0.23813955720586791</v>
      </c>
      <c r="S31" s="4">
        <v>0.23240749728631072</v>
      </c>
      <c r="T31" s="4">
        <v>0.22667543736675355</v>
      </c>
      <c r="U31" s="4">
        <v>0.22094337744719639</v>
      </c>
      <c r="V31" s="4">
        <v>0.21521131752763925</v>
      </c>
      <c r="W31" s="4">
        <v>0.20784400914982837</v>
      </c>
      <c r="X31" s="4">
        <v>0.20047670077201749</v>
      </c>
      <c r="Y31" s="4">
        <v>0.19310939239420657</v>
      </c>
      <c r="Z31" s="4">
        <v>0.18574208401639569</v>
      </c>
      <c r="AA31" s="4">
        <v>0.17837477563858489</v>
      </c>
      <c r="AB31" s="4">
        <v>0.17337343843558548</v>
      </c>
      <c r="AC31" s="4">
        <v>0.16837210123258603</v>
      </c>
      <c r="AD31" s="4">
        <v>0.16337076402958661</v>
      </c>
      <c r="AE31" s="4">
        <v>0.15836942682658722</v>
      </c>
      <c r="AF31" s="4">
        <v>0.15336808962358783</v>
      </c>
      <c r="AG31" s="4">
        <v>0.14990370608596207</v>
      </c>
      <c r="AH31" s="4">
        <v>0.1464393225483363</v>
      </c>
      <c r="AI31" s="4">
        <v>0.14297493901071057</v>
      </c>
      <c r="AJ31" s="4">
        <v>0.1395105554730848</v>
      </c>
      <c r="AK31" s="103">
        <v>0.13604617193545901</v>
      </c>
    </row>
    <row r="32" spans="9:37" x14ac:dyDescent="0.25">
      <c r="I32" s="102" t="s">
        <v>11</v>
      </c>
      <c r="J32" s="4">
        <v>6.4802641056422569E-2</v>
      </c>
      <c r="K32" s="4">
        <v>6.3089795918367345E-2</v>
      </c>
      <c r="L32" s="4">
        <v>6.1376950780312127E-2</v>
      </c>
      <c r="M32" s="4">
        <v>5.9664105642256909E-2</v>
      </c>
      <c r="N32" s="4">
        <v>5.7951260504201692E-2</v>
      </c>
      <c r="O32" s="4">
        <v>5.6238415366146474E-2</v>
      </c>
      <c r="P32" s="4">
        <v>5.4525570228091257E-2</v>
      </c>
      <c r="Q32" s="4">
        <v>5.2812725090036025E-2</v>
      </c>
      <c r="R32" s="4">
        <v>5.2313145258103252E-2</v>
      </c>
      <c r="S32" s="4">
        <v>5.181356542617048E-2</v>
      </c>
      <c r="T32" s="4">
        <v>5.1313985594237707E-2</v>
      </c>
      <c r="U32" s="4">
        <v>5.0814405762304934E-2</v>
      </c>
      <c r="V32" s="4">
        <v>5.0314825930372155E-2</v>
      </c>
      <c r="W32" s="4">
        <v>4.9815246098439382E-2</v>
      </c>
      <c r="X32" s="4">
        <v>4.931566626650661E-2</v>
      </c>
      <c r="Y32" s="4">
        <v>4.8816086434573837E-2</v>
      </c>
      <c r="Z32" s="4">
        <v>4.8316506602641064E-2</v>
      </c>
      <c r="AA32" s="4">
        <v>4.7816926770708292E-2</v>
      </c>
      <c r="AB32" s="4">
        <v>4.7317346938775519E-2</v>
      </c>
      <c r="AC32" s="4">
        <v>4.6817767106842746E-2</v>
      </c>
      <c r="AD32" s="4">
        <v>4.6318187274909974E-2</v>
      </c>
      <c r="AE32" s="4">
        <v>4.5818607442977201E-2</v>
      </c>
      <c r="AF32" s="4">
        <v>4.5319027611044428E-2</v>
      </c>
      <c r="AG32" s="4">
        <v>4.4819447779111656E-2</v>
      </c>
      <c r="AH32" s="4">
        <v>4.4319867947178883E-2</v>
      </c>
      <c r="AI32" s="4">
        <v>4.382028811524611E-2</v>
      </c>
      <c r="AJ32" s="4">
        <v>4.3320708283313338E-2</v>
      </c>
      <c r="AK32" s="103">
        <v>4.2821128451380565E-2</v>
      </c>
    </row>
    <row r="33" spans="9:37" x14ac:dyDescent="0.25">
      <c r="I33" s="102" t="s">
        <v>279</v>
      </c>
      <c r="J33" s="4">
        <v>6.4802641056422569E-2</v>
      </c>
      <c r="K33" s="4">
        <v>6.3089795918367345E-2</v>
      </c>
      <c r="L33" s="4">
        <v>6.1376950780312127E-2</v>
      </c>
      <c r="M33" s="4">
        <v>5.9664105642256909E-2</v>
      </c>
      <c r="N33" s="4">
        <v>5.7951260504201692E-2</v>
      </c>
      <c r="O33" s="4">
        <v>5.6238415366146474E-2</v>
      </c>
      <c r="P33" s="4">
        <v>5.4525570228091257E-2</v>
      </c>
      <c r="Q33" s="4">
        <v>5.2812725090036025E-2</v>
      </c>
      <c r="R33" s="4">
        <v>5.2313145258103252E-2</v>
      </c>
      <c r="S33" s="4">
        <v>5.181356542617048E-2</v>
      </c>
      <c r="T33" s="4">
        <v>5.1313985594237707E-2</v>
      </c>
      <c r="U33" s="4">
        <v>5.0814405762304934E-2</v>
      </c>
      <c r="V33" s="4">
        <v>5.0314825930372155E-2</v>
      </c>
      <c r="W33" s="4">
        <v>4.9815246098439382E-2</v>
      </c>
      <c r="X33" s="4">
        <v>4.931566626650661E-2</v>
      </c>
      <c r="Y33" s="4">
        <v>4.8816086434573837E-2</v>
      </c>
      <c r="Z33" s="4">
        <v>4.8316506602641064E-2</v>
      </c>
      <c r="AA33" s="4">
        <v>4.7816926770708292E-2</v>
      </c>
      <c r="AB33" s="4">
        <v>4.7317346938775519E-2</v>
      </c>
      <c r="AC33" s="4">
        <v>4.6817767106842746E-2</v>
      </c>
      <c r="AD33" s="4">
        <v>4.6318187274909974E-2</v>
      </c>
      <c r="AE33" s="4">
        <v>4.5818607442977201E-2</v>
      </c>
      <c r="AF33" s="4">
        <v>4.5319027611044428E-2</v>
      </c>
      <c r="AG33" s="4">
        <v>4.4819447779111656E-2</v>
      </c>
      <c r="AH33" s="4">
        <v>4.4319867947178883E-2</v>
      </c>
      <c r="AI33" s="4">
        <v>4.382028811524611E-2</v>
      </c>
      <c r="AJ33" s="4">
        <v>4.3320708283313338E-2</v>
      </c>
      <c r="AK33" s="103">
        <v>4.2821128451380565E-2</v>
      </c>
    </row>
    <row r="34" spans="9:37" x14ac:dyDescent="0.25">
      <c r="I34" s="102" t="s">
        <v>280</v>
      </c>
      <c r="J34" s="4">
        <v>2.9049168379255901E-2</v>
      </c>
      <c r="K34" s="4">
        <v>2.8281348950729313E-2</v>
      </c>
      <c r="L34" s="4">
        <v>2.7513529522202727E-2</v>
      </c>
      <c r="M34" s="4">
        <v>2.6745710093676139E-2</v>
      </c>
      <c r="N34" s="4">
        <v>2.597789066514955E-2</v>
      </c>
      <c r="O34" s="4">
        <v>2.5210071236622961E-2</v>
      </c>
      <c r="P34" s="4">
        <v>2.4442251808096373E-2</v>
      </c>
      <c r="Q34" s="4">
        <v>2.3674432379569791E-2</v>
      </c>
      <c r="R34" s="4">
        <v>2.3450485046249536E-2</v>
      </c>
      <c r="S34" s="4">
        <v>2.322653771292928E-2</v>
      </c>
      <c r="T34" s="4">
        <v>2.3002590379609025E-2</v>
      </c>
      <c r="U34" s="4">
        <v>2.2778643046288769E-2</v>
      </c>
      <c r="V34" s="4">
        <v>2.2554695712968514E-2</v>
      </c>
      <c r="W34" s="4">
        <v>2.2330748379648258E-2</v>
      </c>
      <c r="X34" s="4">
        <v>2.2106801046328003E-2</v>
      </c>
      <c r="Y34" s="4">
        <v>2.1882853713007747E-2</v>
      </c>
      <c r="Z34" s="4">
        <v>2.1658906379687492E-2</v>
      </c>
      <c r="AA34" s="4">
        <v>2.1434959046367243E-2</v>
      </c>
      <c r="AB34" s="4">
        <v>2.1211011713046988E-2</v>
      </c>
      <c r="AC34" s="4">
        <v>2.0987064379726732E-2</v>
      </c>
      <c r="AD34" s="4">
        <v>2.0763117046406477E-2</v>
      </c>
      <c r="AE34" s="4">
        <v>2.0539169713086221E-2</v>
      </c>
      <c r="AF34" s="4">
        <v>2.0315222379765973E-2</v>
      </c>
      <c r="AG34" s="4">
        <v>2.0091275046445718E-2</v>
      </c>
      <c r="AH34" s="4">
        <v>1.9867327713125462E-2</v>
      </c>
      <c r="AI34" s="4">
        <v>1.9643380379805207E-2</v>
      </c>
      <c r="AJ34" s="4">
        <v>1.9419433046484951E-2</v>
      </c>
      <c r="AK34" s="103">
        <v>1.9195485713164699E-2</v>
      </c>
    </row>
    <row r="35" spans="9:37" x14ac:dyDescent="0.25">
      <c r="I35" s="102"/>
      <c r="AK35" s="103"/>
    </row>
    <row r="36" spans="9:37" x14ac:dyDescent="0.25">
      <c r="I36" s="102"/>
      <c r="AK36" s="103"/>
    </row>
    <row r="37" spans="9:37" x14ac:dyDescent="0.25">
      <c r="I37" s="102" t="s">
        <v>485</v>
      </c>
      <c r="AK37" s="103"/>
    </row>
    <row r="38" spans="9:37" x14ac:dyDescent="0.25">
      <c r="I38" s="102"/>
      <c r="J38" s="4">
        <v>2023</v>
      </c>
      <c r="K38" s="4">
        <v>2024</v>
      </c>
      <c r="L38" s="4">
        <v>2025</v>
      </c>
      <c r="M38" s="4">
        <v>2026</v>
      </c>
      <c r="N38" s="4">
        <v>2027</v>
      </c>
      <c r="O38" s="4">
        <v>2028</v>
      </c>
      <c r="P38" s="4">
        <v>2029</v>
      </c>
      <c r="Q38" s="4">
        <v>2030</v>
      </c>
      <c r="R38" s="4">
        <v>2031</v>
      </c>
      <c r="S38" s="4">
        <v>2032</v>
      </c>
      <c r="T38" s="4">
        <v>2033</v>
      </c>
      <c r="U38" s="4">
        <v>2034</v>
      </c>
      <c r="V38" s="4">
        <v>2035</v>
      </c>
      <c r="W38" s="4">
        <v>2036</v>
      </c>
      <c r="X38" s="4">
        <v>2037</v>
      </c>
      <c r="Y38" s="4">
        <v>2038</v>
      </c>
      <c r="Z38" s="4">
        <v>2039</v>
      </c>
      <c r="AA38" s="4">
        <v>2040</v>
      </c>
      <c r="AB38" s="4">
        <v>2041</v>
      </c>
      <c r="AC38" s="4">
        <v>2042</v>
      </c>
      <c r="AD38" s="4">
        <v>2043</v>
      </c>
      <c r="AE38" s="4">
        <v>2044</v>
      </c>
      <c r="AF38" s="4">
        <v>2045</v>
      </c>
      <c r="AG38" s="4">
        <v>2046</v>
      </c>
      <c r="AH38" s="4">
        <v>2047</v>
      </c>
      <c r="AI38" s="4">
        <v>2048</v>
      </c>
      <c r="AJ38" s="4">
        <v>2049</v>
      </c>
      <c r="AK38" s="103">
        <v>2050</v>
      </c>
    </row>
    <row r="39" spans="9:37" x14ac:dyDescent="0.25">
      <c r="I39" s="102" t="s">
        <v>409</v>
      </c>
      <c r="J39" s="4">
        <v>9.4166661249999992E-2</v>
      </c>
      <c r="K39" s="4">
        <v>9.4166661249999992E-2</v>
      </c>
      <c r="L39" s="4">
        <v>9.4166661249999992E-2</v>
      </c>
      <c r="M39" s="4">
        <v>9.4166661249999992E-2</v>
      </c>
      <c r="N39" s="4">
        <v>9.4166661249999992E-2</v>
      </c>
      <c r="O39" s="4">
        <v>9.4166661249999992E-2</v>
      </c>
      <c r="P39" s="4">
        <v>9.4166661249999992E-2</v>
      </c>
      <c r="Q39" s="4">
        <v>9.4166661249999992E-2</v>
      </c>
      <c r="R39" s="4">
        <v>9.5999994399999997E-2</v>
      </c>
      <c r="S39" s="4">
        <v>9.7833327550000002E-2</v>
      </c>
      <c r="T39" s="4">
        <v>9.9666660700000007E-2</v>
      </c>
      <c r="U39" s="4">
        <v>0.10149999385000001</v>
      </c>
      <c r="V39" s="4">
        <v>0.103333327</v>
      </c>
      <c r="W39" s="4">
        <v>0.1023333271</v>
      </c>
      <c r="X39" s="4">
        <v>0.10133332719999999</v>
      </c>
      <c r="Y39" s="4">
        <v>0.10033332729999998</v>
      </c>
      <c r="Z39" s="4">
        <v>9.9333327399999977E-2</v>
      </c>
      <c r="AA39" s="4">
        <v>9.8333327499999998E-2</v>
      </c>
      <c r="AB39" s="4">
        <v>9.7333327599999991E-2</v>
      </c>
      <c r="AC39" s="4">
        <v>9.6333327699999985E-2</v>
      </c>
      <c r="AD39" s="4">
        <v>9.5333327799999978E-2</v>
      </c>
      <c r="AE39" s="4">
        <v>9.4333327899999986E-2</v>
      </c>
      <c r="AF39" s="4">
        <v>9.3333328000000007E-2</v>
      </c>
      <c r="AG39" s="4">
        <v>9.2333328100000001E-2</v>
      </c>
      <c r="AH39" s="4">
        <v>9.1333328199999994E-2</v>
      </c>
      <c r="AI39" s="4">
        <v>9.0333328299999988E-2</v>
      </c>
      <c r="AJ39" s="4">
        <v>8.9333328399999981E-2</v>
      </c>
      <c r="AK39" s="103">
        <v>8.8333328500000016E-2</v>
      </c>
    </row>
    <row r="40" spans="9:37" x14ac:dyDescent="0.25">
      <c r="I40" s="102" t="s">
        <v>103</v>
      </c>
      <c r="J40" s="4">
        <v>0.19695917693522813</v>
      </c>
      <c r="K40" s="4">
        <v>0.1918445490889919</v>
      </c>
      <c r="L40" s="4">
        <v>0.1867299212427557</v>
      </c>
      <c r="M40" s="4">
        <v>0.18316543121930073</v>
      </c>
      <c r="N40" s="4">
        <v>0.1796009411958458</v>
      </c>
      <c r="O40" s="4">
        <v>0.17603645117239083</v>
      </c>
      <c r="P40" s="4">
        <v>0.17247196114893587</v>
      </c>
      <c r="Q40" s="4">
        <v>0.16890747112548093</v>
      </c>
      <c r="R40" s="4">
        <v>0.16876144856602932</v>
      </c>
      <c r="S40" s="4">
        <v>0.16861542600657767</v>
      </c>
      <c r="T40" s="4">
        <v>0.16846940344712602</v>
      </c>
      <c r="U40" s="4">
        <v>0.1683233808876744</v>
      </c>
      <c r="V40" s="4">
        <v>0.16817735832822278</v>
      </c>
      <c r="W40" s="4">
        <v>0.16448316805908789</v>
      </c>
      <c r="X40" s="4">
        <v>0.16078897778995299</v>
      </c>
      <c r="Y40" s="4">
        <v>0.15709478752081807</v>
      </c>
      <c r="Z40" s="4">
        <v>0.15340059725168312</v>
      </c>
      <c r="AA40" s="4">
        <v>0.1497064069825482</v>
      </c>
      <c r="AB40" s="4">
        <v>0.14627718374621171</v>
      </c>
      <c r="AC40" s="4">
        <v>0.14284796050987525</v>
      </c>
      <c r="AD40" s="4">
        <v>0.13941873727353876</v>
      </c>
      <c r="AE40" s="4">
        <v>0.13598951403720227</v>
      </c>
      <c r="AF40" s="4">
        <v>0.13256029080086582</v>
      </c>
      <c r="AG40" s="4">
        <v>0.12972417970496936</v>
      </c>
      <c r="AH40" s="4">
        <v>0.12688806860907287</v>
      </c>
      <c r="AI40" s="4">
        <v>0.12405195751317638</v>
      </c>
      <c r="AJ40" s="4">
        <v>0.12121584641727991</v>
      </c>
      <c r="AK40" s="103">
        <v>0.11837973532138339</v>
      </c>
    </row>
    <row r="41" spans="9:37" x14ac:dyDescent="0.25">
      <c r="I41" s="102" t="s">
        <v>186</v>
      </c>
      <c r="J41" s="4">
        <v>0.18104231880665794</v>
      </c>
      <c r="K41" s="4">
        <v>0.17732719010569079</v>
      </c>
      <c r="L41" s="4">
        <v>0.17361206140472354</v>
      </c>
      <c r="M41" s="4">
        <v>0.17118675002498271</v>
      </c>
      <c r="N41" s="4">
        <v>0.16876143864524187</v>
      </c>
      <c r="O41" s="4">
        <v>0.16633612726550104</v>
      </c>
      <c r="P41" s="4">
        <v>0.1639108158857602</v>
      </c>
      <c r="Q41" s="4">
        <v>0.16148550450601945</v>
      </c>
      <c r="R41" s="4">
        <v>0.1627875388918204</v>
      </c>
      <c r="S41" s="4">
        <v>0.16408957327762139</v>
      </c>
      <c r="T41" s="4">
        <v>0.16539160766342234</v>
      </c>
      <c r="U41" s="4">
        <v>0.16669364204922332</v>
      </c>
      <c r="V41" s="4">
        <v>0.16799567643502425</v>
      </c>
      <c r="W41" s="4">
        <v>0.16487244686609676</v>
      </c>
      <c r="X41" s="4">
        <v>0.16174921729716923</v>
      </c>
      <c r="Y41" s="4">
        <v>0.15862598772824177</v>
      </c>
      <c r="Z41" s="4">
        <v>0.15550275815931427</v>
      </c>
      <c r="AA41" s="4">
        <v>0.15237952859038681</v>
      </c>
      <c r="AB41" s="4">
        <v>0.14950198735980291</v>
      </c>
      <c r="AC41" s="4">
        <v>0.14662444612921899</v>
      </c>
      <c r="AD41" s="4">
        <v>0.14374690489863506</v>
      </c>
      <c r="AE41" s="4">
        <v>0.14086936366805117</v>
      </c>
      <c r="AF41" s="4">
        <v>0.13799182243746722</v>
      </c>
      <c r="AG41" s="4">
        <v>0.1352562604095163</v>
      </c>
      <c r="AH41" s="4">
        <v>0.13252069838156535</v>
      </c>
      <c r="AI41" s="4">
        <v>0.12978513635361441</v>
      </c>
      <c r="AJ41" s="4">
        <v>0.12704957432566347</v>
      </c>
      <c r="AK41" s="103">
        <v>0.12431401229771254</v>
      </c>
    </row>
    <row r="42" spans="9:37" x14ac:dyDescent="0.25">
      <c r="I42" s="102" t="s">
        <v>187</v>
      </c>
      <c r="J42" s="4">
        <v>0.36417427635318367</v>
      </c>
      <c r="K42" s="4">
        <v>0.34953957198802377</v>
      </c>
      <c r="L42" s="4">
        <v>0.33490486762286403</v>
      </c>
      <c r="M42" s="4">
        <v>0.32172366231345256</v>
      </c>
      <c r="N42" s="4">
        <v>0.30854245700404115</v>
      </c>
      <c r="O42" s="4">
        <v>0.29536125169462968</v>
      </c>
      <c r="P42" s="4">
        <v>0.28218004638521826</v>
      </c>
      <c r="Q42" s="4">
        <v>0.26899884107580674</v>
      </c>
      <c r="R42" s="4">
        <v>0.26271894785871058</v>
      </c>
      <c r="S42" s="4">
        <v>0.25643905464161443</v>
      </c>
      <c r="T42" s="4">
        <v>0.25015916142451827</v>
      </c>
      <c r="U42" s="4">
        <v>0.24387926820742209</v>
      </c>
      <c r="V42" s="4">
        <v>0.23759937499032585</v>
      </c>
      <c r="W42" s="4">
        <v>0.22988467822493394</v>
      </c>
      <c r="X42" s="4">
        <v>0.22216998145954203</v>
      </c>
      <c r="Y42" s="4">
        <v>0.21445528469415012</v>
      </c>
      <c r="Z42" s="4">
        <v>0.20674058792875821</v>
      </c>
      <c r="AA42" s="4">
        <v>0.19902589116336625</v>
      </c>
      <c r="AB42" s="4">
        <v>0.19368220926450147</v>
      </c>
      <c r="AC42" s="4">
        <v>0.18833852736563667</v>
      </c>
      <c r="AD42" s="4">
        <v>0.18299484546677189</v>
      </c>
      <c r="AE42" s="4">
        <v>0.17765116356790711</v>
      </c>
      <c r="AF42" s="4">
        <v>0.17230748166904239</v>
      </c>
      <c r="AG42" s="4">
        <v>0.16851782325418166</v>
      </c>
      <c r="AH42" s="4">
        <v>0.16472816483932096</v>
      </c>
      <c r="AI42" s="4">
        <v>0.16093850642446025</v>
      </c>
      <c r="AJ42" s="4">
        <v>0.15714884800959955</v>
      </c>
      <c r="AK42" s="103">
        <v>0.15335918959473879</v>
      </c>
    </row>
    <row r="43" spans="9:37" x14ac:dyDescent="0.25">
      <c r="I43" s="102" t="s">
        <v>11</v>
      </c>
      <c r="J43" s="4">
        <v>6.7157803121248486E-2</v>
      </c>
      <c r="K43" s="4">
        <v>6.62300120048019E-2</v>
      </c>
      <c r="L43" s="4">
        <v>6.5302220888355342E-2</v>
      </c>
      <c r="M43" s="4">
        <v>6.437442977190877E-2</v>
      </c>
      <c r="N43" s="4">
        <v>6.3446638655462198E-2</v>
      </c>
      <c r="O43" s="4">
        <v>6.2518847539015626E-2</v>
      </c>
      <c r="P43" s="4">
        <v>6.1591056422569047E-2</v>
      </c>
      <c r="Q43" s="4">
        <v>6.0663265306122455E-2</v>
      </c>
      <c r="R43" s="4">
        <v>6.0591896758703488E-2</v>
      </c>
      <c r="S43" s="4">
        <v>6.0520528211284522E-2</v>
      </c>
      <c r="T43" s="4">
        <v>6.0449159663865555E-2</v>
      </c>
      <c r="U43" s="4">
        <v>6.0377791116446589E-2</v>
      </c>
      <c r="V43" s="4">
        <v>6.0306422569027615E-2</v>
      </c>
      <c r="W43" s="4">
        <v>6.0235054021608649E-2</v>
      </c>
      <c r="X43" s="4">
        <v>6.0163685474189682E-2</v>
      </c>
      <c r="Y43" s="4">
        <v>6.0092316926770716E-2</v>
      </c>
      <c r="Z43" s="4">
        <v>6.0020948379351749E-2</v>
      </c>
      <c r="AA43" s="4">
        <v>5.9949579831932782E-2</v>
      </c>
      <c r="AB43" s="4">
        <v>5.9878211284513816E-2</v>
      </c>
      <c r="AC43" s="4">
        <v>5.9806842737094849E-2</v>
      </c>
      <c r="AD43" s="4">
        <v>5.9735474189675883E-2</v>
      </c>
      <c r="AE43" s="4">
        <v>5.9664105642256916E-2</v>
      </c>
      <c r="AF43" s="4">
        <v>5.959273709483795E-2</v>
      </c>
      <c r="AG43" s="4">
        <v>5.9521368547418983E-2</v>
      </c>
      <c r="AH43" s="4">
        <v>5.9450000000000017E-2</v>
      </c>
      <c r="AI43" s="4">
        <v>5.937863145258105E-2</v>
      </c>
      <c r="AJ43" s="4">
        <v>5.9307262905162084E-2</v>
      </c>
      <c r="AK43" s="103">
        <v>5.923589435774311E-2</v>
      </c>
    </row>
    <row r="44" spans="9:37" x14ac:dyDescent="0.25">
      <c r="I44" s="102" t="s">
        <v>279</v>
      </c>
      <c r="J44" s="4">
        <v>6.7157803121248486E-2</v>
      </c>
      <c r="K44" s="4">
        <v>6.62300120048019E-2</v>
      </c>
      <c r="L44" s="4">
        <v>6.5302220888355342E-2</v>
      </c>
      <c r="M44" s="4">
        <v>6.437442977190877E-2</v>
      </c>
      <c r="N44" s="4">
        <v>6.3446638655462198E-2</v>
      </c>
      <c r="O44" s="4">
        <v>6.2518847539015626E-2</v>
      </c>
      <c r="P44" s="4">
        <v>6.1591056422569047E-2</v>
      </c>
      <c r="Q44" s="4">
        <v>6.0663265306122455E-2</v>
      </c>
      <c r="R44" s="4">
        <v>6.0591896758703488E-2</v>
      </c>
      <c r="S44" s="4">
        <v>6.0520528211284522E-2</v>
      </c>
      <c r="T44" s="4">
        <v>6.0449159663865555E-2</v>
      </c>
      <c r="U44" s="4">
        <v>6.0377791116446589E-2</v>
      </c>
      <c r="V44" s="4">
        <v>6.0306422569027615E-2</v>
      </c>
      <c r="W44" s="4">
        <v>6.0235054021608649E-2</v>
      </c>
      <c r="X44" s="4">
        <v>6.0163685474189682E-2</v>
      </c>
      <c r="Y44" s="4">
        <v>6.0092316926770716E-2</v>
      </c>
      <c r="Z44" s="4">
        <v>6.0020948379351749E-2</v>
      </c>
      <c r="AA44" s="4">
        <v>5.9949579831932782E-2</v>
      </c>
      <c r="AB44" s="4">
        <v>5.9878211284513816E-2</v>
      </c>
      <c r="AC44" s="4">
        <v>5.9806842737094849E-2</v>
      </c>
      <c r="AD44" s="4">
        <v>5.9735474189675883E-2</v>
      </c>
      <c r="AE44" s="4">
        <v>5.9664105642256916E-2</v>
      </c>
      <c r="AF44" s="4">
        <v>5.959273709483795E-2</v>
      </c>
      <c r="AG44" s="4">
        <v>5.9521368547418983E-2</v>
      </c>
      <c r="AH44" s="4">
        <v>5.9450000000000017E-2</v>
      </c>
      <c r="AI44" s="4">
        <v>5.937863145258105E-2</v>
      </c>
      <c r="AJ44" s="4">
        <v>5.9307262905162084E-2</v>
      </c>
      <c r="AK44" s="103">
        <v>5.923589435774311E-2</v>
      </c>
    </row>
    <row r="45" spans="9:37" ht="15.75" thickBot="1" x14ac:dyDescent="0.3">
      <c r="I45" s="104" t="s">
        <v>280</v>
      </c>
      <c r="J45" s="105">
        <v>3.0104920093479957E-2</v>
      </c>
      <c r="K45" s="105">
        <v>2.9689017903028053E-2</v>
      </c>
      <c r="L45" s="105">
        <v>2.9273115712576157E-2</v>
      </c>
      <c r="M45" s="105">
        <v>2.8857213522124257E-2</v>
      </c>
      <c r="N45" s="105">
        <v>2.8441311331672357E-2</v>
      </c>
      <c r="O45" s="105">
        <v>2.8025409141220457E-2</v>
      </c>
      <c r="P45" s="105">
        <v>2.7609506950768557E-2</v>
      </c>
      <c r="Q45" s="105">
        <v>2.719360476031665E-2</v>
      </c>
      <c r="R45" s="105">
        <v>2.7161612284128042E-2</v>
      </c>
      <c r="S45" s="105">
        <v>2.7129619807939435E-2</v>
      </c>
      <c r="T45" s="105">
        <v>2.7097627331750827E-2</v>
      </c>
      <c r="U45" s="105">
        <v>2.706563485556222E-2</v>
      </c>
      <c r="V45" s="105">
        <v>2.7033642379373612E-2</v>
      </c>
      <c r="W45" s="105">
        <v>2.7001649903185005E-2</v>
      </c>
      <c r="X45" s="105">
        <v>2.6969657426996398E-2</v>
      </c>
      <c r="Y45" s="105">
        <v>2.693766495080779E-2</v>
      </c>
      <c r="Z45" s="105">
        <v>2.6905672474619183E-2</v>
      </c>
      <c r="AA45" s="105">
        <v>2.6873679998430575E-2</v>
      </c>
      <c r="AB45" s="105">
        <v>2.6841687522241968E-2</v>
      </c>
      <c r="AC45" s="105">
        <v>2.680969504605336E-2</v>
      </c>
      <c r="AD45" s="105">
        <v>2.6777702569864753E-2</v>
      </c>
      <c r="AE45" s="105">
        <v>2.6745710093676146E-2</v>
      </c>
      <c r="AF45" s="105">
        <v>2.6713717617487535E-2</v>
      </c>
      <c r="AG45" s="105">
        <v>2.6681725141298927E-2</v>
      </c>
      <c r="AH45" s="105">
        <v>2.664973266511032E-2</v>
      </c>
      <c r="AI45" s="105">
        <v>2.6617740188921712E-2</v>
      </c>
      <c r="AJ45" s="105">
        <v>2.6585747712733105E-2</v>
      </c>
      <c r="AK45" s="106">
        <v>2.6553755236544494E-2</v>
      </c>
    </row>
    <row r="49" spans="8:87" x14ac:dyDescent="0.25">
      <c r="I49" s="4" t="s">
        <v>494</v>
      </c>
    </row>
    <row r="50" spans="8:87" x14ac:dyDescent="0.25">
      <c r="I50" s="152" t="s">
        <v>504</v>
      </c>
    </row>
    <row r="51" spans="8:87" x14ac:dyDescent="0.25">
      <c r="I51" s="4" t="s">
        <v>495</v>
      </c>
    </row>
    <row r="52" spans="8:87" x14ac:dyDescent="0.25">
      <c r="I52" s="4" t="s">
        <v>496</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87" x14ac:dyDescent="0.25">
      <c r="H53" s="152" t="s">
        <v>507</v>
      </c>
      <c r="I53" s="4" t="s">
        <v>420</v>
      </c>
      <c r="J53" s="4">
        <v>95.2</v>
      </c>
      <c r="K53" s="4">
        <v>113.5</v>
      </c>
      <c r="L53" s="4">
        <v>131.69999999999999</v>
      </c>
      <c r="M53" s="4">
        <v>150</v>
      </c>
      <c r="N53" s="4">
        <v>168.2</v>
      </c>
      <c r="O53" s="4">
        <v>186.5</v>
      </c>
      <c r="P53" s="4">
        <v>204.7</v>
      </c>
      <c r="Q53" s="4">
        <v>223</v>
      </c>
      <c r="R53" s="4">
        <v>223</v>
      </c>
      <c r="S53" s="4">
        <v>223</v>
      </c>
      <c r="T53" s="4">
        <v>223</v>
      </c>
      <c r="U53" s="4">
        <v>223</v>
      </c>
      <c r="V53" s="4">
        <v>223</v>
      </c>
      <c r="W53" s="4">
        <v>223</v>
      </c>
      <c r="X53" s="4">
        <v>223</v>
      </c>
      <c r="Y53" s="4">
        <v>223</v>
      </c>
      <c r="Z53" s="4">
        <v>223</v>
      </c>
      <c r="AA53" s="4">
        <v>223</v>
      </c>
      <c r="AB53" s="4">
        <v>223</v>
      </c>
      <c r="AC53" s="4">
        <v>223</v>
      </c>
      <c r="AD53" s="4">
        <v>223</v>
      </c>
      <c r="AE53" s="4">
        <v>223</v>
      </c>
      <c r="AF53" s="4">
        <v>223</v>
      </c>
      <c r="AG53" s="4">
        <v>223</v>
      </c>
      <c r="AH53" s="4">
        <v>223</v>
      </c>
      <c r="AI53" s="4">
        <v>223</v>
      </c>
      <c r="AJ53" s="4">
        <v>223</v>
      </c>
      <c r="AK53" s="4">
        <v>223</v>
      </c>
      <c r="AL53" s="4">
        <v>223</v>
      </c>
      <c r="AM53" s="4">
        <v>223</v>
      </c>
      <c r="AN53" s="4">
        <v>223</v>
      </c>
      <c r="AO53" s="4">
        <v>229.3</v>
      </c>
      <c r="AP53" s="4">
        <v>238.5</v>
      </c>
      <c r="AQ53" s="4">
        <v>248</v>
      </c>
      <c r="AR53" s="4">
        <v>257.89999999999998</v>
      </c>
      <c r="AS53" s="4">
        <v>268.2</v>
      </c>
      <c r="AT53" s="4">
        <v>279</v>
      </c>
      <c r="AU53" s="4">
        <v>290.10000000000002</v>
      </c>
      <c r="AV53" s="4">
        <v>301.7</v>
      </c>
      <c r="AW53" s="4">
        <v>313.8</v>
      </c>
      <c r="AX53" s="4">
        <v>326.39999999999998</v>
      </c>
      <c r="AY53" s="4">
        <v>336.1</v>
      </c>
      <c r="AZ53" s="4">
        <v>346.2</v>
      </c>
      <c r="BA53" s="4">
        <v>356.6</v>
      </c>
      <c r="BB53" s="4">
        <v>367.3</v>
      </c>
      <c r="BC53" s="4">
        <v>378.3</v>
      </c>
      <c r="BD53" s="4">
        <v>389.7</v>
      </c>
      <c r="BE53" s="4">
        <v>401.4</v>
      </c>
      <c r="BF53" s="4">
        <v>413.4</v>
      </c>
      <c r="BG53" s="4">
        <v>425.8</v>
      </c>
      <c r="BH53" s="4">
        <v>438.6</v>
      </c>
      <c r="BI53" s="4">
        <v>451.8</v>
      </c>
      <c r="BJ53" s="4">
        <v>465.3</v>
      </c>
      <c r="BK53" s="4">
        <v>479.3</v>
      </c>
      <c r="BL53" s="4">
        <v>493.6</v>
      </c>
      <c r="BM53" s="4">
        <v>508.4</v>
      </c>
      <c r="BN53" s="4">
        <v>523.70000000000005</v>
      </c>
      <c r="BO53" s="4">
        <v>539.4</v>
      </c>
      <c r="BP53" s="4">
        <v>555.6</v>
      </c>
      <c r="BQ53" s="4">
        <v>572.29999999999995</v>
      </c>
      <c r="BR53" s="4">
        <v>589.4</v>
      </c>
      <c r="BS53" s="4">
        <v>607.1</v>
      </c>
      <c r="BT53" s="4">
        <v>625.29999999999995</v>
      </c>
      <c r="BU53" s="4">
        <v>644.1</v>
      </c>
      <c r="BV53" s="4">
        <v>663.4</v>
      </c>
      <c r="BW53" s="4">
        <v>683.3</v>
      </c>
      <c r="BX53" s="4">
        <v>703.8</v>
      </c>
      <c r="BY53" s="4">
        <v>724.9</v>
      </c>
      <c r="BZ53" s="4">
        <v>746.7</v>
      </c>
      <c r="CA53" s="4">
        <v>769.1</v>
      </c>
      <c r="CB53" s="4">
        <v>792.1</v>
      </c>
      <c r="CC53" s="4">
        <v>808</v>
      </c>
      <c r="CD53" s="4">
        <v>824.2</v>
      </c>
      <c r="CE53" s="4">
        <v>840.6</v>
      </c>
      <c r="CF53" s="4">
        <v>857.4</v>
      </c>
      <c r="CG53" s="4">
        <v>874.6</v>
      </c>
      <c r="CH53" s="4">
        <v>892.1</v>
      </c>
      <c r="CI53" s="4">
        <v>909.9</v>
      </c>
    </row>
    <row r="54" spans="8:87" x14ac:dyDescent="0.25">
      <c r="H54" s="152" t="s">
        <v>497</v>
      </c>
      <c r="I54" s="4" t="s">
        <v>422</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87" x14ac:dyDescent="0.25">
      <c r="H55" s="152" t="s">
        <v>498</v>
      </c>
      <c r="I55" s="4" t="s">
        <v>421</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87" x14ac:dyDescent="0.25">
      <c r="H56" s="152" t="s">
        <v>508</v>
      </c>
      <c r="I56" s="4" t="s">
        <v>509</v>
      </c>
      <c r="J56" s="4">
        <f>AVERAGE(J55,J53)</f>
        <v>121.1</v>
      </c>
      <c r="K56" s="4">
        <f>AVERAGE(K55,K53)</f>
        <v>140.69999999999999</v>
      </c>
      <c r="L56" s="4">
        <f t="shared" ref="L56:U56" si="0">AVERAGE(L55,L53)</f>
        <v>161.75</v>
      </c>
      <c r="M56" s="4">
        <f t="shared" si="0"/>
        <v>179.8</v>
      </c>
      <c r="N56" s="4">
        <f t="shared" si="0"/>
        <v>198.64999999999998</v>
      </c>
      <c r="O56" s="4">
        <f t="shared" si="0"/>
        <v>218.45</v>
      </c>
      <c r="P56" s="4">
        <f t="shared" si="0"/>
        <v>239.15</v>
      </c>
      <c r="Q56" s="4">
        <f t="shared" si="0"/>
        <v>261</v>
      </c>
      <c r="R56" s="4">
        <f t="shared" si="0"/>
        <v>274.89999999999998</v>
      </c>
      <c r="S56" s="4">
        <f t="shared" si="0"/>
        <v>290.10000000000002</v>
      </c>
      <c r="T56" s="4">
        <f t="shared" si="0"/>
        <v>306.7</v>
      </c>
      <c r="U56" s="4">
        <f t="shared" si="0"/>
        <v>324.85000000000002</v>
      </c>
      <c r="V56" s="4">
        <f t="shared" ref="V56" si="1">AVERAGE(V55,V53)</f>
        <v>344.7</v>
      </c>
      <c r="W56" s="4">
        <f t="shared" ref="W56" si="2">AVERAGE(W55,W53)</f>
        <v>366.4</v>
      </c>
      <c r="X56" s="4">
        <f t="shared" ref="X56" si="3">AVERAGE(X55,X53)</f>
        <v>390.1</v>
      </c>
      <c r="Y56" s="4">
        <f t="shared" ref="Y56" si="4">AVERAGE(Y55,Y53)</f>
        <v>416.05</v>
      </c>
      <c r="Z56" s="4">
        <f t="shared" ref="Z56" si="5">AVERAGE(Z55,Z53)</f>
        <v>444.35</v>
      </c>
      <c r="AA56" s="4">
        <f t="shared" ref="AA56" si="6">AVERAGE(AA55,AA53)</f>
        <v>475.35</v>
      </c>
      <c r="AB56" s="4">
        <f t="shared" ref="AB56" si="7">AVERAGE(AB55,AB53)</f>
        <v>490.9</v>
      </c>
      <c r="AC56" s="4">
        <f t="shared" ref="AC56:AE56" si="8">AVERAGE(AC55,AC53)</f>
        <v>507.1</v>
      </c>
      <c r="AD56" s="4">
        <f t="shared" si="8"/>
        <v>524</v>
      </c>
      <c r="AE56" s="4">
        <f t="shared" si="8"/>
        <v>541.65</v>
      </c>
      <c r="AF56" s="4">
        <f t="shared" ref="AF56" si="9">AVERAGE(AF55,AF53)</f>
        <v>560.04999999999995</v>
      </c>
      <c r="AG56" s="4">
        <f>AVERAGE(AG55,AG53)</f>
        <v>579.25</v>
      </c>
      <c r="AH56" s="4">
        <f>AVERAGE(AH55,AH53)</f>
        <v>599.25</v>
      </c>
      <c r="AI56" s="4">
        <f t="shared" ref="AI56" si="10">AVERAGE(AI55,AI53)</f>
        <v>620.1</v>
      </c>
      <c r="AJ56" s="4">
        <f t="shared" ref="AJ56" si="11">AVERAGE(AJ55,AJ53)</f>
        <v>641.85</v>
      </c>
      <c r="AK56" s="4">
        <f t="shared" ref="AK56" si="12">AVERAGE(AK55,AK53)</f>
        <v>664.5</v>
      </c>
    </row>
    <row r="57" spans="8:87" x14ac:dyDescent="0.25">
      <c r="H57" s="152"/>
    </row>
    <row r="58" spans="8:87" x14ac:dyDescent="0.25">
      <c r="H58" s="152" t="s">
        <v>499</v>
      </c>
      <c r="I58" s="4" t="s">
        <v>500</v>
      </c>
    </row>
    <row r="59" spans="8:87" x14ac:dyDescent="0.25">
      <c r="H59" s="152"/>
      <c r="I59" s="4" t="s">
        <v>496</v>
      </c>
      <c r="J59" s="4">
        <v>2023</v>
      </c>
      <c r="K59" s="4">
        <v>2024</v>
      </c>
      <c r="L59" s="4">
        <v>2025</v>
      </c>
      <c r="M59" s="4">
        <v>2026</v>
      </c>
      <c r="N59" s="4">
        <v>2027</v>
      </c>
      <c r="O59" s="4">
        <v>2028</v>
      </c>
      <c r="P59" s="4">
        <v>2029</v>
      </c>
      <c r="Q59" s="4">
        <v>2030</v>
      </c>
      <c r="R59" s="4">
        <v>2031</v>
      </c>
      <c r="S59" s="4">
        <v>2032</v>
      </c>
      <c r="T59" s="4">
        <v>2033</v>
      </c>
      <c r="U59" s="4">
        <v>2034</v>
      </c>
      <c r="V59" s="4">
        <v>2035</v>
      </c>
      <c r="W59" s="4">
        <v>2036</v>
      </c>
      <c r="X59" s="4">
        <v>2037</v>
      </c>
      <c r="Y59" s="4">
        <v>2038</v>
      </c>
      <c r="Z59" s="4">
        <v>2039</v>
      </c>
      <c r="AA59" s="4">
        <v>2040</v>
      </c>
      <c r="AB59" s="4">
        <v>2041</v>
      </c>
      <c r="AC59" s="4">
        <v>2042</v>
      </c>
      <c r="AD59" s="4">
        <v>2043</v>
      </c>
      <c r="AE59" s="4">
        <v>2044</v>
      </c>
      <c r="AF59" s="4">
        <v>2045</v>
      </c>
      <c r="AG59" s="4">
        <v>2046</v>
      </c>
      <c r="AH59" s="4">
        <v>2047</v>
      </c>
      <c r="AI59" s="4">
        <v>2048</v>
      </c>
      <c r="AJ59" s="4">
        <v>2049</v>
      </c>
      <c r="AK59" s="4">
        <v>2050</v>
      </c>
    </row>
    <row r="60" spans="8:87" x14ac:dyDescent="0.25">
      <c r="H60" s="152" t="s">
        <v>501</v>
      </c>
      <c r="I60" s="4" t="s">
        <v>422</v>
      </c>
      <c r="J60" s="4">
        <v>90</v>
      </c>
      <c r="K60" s="4">
        <v>97.310924369747895</v>
      </c>
      <c r="L60" s="4">
        <v>104.62184873949579</v>
      </c>
      <c r="M60" s="4">
        <v>111.93277310924368</v>
      </c>
      <c r="N60" s="4">
        <v>119.24369747899158</v>
      </c>
      <c r="O60" s="4">
        <v>126.55462184873947</v>
      </c>
      <c r="P60" s="4">
        <v>133.86554621848737</v>
      </c>
      <c r="Q60" s="4">
        <v>141.1764705882353</v>
      </c>
      <c r="R60" s="4">
        <v>142.23529411764707</v>
      </c>
      <c r="S60" s="4">
        <v>143.29411764705884</v>
      </c>
      <c r="T60" s="4">
        <v>144.35294117647061</v>
      </c>
      <c r="U60" s="4">
        <v>145.41176470588238</v>
      </c>
      <c r="V60" s="4">
        <v>146.47058823529414</v>
      </c>
      <c r="W60" s="4">
        <v>147.52941176470591</v>
      </c>
      <c r="X60" s="4">
        <v>148.58823529411768</v>
      </c>
      <c r="Y60" s="4">
        <v>149.64705882352945</v>
      </c>
      <c r="Z60" s="4">
        <v>150.70588235294122</v>
      </c>
      <c r="AA60" s="4">
        <v>151.76470588235296</v>
      </c>
      <c r="AB60" s="4">
        <v>152.47058823529414</v>
      </c>
      <c r="AC60" s="4">
        <v>153.1764705882353</v>
      </c>
      <c r="AD60" s="4">
        <v>153.88235294117646</v>
      </c>
      <c r="AE60" s="4">
        <v>154.58823529411762</v>
      </c>
      <c r="AF60" s="4">
        <v>155.29411764705878</v>
      </c>
      <c r="AG60" s="4">
        <v>155.99999999999994</v>
      </c>
      <c r="AH60" s="4">
        <v>156.7058823529411</v>
      </c>
      <c r="AI60" s="4">
        <v>157.41176470588226</v>
      </c>
      <c r="AJ60" s="4">
        <v>158.11764705882342</v>
      </c>
      <c r="AK60" s="4">
        <v>158.8235294117647</v>
      </c>
    </row>
    <row r="61" spans="8:87" x14ac:dyDescent="0.25">
      <c r="H61" s="152" t="s">
        <v>502</v>
      </c>
      <c r="I61" s="4" t="s">
        <v>420</v>
      </c>
      <c r="J61" s="4">
        <v>90</v>
      </c>
      <c r="K61" s="4">
        <v>83.865546218487395</v>
      </c>
      <c r="L61" s="4">
        <v>77.731092436974791</v>
      </c>
      <c r="M61" s="4">
        <v>71.596638655462186</v>
      </c>
      <c r="N61" s="4">
        <v>65.462184873949582</v>
      </c>
      <c r="O61" s="4">
        <v>59.327731092436977</v>
      </c>
      <c r="P61" s="4">
        <v>53.193277310924373</v>
      </c>
      <c r="Q61" s="4">
        <v>47.058823529411768</v>
      </c>
      <c r="R61" s="4">
        <v>55.294117647058826</v>
      </c>
      <c r="S61" s="4">
        <v>63.529411764705884</v>
      </c>
      <c r="T61" s="4">
        <v>71.764705882352942</v>
      </c>
      <c r="U61" s="4">
        <v>80</v>
      </c>
      <c r="V61" s="4">
        <v>88.235294117647058</v>
      </c>
      <c r="W61" s="4">
        <v>96.470588235294116</v>
      </c>
      <c r="X61" s="4">
        <v>104.70588235294117</v>
      </c>
      <c r="Y61" s="4">
        <v>112.94117647058823</v>
      </c>
      <c r="Z61" s="4">
        <v>121.17647058823529</v>
      </c>
      <c r="AA61" s="4">
        <v>129.41176470588235</v>
      </c>
      <c r="AB61" s="4">
        <v>135.29411764705881</v>
      </c>
      <c r="AC61" s="4">
        <v>141.17647058823528</v>
      </c>
      <c r="AD61" s="4">
        <v>147.05882352941174</v>
      </c>
      <c r="AE61" s="4">
        <v>152.9411764705882</v>
      </c>
      <c r="AF61" s="4">
        <v>158.82352941176467</v>
      </c>
      <c r="AG61" s="4">
        <v>164.70588235294113</v>
      </c>
      <c r="AH61" s="4">
        <v>170.5882352941176</v>
      </c>
      <c r="AI61" s="4">
        <v>176.47058823529406</v>
      </c>
      <c r="AJ61" s="4">
        <v>182.35294117647052</v>
      </c>
      <c r="AK61" s="4">
        <v>188.23529411764707</v>
      </c>
    </row>
    <row r="62" spans="8:87" x14ac:dyDescent="0.25">
      <c r="H62" s="152" t="s">
        <v>503</v>
      </c>
      <c r="I62" s="4" t="s">
        <v>421</v>
      </c>
      <c r="J62" s="4">
        <v>90</v>
      </c>
      <c r="K62" s="4">
        <v>100.67226890756302</v>
      </c>
      <c r="L62" s="4">
        <v>111.34453781512605</v>
      </c>
      <c r="M62" s="4">
        <v>122.01680672268907</v>
      </c>
      <c r="N62" s="4">
        <v>132.68907563025209</v>
      </c>
      <c r="O62" s="4">
        <v>143.36134453781511</v>
      </c>
      <c r="P62" s="4">
        <v>154.03361344537814</v>
      </c>
      <c r="Q62" s="4">
        <v>164.70588235294119</v>
      </c>
      <c r="R62" s="4">
        <v>172.35294117647061</v>
      </c>
      <c r="S62" s="4">
        <v>180.00000000000003</v>
      </c>
      <c r="T62" s="4">
        <v>187.64705882352945</v>
      </c>
      <c r="U62" s="4">
        <v>195.29411764705887</v>
      </c>
      <c r="V62" s="4">
        <v>202.94117647058829</v>
      </c>
      <c r="W62" s="4">
        <v>210.58823529411771</v>
      </c>
      <c r="X62" s="4">
        <v>218.23529411764713</v>
      </c>
      <c r="Y62" s="4">
        <v>225.88235294117655</v>
      </c>
      <c r="Z62" s="4">
        <v>233.52941176470597</v>
      </c>
      <c r="AA62" s="4">
        <v>241.1764705882353</v>
      </c>
      <c r="AB62" s="4">
        <v>246.47058823529412</v>
      </c>
      <c r="AC62" s="4">
        <v>251.76470588235293</v>
      </c>
      <c r="AD62" s="4">
        <v>257.05882352941177</v>
      </c>
      <c r="AE62" s="4">
        <v>262.35294117647061</v>
      </c>
      <c r="AF62" s="4">
        <v>267.64705882352945</v>
      </c>
      <c r="AG62" s="4">
        <v>272.94117647058829</v>
      </c>
      <c r="AH62" s="4">
        <v>278.23529411764713</v>
      </c>
      <c r="AI62" s="4">
        <v>283.52941176470597</v>
      </c>
      <c r="AJ62" s="4">
        <v>288.82352941176481</v>
      </c>
      <c r="AK62" s="4">
        <v>294.11764705882354</v>
      </c>
    </row>
    <row r="70" spans="1:37" s="93" customFormat="1" ht="31.5" x14ac:dyDescent="0.5">
      <c r="A70" s="93" t="s">
        <v>263</v>
      </c>
      <c r="K70" s="93" t="s">
        <v>0</v>
      </c>
    </row>
    <row r="71" spans="1:37" x14ac:dyDescent="0.25">
      <c r="B71" s="4" t="s">
        <v>402</v>
      </c>
      <c r="C71" s="94">
        <v>0.75</v>
      </c>
      <c r="D71" s="162" t="s">
        <v>405</v>
      </c>
    </row>
    <row r="72" spans="1:37" x14ac:dyDescent="0.25">
      <c r="B72" s="4" t="s">
        <v>403</v>
      </c>
      <c r="C72" s="94">
        <f>1-C71</f>
        <v>0.25</v>
      </c>
      <c r="D72" s="162" t="s">
        <v>404</v>
      </c>
    </row>
    <row r="73" spans="1:37" x14ac:dyDescent="0.25">
      <c r="A73" s="95" t="s">
        <v>1</v>
      </c>
      <c r="B73" s="110"/>
    </row>
    <row r="74" spans="1:37" ht="15.75" thickBot="1" x14ac:dyDescent="0.3"/>
    <row r="75" spans="1:37" x14ac:dyDescent="0.25">
      <c r="E75" s="4" t="s">
        <v>2</v>
      </c>
      <c r="H75" s="4" t="s">
        <v>3</v>
      </c>
      <c r="O75" s="4" t="s">
        <v>2</v>
      </c>
      <c r="R75" s="4" t="s">
        <v>3</v>
      </c>
      <c r="W75" s="99" t="s">
        <v>4</v>
      </c>
      <c r="X75" s="100">
        <v>2023</v>
      </c>
      <c r="Y75" s="100">
        <v>2050</v>
      </c>
      <c r="Z75" s="101" t="s">
        <v>5</v>
      </c>
      <c r="AB75" s="99" t="s">
        <v>6</v>
      </c>
      <c r="AC75" s="100">
        <v>2023</v>
      </c>
      <c r="AD75" s="100">
        <v>2050</v>
      </c>
      <c r="AE75" s="101" t="s">
        <v>5</v>
      </c>
      <c r="AG75" s="99" t="s">
        <v>7</v>
      </c>
      <c r="AH75" s="100">
        <v>2023</v>
      </c>
      <c r="AI75" s="100">
        <v>2050</v>
      </c>
      <c r="AJ75" s="101" t="s">
        <v>5</v>
      </c>
    </row>
    <row r="76" spans="1:37" x14ac:dyDescent="0.25">
      <c r="A76" s="25" t="s">
        <v>267</v>
      </c>
      <c r="B76" s="4">
        <v>2023</v>
      </c>
      <c r="C76" s="4">
        <v>2050</v>
      </c>
      <c r="D76" s="4" t="s">
        <v>5</v>
      </c>
      <c r="E76" s="4" t="s">
        <v>8</v>
      </c>
      <c r="F76" s="4" t="s">
        <v>9</v>
      </c>
      <c r="G76" s="4" t="s">
        <v>10</v>
      </c>
      <c r="I76" s="117"/>
      <c r="K76" s="25" t="s">
        <v>264</v>
      </c>
      <c r="L76" s="4">
        <v>2023</v>
      </c>
      <c r="M76" s="4">
        <v>2050</v>
      </c>
      <c r="N76" s="4" t="s">
        <v>5</v>
      </c>
      <c r="O76" s="4" t="s">
        <v>8</v>
      </c>
      <c r="P76" s="4" t="s">
        <v>9</v>
      </c>
      <c r="Q76" s="4" t="s">
        <v>10</v>
      </c>
      <c r="S76" s="117"/>
      <c r="W76" s="102" t="s">
        <v>12</v>
      </c>
      <c r="X76" s="107">
        <f>$B$4</f>
        <v>0</v>
      </c>
      <c r="Y76" s="107">
        <f>$C$4</f>
        <v>0</v>
      </c>
      <c r="Z76" s="103" t="s">
        <v>13</v>
      </c>
      <c r="AB76" s="102" t="s">
        <v>12</v>
      </c>
      <c r="AC76" s="107">
        <f>$B$4</f>
        <v>0</v>
      </c>
      <c r="AD76" s="107">
        <f>$C$4</f>
        <v>0</v>
      </c>
      <c r="AE76" s="103" t="s">
        <v>13</v>
      </c>
      <c r="AG76" s="102" t="s">
        <v>12</v>
      </c>
      <c r="AH76" s="107">
        <f>$B$4</f>
        <v>0</v>
      </c>
      <c r="AI76" s="107">
        <f>$C$4</f>
        <v>0</v>
      </c>
      <c r="AJ76" s="103" t="s">
        <v>13</v>
      </c>
    </row>
    <row r="77" spans="1:37" x14ac:dyDescent="0.25">
      <c r="A77" s="4" t="s">
        <v>14</v>
      </c>
      <c r="B77" s="4">
        <v>40000</v>
      </c>
      <c r="C77" s="4">
        <v>40000</v>
      </c>
      <c r="D77" s="4" t="s">
        <v>15</v>
      </c>
      <c r="E77" s="4">
        <v>12</v>
      </c>
      <c r="F77" s="4">
        <v>0.9</v>
      </c>
      <c r="G77" s="4">
        <v>0.4</v>
      </c>
      <c r="H77" s="142" t="s">
        <v>261</v>
      </c>
      <c r="I77" s="118" t="s">
        <v>17</v>
      </c>
      <c r="K77" s="4" t="s">
        <v>18</v>
      </c>
      <c r="L77" s="4">
        <v>105000</v>
      </c>
      <c r="M77" s="4">
        <v>115000</v>
      </c>
      <c r="N77" s="4" t="s">
        <v>15</v>
      </c>
      <c r="O77" s="4">
        <v>12</v>
      </c>
      <c r="P77" s="4">
        <v>0.9</v>
      </c>
      <c r="Q77" s="4">
        <v>0.4</v>
      </c>
      <c r="R77" s="142" t="s">
        <v>9</v>
      </c>
      <c r="S77" s="120" t="s">
        <v>19</v>
      </c>
      <c r="W77" s="102" t="s">
        <v>20</v>
      </c>
      <c r="X77" s="195">
        <v>3.17</v>
      </c>
      <c r="Y77" s="195"/>
      <c r="Z77" s="103" t="s">
        <v>21</v>
      </c>
      <c r="AB77" s="102" t="s">
        <v>22</v>
      </c>
      <c r="AC77" s="4">
        <v>2.1999999999999999E-2</v>
      </c>
      <c r="AD77" s="4">
        <v>0</v>
      </c>
      <c r="AE77" s="4" t="s">
        <v>23</v>
      </c>
      <c r="AG77" s="102" t="s">
        <v>22</v>
      </c>
      <c r="AH77" s="4">
        <v>2.1999999999999999E-2</v>
      </c>
      <c r="AI77" s="4">
        <v>0</v>
      </c>
      <c r="AJ77" s="4" t="s">
        <v>23</v>
      </c>
      <c r="AK77" s="4" t="s">
        <v>24</v>
      </c>
    </row>
    <row r="78" spans="1:37" x14ac:dyDescent="0.25">
      <c r="A78" s="4" t="s">
        <v>25</v>
      </c>
      <c r="B78" s="4">
        <f>-B77*0.25</f>
        <v>-10000</v>
      </c>
      <c r="C78" s="4">
        <f>-C77*0.25</f>
        <v>-10000</v>
      </c>
      <c r="D78" s="4" t="s">
        <v>15</v>
      </c>
      <c r="E78" s="4">
        <v>12</v>
      </c>
      <c r="F78" s="4">
        <v>0.9</v>
      </c>
      <c r="G78" s="4">
        <v>0.4</v>
      </c>
      <c r="H78" s="142" t="s">
        <v>26</v>
      </c>
      <c r="I78" s="119" t="s">
        <v>27</v>
      </c>
      <c r="K78" s="4" t="s">
        <v>28</v>
      </c>
      <c r="L78" s="4">
        <f>-L77*0.25</f>
        <v>-26250</v>
      </c>
      <c r="M78" s="4">
        <f>-M77*0.15</f>
        <v>-17250</v>
      </c>
      <c r="N78" s="4" t="s">
        <v>15</v>
      </c>
      <c r="O78" s="4">
        <v>12</v>
      </c>
      <c r="P78" s="4">
        <v>0.9</v>
      </c>
      <c r="Q78" s="4">
        <v>0.4</v>
      </c>
      <c r="R78" s="142" t="s">
        <v>29</v>
      </c>
      <c r="S78" s="121" t="s">
        <v>30</v>
      </c>
      <c r="W78" s="102" t="s">
        <v>31</v>
      </c>
      <c r="X78" s="195">
        <v>11.89</v>
      </c>
      <c r="Y78" s="195"/>
      <c r="Z78" s="103" t="s">
        <v>32</v>
      </c>
      <c r="AB78" s="102" t="s">
        <v>33</v>
      </c>
      <c r="AC78" s="94">
        <v>0.61</v>
      </c>
      <c r="AD78" s="94">
        <v>0.7</v>
      </c>
      <c r="AE78" s="103" t="s">
        <v>34</v>
      </c>
      <c r="AG78" s="102" t="s">
        <v>35</v>
      </c>
      <c r="AH78" s="94">
        <v>0.95</v>
      </c>
      <c r="AI78" s="94">
        <v>0.95</v>
      </c>
      <c r="AJ78" s="103" t="s">
        <v>34</v>
      </c>
      <c r="AK78" s="4" t="s">
        <v>36</v>
      </c>
    </row>
    <row r="79" spans="1:37" x14ac:dyDescent="0.25">
      <c r="A79" s="4" t="s">
        <v>37</v>
      </c>
      <c r="B79" s="4">
        <v>70000</v>
      </c>
      <c r="C79" s="4">
        <v>70000</v>
      </c>
      <c r="D79" s="4" t="s">
        <v>38</v>
      </c>
      <c r="E79" s="4">
        <v>12</v>
      </c>
      <c r="F79" s="4">
        <v>0.9</v>
      </c>
      <c r="G79" s="4">
        <v>0.4</v>
      </c>
      <c r="H79" s="142" t="s">
        <v>39</v>
      </c>
      <c r="I79" s="118" t="s">
        <v>40</v>
      </c>
      <c r="K79" s="4" t="s">
        <v>41</v>
      </c>
      <c r="L79" s="4">
        <v>8</v>
      </c>
      <c r="M79" s="4">
        <v>8</v>
      </c>
      <c r="N79" s="4" t="s">
        <v>42</v>
      </c>
      <c r="O79" s="4">
        <v>12</v>
      </c>
      <c r="P79" s="4">
        <v>0.9</v>
      </c>
      <c r="Q79" s="4">
        <v>0.4</v>
      </c>
      <c r="R79" s="142" t="s">
        <v>43</v>
      </c>
      <c r="S79" s="117" t="s">
        <v>44</v>
      </c>
      <c r="W79" s="102" t="s">
        <v>45</v>
      </c>
      <c r="X79" s="196">
        <f>X77/X78</f>
        <v>0.26661059714045415</v>
      </c>
      <c r="Y79" s="196"/>
      <c r="Z79" s="103" t="s">
        <v>46</v>
      </c>
      <c r="AB79" s="102" t="s">
        <v>47</v>
      </c>
      <c r="AC79" s="109">
        <f>AC77/AC78</f>
        <v>3.6065573770491799E-2</v>
      </c>
      <c r="AD79" s="109">
        <f>AD77/AD78</f>
        <v>0</v>
      </c>
      <c r="AE79" s="103" t="s">
        <v>46</v>
      </c>
      <c r="AG79" s="102" t="s">
        <v>22</v>
      </c>
      <c r="AH79" s="109">
        <f>AH77/AH78</f>
        <v>2.3157894736842106E-2</v>
      </c>
      <c r="AI79" s="109">
        <f>AI77/AI78</f>
        <v>0</v>
      </c>
      <c r="AJ79" s="103" t="s">
        <v>46</v>
      </c>
    </row>
    <row r="80" spans="1:37" x14ac:dyDescent="0.25">
      <c r="A80" s="4" t="s">
        <v>48</v>
      </c>
      <c r="B80" s="4">
        <v>25</v>
      </c>
      <c r="C80" s="4">
        <v>25</v>
      </c>
      <c r="D80" s="4" t="s">
        <v>49</v>
      </c>
      <c r="E80" s="4">
        <v>12</v>
      </c>
      <c r="F80" s="4">
        <v>0.9</v>
      </c>
      <c r="G80" s="4">
        <v>0.4</v>
      </c>
      <c r="H80" s="142" t="s">
        <v>50</v>
      </c>
      <c r="I80" s="118" t="s">
        <v>51</v>
      </c>
      <c r="K80" s="4" t="s">
        <v>52</v>
      </c>
      <c r="L80" s="4">
        <v>20000</v>
      </c>
      <c r="M80" s="4">
        <v>20000</v>
      </c>
      <c r="N80" s="4" t="s">
        <v>38</v>
      </c>
      <c r="O80" s="4">
        <v>12</v>
      </c>
      <c r="P80" s="4">
        <v>0.9</v>
      </c>
      <c r="Q80" s="4">
        <v>0.4</v>
      </c>
      <c r="R80" s="142" t="s">
        <v>9</v>
      </c>
      <c r="S80" s="118" t="s">
        <v>53</v>
      </c>
      <c r="W80" s="102" t="s">
        <v>54</v>
      </c>
      <c r="X80" s="4">
        <f>L81*X79</f>
        <v>0.77317073170731698</v>
      </c>
      <c r="Y80" s="4">
        <f>M81*X79</f>
        <v>0.63986543313708999</v>
      </c>
      <c r="Z80" s="103" t="s">
        <v>55</v>
      </c>
      <c r="AB80" s="102" t="s">
        <v>54</v>
      </c>
      <c r="AC80" s="4">
        <f>AC79*L105</f>
        <v>9.1245901639344248E-2</v>
      </c>
      <c r="AD80" s="4">
        <f>AD79*M105</f>
        <v>0</v>
      </c>
      <c r="AE80" s="103" t="s">
        <v>55</v>
      </c>
      <c r="AG80" s="102" t="s">
        <v>54</v>
      </c>
      <c r="AH80" s="4">
        <f>AH79*L93</f>
        <v>3.5200000000000002E-2</v>
      </c>
      <c r="AI80" s="4">
        <f>AI79*M93</f>
        <v>0</v>
      </c>
      <c r="AJ80" s="103" t="s">
        <v>55</v>
      </c>
    </row>
    <row r="81" spans="1:36" ht="15.75" thickBot="1" x14ac:dyDescent="0.3">
      <c r="A81" s="4" t="s">
        <v>56</v>
      </c>
      <c r="B81" s="150">
        <f>42%/C71</f>
        <v>0.55999999999999994</v>
      </c>
      <c r="C81" s="150">
        <f>42%/C71</f>
        <v>0.55999999999999994</v>
      </c>
      <c r="D81" s="4" t="s">
        <v>57</v>
      </c>
      <c r="E81" s="4">
        <v>12</v>
      </c>
      <c r="F81" s="4">
        <v>0.9</v>
      </c>
      <c r="G81" s="4">
        <v>0.4</v>
      </c>
      <c r="H81" s="142" t="s">
        <v>16</v>
      </c>
      <c r="I81" s="118" t="s">
        <v>58</v>
      </c>
      <c r="K81" s="4" t="s">
        <v>59</v>
      </c>
      <c r="L81" s="4">
        <v>2.9</v>
      </c>
      <c r="M81" s="4">
        <v>2.4</v>
      </c>
      <c r="N81" s="4" t="s">
        <v>60</v>
      </c>
      <c r="O81" s="4">
        <v>12</v>
      </c>
      <c r="P81" s="4">
        <v>0.9</v>
      </c>
      <c r="Q81" s="4">
        <v>0.4</v>
      </c>
      <c r="R81" s="142" t="s">
        <v>9</v>
      </c>
      <c r="S81" s="118" t="s">
        <v>61</v>
      </c>
      <c r="W81" s="104" t="s">
        <v>62</v>
      </c>
      <c r="X81" s="105">
        <f>X76/1000*X80</f>
        <v>0</v>
      </c>
      <c r="Y81" s="105">
        <f>Y80/1000*Y76</f>
        <v>0</v>
      </c>
      <c r="Z81" s="106" t="s">
        <v>63</v>
      </c>
      <c r="AB81" s="104" t="s">
        <v>62</v>
      </c>
      <c r="AC81" s="105">
        <f>AC76/1000*AC80</f>
        <v>0</v>
      </c>
      <c r="AD81" s="105">
        <f>AD80/1000*AD76</f>
        <v>0</v>
      </c>
      <c r="AE81" s="106" t="s">
        <v>63</v>
      </c>
      <c r="AG81" s="104" t="s">
        <v>62</v>
      </c>
      <c r="AH81" s="105">
        <f>AH76/1000*AH80</f>
        <v>0</v>
      </c>
      <c r="AI81" s="105">
        <f>AI80/1000*AI76</f>
        <v>0</v>
      </c>
      <c r="AJ81" s="106" t="s">
        <v>63</v>
      </c>
    </row>
    <row r="82" spans="1:36" x14ac:dyDescent="0.25">
      <c r="A82" s="4" t="s">
        <v>64</v>
      </c>
      <c r="B82" s="4">
        <v>55000</v>
      </c>
      <c r="C82" s="4">
        <v>55000</v>
      </c>
      <c r="D82" s="4" t="s">
        <v>65</v>
      </c>
      <c r="E82" s="4">
        <v>12</v>
      </c>
      <c r="F82" s="4">
        <v>0.9</v>
      </c>
      <c r="G82" s="4">
        <v>0.4</v>
      </c>
      <c r="H82" s="142" t="s">
        <v>16</v>
      </c>
      <c r="I82" s="118" t="s">
        <v>66</v>
      </c>
      <c r="K82" s="4" t="s">
        <v>67</v>
      </c>
      <c r="L82" s="4">
        <f>B5</f>
        <v>0.1</v>
      </c>
      <c r="M82" s="4">
        <f>C5</f>
        <v>0.1</v>
      </c>
      <c r="N82" s="4" t="s">
        <v>68</v>
      </c>
      <c r="O82" s="4">
        <f>E5</f>
        <v>12</v>
      </c>
      <c r="P82" s="4">
        <f>F5</f>
        <v>0.9</v>
      </c>
      <c r="Q82" s="4">
        <f>G5</f>
        <v>0.4</v>
      </c>
      <c r="R82" s="142" t="s">
        <v>251</v>
      </c>
      <c r="S82" s="124" t="s">
        <v>253</v>
      </c>
    </row>
    <row r="83" spans="1:36" x14ac:dyDescent="0.25">
      <c r="A83" s="4" t="s">
        <v>70</v>
      </c>
      <c r="B83" s="4">
        <v>10</v>
      </c>
      <c r="C83" s="4">
        <v>10</v>
      </c>
      <c r="D83" s="4" t="s">
        <v>42</v>
      </c>
      <c r="E83" s="4">
        <v>12</v>
      </c>
      <c r="F83" s="4">
        <v>0.9</v>
      </c>
      <c r="G83" s="4">
        <v>0.4</v>
      </c>
      <c r="H83" s="142" t="s">
        <v>71</v>
      </c>
      <c r="I83" s="118" t="s">
        <v>72</v>
      </c>
      <c r="K83" s="4" t="s">
        <v>73</v>
      </c>
      <c r="L83" s="150">
        <v>0</v>
      </c>
      <c r="M83" s="150">
        <v>0</v>
      </c>
      <c r="N83" s="4" t="s">
        <v>57</v>
      </c>
      <c r="O83" s="4">
        <v>12</v>
      </c>
      <c r="P83" s="4">
        <v>0.9</v>
      </c>
      <c r="Q83" s="4">
        <v>0.4</v>
      </c>
      <c r="R83" s="142" t="s">
        <v>50</v>
      </c>
      <c r="S83" s="118" t="s">
        <v>74</v>
      </c>
    </row>
    <row r="84" spans="1:36" x14ac:dyDescent="0.25">
      <c r="A84" s="4" t="s">
        <v>262</v>
      </c>
      <c r="B84" s="4">
        <v>0.11</v>
      </c>
      <c r="C84" s="4">
        <v>0.11</v>
      </c>
      <c r="D84" s="4" t="s">
        <v>76</v>
      </c>
      <c r="E84" s="4">
        <v>12</v>
      </c>
      <c r="F84" s="4">
        <v>0.9</v>
      </c>
      <c r="G84" s="4">
        <v>0.4</v>
      </c>
      <c r="H84" s="142" t="s">
        <v>77</v>
      </c>
      <c r="I84" s="118" t="s">
        <v>78</v>
      </c>
      <c r="K84" s="4" t="s">
        <v>79</v>
      </c>
      <c r="L84" s="150">
        <v>0.06</v>
      </c>
      <c r="M84" s="150">
        <v>0.06</v>
      </c>
      <c r="N84" s="4" t="s">
        <v>57</v>
      </c>
      <c r="O84" s="4">
        <v>12</v>
      </c>
      <c r="P84" s="4">
        <v>0.9</v>
      </c>
      <c r="Q84" s="4">
        <v>0.4</v>
      </c>
      <c r="R84" s="142" t="s">
        <v>77</v>
      </c>
      <c r="S84" s="122" t="s">
        <v>74</v>
      </c>
      <c r="W84" s="4" t="s">
        <v>26</v>
      </c>
      <c r="X84" s="4" t="s">
        <v>80</v>
      </c>
    </row>
    <row r="85" spans="1:36" x14ac:dyDescent="0.25">
      <c r="I85" s="118"/>
      <c r="K85" s="4" t="s">
        <v>81</v>
      </c>
      <c r="L85" s="4">
        <f>X81</f>
        <v>0</v>
      </c>
      <c r="M85" s="4">
        <f>Y81</f>
        <v>0</v>
      </c>
      <c r="N85" s="4" t="s">
        <v>76</v>
      </c>
      <c r="O85" s="4">
        <v>17</v>
      </c>
      <c r="P85" s="4">
        <f>$F$4</f>
        <v>0.9</v>
      </c>
      <c r="Q85" s="4">
        <f>$G$4</f>
        <v>0.4</v>
      </c>
      <c r="R85" s="142" t="s">
        <v>254</v>
      </c>
      <c r="S85" s="118" t="s">
        <v>83</v>
      </c>
      <c r="W85" s="4" t="s">
        <v>9</v>
      </c>
      <c r="X85" s="4" t="s">
        <v>84</v>
      </c>
    </row>
    <row r="86" spans="1:36" x14ac:dyDescent="0.25">
      <c r="I86" s="118"/>
      <c r="S86" s="118"/>
      <c r="W86" s="4" t="s">
        <v>16</v>
      </c>
      <c r="X86" s="4" t="s">
        <v>85</v>
      </c>
    </row>
    <row r="87" spans="1:36" x14ac:dyDescent="0.25">
      <c r="E87" s="4" t="s">
        <v>2</v>
      </c>
      <c r="H87" s="4" t="s">
        <v>3</v>
      </c>
      <c r="I87" s="118"/>
      <c r="O87" s="4" t="s">
        <v>2</v>
      </c>
      <c r="R87" s="4" t="s">
        <v>3</v>
      </c>
      <c r="S87" s="118"/>
      <c r="W87" s="4" t="s">
        <v>43</v>
      </c>
      <c r="X87" s="4" t="s">
        <v>86</v>
      </c>
    </row>
    <row r="88" spans="1:36" x14ac:dyDescent="0.25">
      <c r="A88" s="25" t="s">
        <v>268</v>
      </c>
      <c r="B88" s="4">
        <v>2023</v>
      </c>
      <c r="C88" s="4">
        <v>2050</v>
      </c>
      <c r="D88" s="4" t="s">
        <v>5</v>
      </c>
      <c r="E88" s="4" t="s">
        <v>8</v>
      </c>
      <c r="F88" s="4" t="s">
        <v>9</v>
      </c>
      <c r="G88" s="4" t="s">
        <v>10</v>
      </c>
      <c r="I88" s="118"/>
      <c r="K88" s="25" t="s">
        <v>265</v>
      </c>
      <c r="L88" s="4">
        <v>2023</v>
      </c>
      <c r="M88" s="4">
        <v>2050</v>
      </c>
      <c r="N88" s="4" t="s">
        <v>5</v>
      </c>
      <c r="O88" s="4" t="s">
        <v>8</v>
      </c>
      <c r="P88" s="4" t="s">
        <v>9</v>
      </c>
      <c r="Q88" s="4" t="s">
        <v>10</v>
      </c>
      <c r="S88" s="118"/>
      <c r="W88" s="4" t="s">
        <v>77</v>
      </c>
      <c r="X88" s="4" t="s">
        <v>88</v>
      </c>
    </row>
    <row r="89" spans="1:36" x14ac:dyDescent="0.25">
      <c r="A89" s="4" t="s">
        <v>14</v>
      </c>
      <c r="B89" s="4">
        <v>60000</v>
      </c>
      <c r="C89" s="4">
        <v>60000</v>
      </c>
      <c r="D89" s="4" t="s">
        <v>15</v>
      </c>
      <c r="E89" s="4">
        <v>12</v>
      </c>
      <c r="F89" s="4">
        <v>0.9</v>
      </c>
      <c r="G89" s="4">
        <v>0.4</v>
      </c>
      <c r="H89" s="142" t="s">
        <v>261</v>
      </c>
      <c r="I89" s="118" t="s">
        <v>17</v>
      </c>
      <c r="K89" s="4" t="s">
        <v>18</v>
      </c>
      <c r="L89" s="4">
        <v>400000</v>
      </c>
      <c r="M89" s="4">
        <v>145000</v>
      </c>
      <c r="N89" s="4" t="s">
        <v>15</v>
      </c>
      <c r="O89" s="4">
        <v>8</v>
      </c>
      <c r="P89" s="4">
        <v>0.9</v>
      </c>
      <c r="Q89" s="4">
        <v>0.4</v>
      </c>
      <c r="R89" s="142" t="s">
        <v>9</v>
      </c>
      <c r="S89" s="118" t="s">
        <v>89</v>
      </c>
      <c r="W89" s="4" t="s">
        <v>71</v>
      </c>
      <c r="X89" s="4" t="s">
        <v>90</v>
      </c>
    </row>
    <row r="90" spans="1:36" x14ac:dyDescent="0.25">
      <c r="A90" s="4" t="s">
        <v>25</v>
      </c>
      <c r="B90" s="4">
        <f>-B89*0.25</f>
        <v>-15000</v>
      </c>
      <c r="C90" s="4">
        <f>-C89*0.25</f>
        <v>-15000</v>
      </c>
      <c r="D90" s="4" t="s">
        <v>15</v>
      </c>
      <c r="E90" s="4">
        <v>12</v>
      </c>
      <c r="F90" s="4">
        <v>0.9</v>
      </c>
      <c r="G90" s="4">
        <v>0.4</v>
      </c>
      <c r="H90" s="142" t="s">
        <v>26</v>
      </c>
      <c r="I90" s="119" t="s">
        <v>27</v>
      </c>
      <c r="K90" s="4" t="s">
        <v>28</v>
      </c>
      <c r="L90" s="4">
        <f>-L89*0.15</f>
        <v>-60000</v>
      </c>
      <c r="M90" s="4">
        <f>-M89*0.25</f>
        <v>-36250</v>
      </c>
      <c r="N90" s="4" t="s">
        <v>15</v>
      </c>
      <c r="O90" s="4">
        <v>8</v>
      </c>
      <c r="P90" s="4">
        <v>0.9</v>
      </c>
      <c r="Q90" s="4">
        <v>0.4</v>
      </c>
      <c r="R90" s="142" t="s">
        <v>29</v>
      </c>
      <c r="S90" s="121" t="s">
        <v>91</v>
      </c>
      <c r="W90" s="4" t="s">
        <v>50</v>
      </c>
      <c r="X90" s="4" t="s">
        <v>92</v>
      </c>
    </row>
    <row r="91" spans="1:36" x14ac:dyDescent="0.25">
      <c r="A91" s="4" t="s">
        <v>37</v>
      </c>
      <c r="B91" s="4">
        <v>70000</v>
      </c>
      <c r="C91" s="4">
        <v>70000</v>
      </c>
      <c r="D91" s="4" t="s">
        <v>38</v>
      </c>
      <c r="E91" s="4">
        <v>12</v>
      </c>
      <c r="F91" s="4">
        <v>0.9</v>
      </c>
      <c r="G91" s="4">
        <v>0.4</v>
      </c>
      <c r="H91" s="142" t="s">
        <v>39</v>
      </c>
      <c r="I91" s="118" t="s">
        <v>40</v>
      </c>
      <c r="K91" s="4" t="s">
        <v>41</v>
      </c>
      <c r="L91" s="4">
        <v>8</v>
      </c>
      <c r="M91" s="4">
        <v>8</v>
      </c>
      <c r="N91" s="4" t="s">
        <v>42</v>
      </c>
      <c r="O91" s="4">
        <v>8</v>
      </c>
      <c r="P91" s="4">
        <v>0.9</v>
      </c>
      <c r="Q91" s="4">
        <v>0.4</v>
      </c>
      <c r="R91" s="142" t="s">
        <v>43</v>
      </c>
      <c r="S91" s="117" t="s">
        <v>44</v>
      </c>
      <c r="W91" s="4" t="s">
        <v>82</v>
      </c>
      <c r="X91" s="4" t="s">
        <v>93</v>
      </c>
    </row>
    <row r="92" spans="1:36" x14ac:dyDescent="0.25">
      <c r="A92" s="4" t="s">
        <v>48</v>
      </c>
      <c r="B92" s="4">
        <v>25</v>
      </c>
      <c r="C92" s="4">
        <v>25</v>
      </c>
      <c r="D92" s="4" t="s">
        <v>49</v>
      </c>
      <c r="E92" s="4">
        <v>12</v>
      </c>
      <c r="F92" s="4">
        <v>0.9</v>
      </c>
      <c r="G92" s="4">
        <v>0.4</v>
      </c>
      <c r="H92" s="142" t="s">
        <v>50</v>
      </c>
      <c r="I92" s="118" t="s">
        <v>51</v>
      </c>
      <c r="K92" s="4" t="s">
        <v>52</v>
      </c>
      <c r="L92" s="4">
        <v>15000</v>
      </c>
      <c r="M92" s="4">
        <v>15000</v>
      </c>
      <c r="N92" s="4" t="s">
        <v>38</v>
      </c>
      <c r="O92" s="4">
        <v>8</v>
      </c>
      <c r="P92" s="4">
        <v>0.9</v>
      </c>
      <c r="Q92" s="4">
        <v>0.4</v>
      </c>
      <c r="R92" s="142" t="s">
        <v>9</v>
      </c>
      <c r="S92" s="118" t="s">
        <v>94</v>
      </c>
      <c r="W92" s="4" t="s">
        <v>95</v>
      </c>
      <c r="X92" s="110" t="s">
        <v>24</v>
      </c>
      <c r="AI92" s="25"/>
    </row>
    <row r="93" spans="1:36" x14ac:dyDescent="0.25">
      <c r="A93" s="4" t="s">
        <v>56</v>
      </c>
      <c r="B93" s="150">
        <f>48%/C71</f>
        <v>0.64</v>
      </c>
      <c r="C93" s="150">
        <f>48%/C71</f>
        <v>0.64</v>
      </c>
      <c r="D93" s="4" t="s">
        <v>57</v>
      </c>
      <c r="E93" s="4">
        <v>12</v>
      </c>
      <c r="F93" s="4">
        <v>0.9</v>
      </c>
      <c r="G93" s="4">
        <v>0.4</v>
      </c>
      <c r="H93" s="142" t="s">
        <v>16</v>
      </c>
      <c r="I93" s="118" t="s">
        <v>96</v>
      </c>
      <c r="K93" s="4" t="s">
        <v>59</v>
      </c>
      <c r="L93" s="4">
        <v>1.52</v>
      </c>
      <c r="M93" s="4">
        <v>1.1499999999999999</v>
      </c>
      <c r="N93" s="4" t="s">
        <v>60</v>
      </c>
      <c r="O93" s="4">
        <v>8</v>
      </c>
      <c r="P93" s="4">
        <v>0.9</v>
      </c>
      <c r="Q93" s="4">
        <v>0.4</v>
      </c>
      <c r="R93" s="142" t="s">
        <v>9</v>
      </c>
      <c r="S93" s="118" t="s">
        <v>74</v>
      </c>
      <c r="W93" s="4" t="s">
        <v>97</v>
      </c>
      <c r="X93" s="4" t="s">
        <v>36</v>
      </c>
    </row>
    <row r="94" spans="1:36" x14ac:dyDescent="0.25">
      <c r="A94" s="4" t="s">
        <v>64</v>
      </c>
      <c r="B94" s="4">
        <v>110000</v>
      </c>
      <c r="C94" s="4">
        <v>110000</v>
      </c>
      <c r="D94" s="4" t="s">
        <v>65</v>
      </c>
      <c r="E94" s="4">
        <v>12</v>
      </c>
      <c r="F94" s="4">
        <v>0.9</v>
      </c>
      <c r="G94" s="4">
        <v>0.4</v>
      </c>
      <c r="H94" s="142" t="s">
        <v>16</v>
      </c>
      <c r="I94" s="118" t="s">
        <v>98</v>
      </c>
      <c r="K94" s="4" t="s">
        <v>67</v>
      </c>
      <c r="L94" s="65">
        <f t="shared" ref="L94:Q94" si="13">B8</f>
        <v>0.13371034051801745</v>
      </c>
      <c r="M94" s="65">
        <f t="shared" si="13"/>
        <v>8.7585019329602734E-2</v>
      </c>
      <c r="N94" s="65" t="str">
        <f t="shared" si="13"/>
        <v>[€/kWh]</v>
      </c>
      <c r="O94" s="65">
        <f t="shared" si="13"/>
        <v>12</v>
      </c>
      <c r="P94" s="65">
        <f t="shared" si="13"/>
        <v>0.9</v>
      </c>
      <c r="Q94" s="65">
        <f t="shared" si="13"/>
        <v>0.4</v>
      </c>
      <c r="R94" s="142" t="s">
        <v>77</v>
      </c>
      <c r="S94" s="118" t="s">
        <v>291</v>
      </c>
      <c r="W94" s="4" t="s">
        <v>69</v>
      </c>
      <c r="X94" s="4" t="s">
        <v>99</v>
      </c>
    </row>
    <row r="95" spans="1:36" x14ac:dyDescent="0.25">
      <c r="A95" s="4" t="s">
        <v>70</v>
      </c>
      <c r="B95" s="4">
        <v>10</v>
      </c>
      <c r="C95" s="4">
        <v>10</v>
      </c>
      <c r="D95" s="4" t="s">
        <v>42</v>
      </c>
      <c r="E95" s="4">
        <v>12</v>
      </c>
      <c r="F95" s="4">
        <v>0.9</v>
      </c>
      <c r="G95" s="4">
        <v>0.4</v>
      </c>
      <c r="H95" s="142" t="s">
        <v>71</v>
      </c>
      <c r="I95" s="118" t="s">
        <v>72</v>
      </c>
      <c r="K95" s="4" t="s">
        <v>73</v>
      </c>
      <c r="L95" s="150">
        <v>0.1</v>
      </c>
      <c r="M95" s="150">
        <v>0.05</v>
      </c>
      <c r="N95" s="4" t="s">
        <v>57</v>
      </c>
      <c r="O95" s="4">
        <v>12</v>
      </c>
      <c r="P95" s="4">
        <v>0.9</v>
      </c>
      <c r="Q95" s="4">
        <v>0.4</v>
      </c>
      <c r="R95" s="142" t="s">
        <v>257</v>
      </c>
      <c r="S95" s="118" t="s">
        <v>100</v>
      </c>
      <c r="W95" s="4" t="s">
        <v>10</v>
      </c>
      <c r="X95" s="4" t="s">
        <v>101</v>
      </c>
    </row>
    <row r="96" spans="1:36" x14ac:dyDescent="0.25">
      <c r="A96" s="4" t="s">
        <v>262</v>
      </c>
      <c r="B96" s="4">
        <v>0.11</v>
      </c>
      <c r="C96" s="4">
        <v>0.11</v>
      </c>
      <c r="D96" s="4" t="s">
        <v>76</v>
      </c>
      <c r="E96" s="4">
        <v>12</v>
      </c>
      <c r="F96" s="4">
        <v>0.9</v>
      </c>
      <c r="G96" s="4">
        <v>0.4</v>
      </c>
      <c r="H96" s="142" t="s">
        <v>77</v>
      </c>
      <c r="I96" s="118" t="s">
        <v>78</v>
      </c>
      <c r="K96" s="4" t="s">
        <v>79</v>
      </c>
      <c r="L96" s="150">
        <v>0.06</v>
      </c>
      <c r="M96" s="150">
        <v>0.06</v>
      </c>
      <c r="N96" s="4" t="s">
        <v>57</v>
      </c>
      <c r="O96" s="4">
        <v>12</v>
      </c>
      <c r="P96" s="4">
        <v>0.9</v>
      </c>
      <c r="Q96" s="4">
        <v>0.4</v>
      </c>
      <c r="R96" s="142" t="s">
        <v>77</v>
      </c>
      <c r="S96" s="122" t="s">
        <v>74</v>
      </c>
      <c r="W96" s="4" t="s">
        <v>251</v>
      </c>
      <c r="X96" s="4" t="s">
        <v>252</v>
      </c>
    </row>
    <row r="97" spans="1:24" x14ac:dyDescent="0.25">
      <c r="I97" s="118"/>
      <c r="K97" s="4" t="s">
        <v>81</v>
      </c>
      <c r="L97" s="4">
        <f>AH81</f>
        <v>0</v>
      </c>
      <c r="M97" s="4">
        <f>AI81</f>
        <v>0</v>
      </c>
      <c r="N97" s="4" t="s">
        <v>76</v>
      </c>
      <c r="O97" s="4">
        <f>$E$4</f>
        <v>17</v>
      </c>
      <c r="P97" s="4">
        <f>$F$4</f>
        <v>0.9</v>
      </c>
      <c r="Q97" s="4">
        <f>$G$4</f>
        <v>0.4</v>
      </c>
      <c r="R97" s="142" t="s">
        <v>319</v>
      </c>
      <c r="S97" s="118" t="s">
        <v>102</v>
      </c>
      <c r="W97" s="4" t="s">
        <v>255</v>
      </c>
      <c r="X97" s="4" t="s">
        <v>256</v>
      </c>
    </row>
    <row r="98" spans="1:24" x14ac:dyDescent="0.25">
      <c r="I98" s="118"/>
      <c r="S98" s="118"/>
      <c r="W98" s="4" t="s">
        <v>260</v>
      </c>
      <c r="X98" s="4" t="s">
        <v>259</v>
      </c>
    </row>
    <row r="99" spans="1:24" x14ac:dyDescent="0.25">
      <c r="I99" s="118"/>
      <c r="O99" s="4" t="s">
        <v>2</v>
      </c>
      <c r="R99" s="4" t="s">
        <v>3</v>
      </c>
      <c r="S99" s="118"/>
    </row>
    <row r="100" spans="1:24" x14ac:dyDescent="0.25">
      <c r="E100" s="4" t="s">
        <v>2</v>
      </c>
      <c r="H100" s="4" t="s">
        <v>3</v>
      </c>
      <c r="I100" s="118"/>
      <c r="K100" s="25" t="s">
        <v>266</v>
      </c>
      <c r="L100" s="4">
        <v>2023</v>
      </c>
      <c r="M100" s="4">
        <v>2050</v>
      </c>
      <c r="N100" s="4" t="s">
        <v>5</v>
      </c>
      <c r="O100" s="4" t="s">
        <v>8</v>
      </c>
      <c r="P100" s="4" t="s">
        <v>9</v>
      </c>
      <c r="Q100" s="4" t="s">
        <v>10</v>
      </c>
      <c r="S100" s="118"/>
    </row>
    <row r="101" spans="1:24" x14ac:dyDescent="0.25">
      <c r="A101" s="25" t="s">
        <v>269</v>
      </c>
      <c r="B101" s="4">
        <v>2023</v>
      </c>
      <c r="C101" s="4">
        <v>2050</v>
      </c>
      <c r="D101" s="4" t="s">
        <v>5</v>
      </c>
      <c r="E101" s="4" t="s">
        <v>8</v>
      </c>
      <c r="F101" s="4" t="s">
        <v>9</v>
      </c>
      <c r="G101" s="4" t="s">
        <v>10</v>
      </c>
      <c r="I101" s="118"/>
      <c r="K101" s="4" t="s">
        <v>18</v>
      </c>
      <c r="L101" s="4">
        <v>390000</v>
      </c>
      <c r="M101" s="4">
        <v>155000</v>
      </c>
      <c r="N101" s="4" t="s">
        <v>15</v>
      </c>
      <c r="O101" s="4">
        <v>9</v>
      </c>
      <c r="P101" s="4">
        <v>0.9</v>
      </c>
      <c r="Q101" s="4">
        <v>0.4</v>
      </c>
      <c r="R101" s="142" t="s">
        <v>9</v>
      </c>
      <c r="S101" s="118" t="s">
        <v>104</v>
      </c>
    </row>
    <row r="102" spans="1:24" x14ac:dyDescent="0.25">
      <c r="A102" s="4" t="s">
        <v>14</v>
      </c>
      <c r="B102" s="4">
        <v>30000</v>
      </c>
      <c r="C102" s="4">
        <v>30000</v>
      </c>
      <c r="D102" s="4" t="s">
        <v>15</v>
      </c>
      <c r="E102" s="4">
        <v>12</v>
      </c>
      <c r="F102" s="4">
        <v>0.9</v>
      </c>
      <c r="G102" s="4">
        <v>0.4</v>
      </c>
      <c r="H102" s="142" t="s">
        <v>261</v>
      </c>
      <c r="I102" s="118" t="s">
        <v>17</v>
      </c>
      <c r="K102" s="4" t="s">
        <v>28</v>
      </c>
      <c r="L102" s="4">
        <f>-L101*0.15</f>
        <v>-58500</v>
      </c>
      <c r="M102" s="4">
        <f>-M101*0.25</f>
        <v>-38750</v>
      </c>
      <c r="N102" s="4" t="s">
        <v>15</v>
      </c>
      <c r="O102" s="4">
        <v>9</v>
      </c>
      <c r="P102" s="4">
        <v>0.9</v>
      </c>
      <c r="Q102" s="4">
        <v>0.4</v>
      </c>
      <c r="R102" s="142" t="s">
        <v>29</v>
      </c>
      <c r="S102" s="121" t="s">
        <v>91</v>
      </c>
    </row>
    <row r="103" spans="1:24" x14ac:dyDescent="0.25">
      <c r="A103" s="4" t="s">
        <v>25</v>
      </c>
      <c r="B103" s="4">
        <f>-B102*0.25</f>
        <v>-7500</v>
      </c>
      <c r="C103" s="4">
        <f>-C102*0.25</f>
        <v>-7500</v>
      </c>
      <c r="D103" s="4" t="s">
        <v>15</v>
      </c>
      <c r="E103" s="4">
        <v>12</v>
      </c>
      <c r="F103" s="4">
        <v>0.9</v>
      </c>
      <c r="G103" s="4">
        <v>0.4</v>
      </c>
      <c r="H103" s="142" t="s">
        <v>26</v>
      </c>
      <c r="I103" s="119" t="s">
        <v>27</v>
      </c>
      <c r="K103" s="4" t="s">
        <v>41</v>
      </c>
      <c r="L103" s="4">
        <v>8</v>
      </c>
      <c r="M103" s="4">
        <v>8</v>
      </c>
      <c r="N103" s="4" t="s">
        <v>42</v>
      </c>
      <c r="O103" s="4">
        <v>9</v>
      </c>
      <c r="P103" s="4">
        <v>0.9</v>
      </c>
      <c r="Q103" s="4">
        <v>0.4</v>
      </c>
      <c r="R103" s="142" t="s">
        <v>43</v>
      </c>
      <c r="S103" s="117" t="s">
        <v>44</v>
      </c>
    </row>
    <row r="104" spans="1:24" x14ac:dyDescent="0.25">
      <c r="A104" s="4" t="s">
        <v>37</v>
      </c>
      <c r="B104" s="4">
        <v>70000</v>
      </c>
      <c r="C104" s="4">
        <v>70000</v>
      </c>
      <c r="D104" s="4" t="s">
        <v>38</v>
      </c>
      <c r="E104" s="4">
        <v>12</v>
      </c>
      <c r="F104" s="4">
        <v>0.9</v>
      </c>
      <c r="G104" s="4">
        <v>0.4</v>
      </c>
      <c r="H104" s="142" t="s">
        <v>39</v>
      </c>
      <c r="I104" s="118" t="s">
        <v>40</v>
      </c>
      <c r="K104" s="4" t="s">
        <v>52</v>
      </c>
      <c r="L104" s="4">
        <v>26000</v>
      </c>
      <c r="M104" s="4">
        <v>18000</v>
      </c>
      <c r="N104" s="4" t="s">
        <v>38</v>
      </c>
      <c r="O104" s="4">
        <v>9</v>
      </c>
      <c r="P104" s="4">
        <v>0.9</v>
      </c>
      <c r="Q104" s="4">
        <v>0.4</v>
      </c>
      <c r="R104" s="142" t="s">
        <v>9</v>
      </c>
      <c r="S104" s="118" t="s">
        <v>105</v>
      </c>
    </row>
    <row r="105" spans="1:24" x14ac:dyDescent="0.25">
      <c r="A105" s="4" t="s">
        <v>48</v>
      </c>
      <c r="B105" s="4">
        <v>25</v>
      </c>
      <c r="C105" s="4">
        <v>25</v>
      </c>
      <c r="D105" s="4" t="s">
        <v>49</v>
      </c>
      <c r="E105" s="4">
        <v>12</v>
      </c>
      <c r="F105" s="4">
        <v>0.9</v>
      </c>
      <c r="G105" s="4">
        <v>0.4</v>
      </c>
      <c r="H105" s="142" t="s">
        <v>50</v>
      </c>
      <c r="I105" s="118" t="s">
        <v>51</v>
      </c>
      <c r="K105" s="4" t="s">
        <v>59</v>
      </c>
      <c r="L105" s="4">
        <v>2.5299999999999998</v>
      </c>
      <c r="M105" s="4">
        <v>1.79</v>
      </c>
      <c r="N105" s="4" t="s">
        <v>60</v>
      </c>
      <c r="O105" s="4">
        <v>9</v>
      </c>
      <c r="P105" s="4">
        <v>0.9</v>
      </c>
      <c r="Q105" s="4">
        <v>0.4</v>
      </c>
      <c r="R105" s="142" t="s">
        <v>9</v>
      </c>
      <c r="S105" s="118" t="s">
        <v>106</v>
      </c>
    </row>
    <row r="106" spans="1:24" x14ac:dyDescent="0.25">
      <c r="A106" s="4" t="s">
        <v>56</v>
      </c>
      <c r="B106" s="150">
        <f>46%/C71</f>
        <v>0.6133333333333334</v>
      </c>
      <c r="C106" s="150">
        <f>46%/C71</f>
        <v>0.6133333333333334</v>
      </c>
      <c r="D106" s="4" t="s">
        <v>57</v>
      </c>
      <c r="E106" s="4">
        <v>12</v>
      </c>
      <c r="F106" s="4">
        <v>0.9</v>
      </c>
      <c r="G106" s="4">
        <v>0.4</v>
      </c>
      <c r="H106" s="142" t="s">
        <v>16</v>
      </c>
      <c r="I106" s="118" t="s">
        <v>107</v>
      </c>
      <c r="K106" s="4" t="s">
        <v>67</v>
      </c>
      <c r="L106" s="65">
        <f t="shared" ref="L106:Q106" si="14">B9</f>
        <v>0.2544561408768215</v>
      </c>
      <c r="M106" s="65">
        <f t="shared" si="14"/>
        <v>0.10949010032952979</v>
      </c>
      <c r="N106" s="65" t="str">
        <f t="shared" si="14"/>
        <v>[€/kWh]</v>
      </c>
      <c r="O106" s="65">
        <f t="shared" si="14"/>
        <v>12</v>
      </c>
      <c r="P106" s="65">
        <f t="shared" si="14"/>
        <v>0.9</v>
      </c>
      <c r="Q106" s="65">
        <f t="shared" si="14"/>
        <v>0.4</v>
      </c>
      <c r="R106" s="142" t="s">
        <v>77</v>
      </c>
      <c r="S106" s="118" t="s">
        <v>290</v>
      </c>
    </row>
    <row r="107" spans="1:24" x14ac:dyDescent="0.25">
      <c r="A107" s="4" t="s">
        <v>64</v>
      </c>
      <c r="B107" s="4">
        <v>105000</v>
      </c>
      <c r="C107" s="4">
        <v>105000</v>
      </c>
      <c r="D107" s="4" t="s">
        <v>65</v>
      </c>
      <c r="E107" s="4">
        <v>12</v>
      </c>
      <c r="F107" s="4">
        <v>0.9</v>
      </c>
      <c r="G107" s="4">
        <v>0.4</v>
      </c>
      <c r="H107" s="142" t="s">
        <v>16</v>
      </c>
      <c r="I107" s="118" t="s">
        <v>108</v>
      </c>
      <c r="K107" s="4" t="s">
        <v>73</v>
      </c>
      <c r="L107" s="150">
        <v>0.05</v>
      </c>
      <c r="M107" s="150">
        <v>0.02</v>
      </c>
      <c r="N107" s="4" t="s">
        <v>57</v>
      </c>
      <c r="O107" s="4">
        <v>12</v>
      </c>
      <c r="P107" s="4">
        <v>0.9</v>
      </c>
      <c r="Q107" s="4">
        <v>0.4</v>
      </c>
      <c r="R107" s="142" t="s">
        <v>50</v>
      </c>
      <c r="S107" s="118" t="s">
        <v>258</v>
      </c>
    </row>
    <row r="108" spans="1:24" x14ac:dyDescent="0.25">
      <c r="A108" s="4" t="s">
        <v>70</v>
      </c>
      <c r="B108" s="4">
        <v>10</v>
      </c>
      <c r="C108" s="4">
        <v>10</v>
      </c>
      <c r="D108" s="4" t="s">
        <v>42</v>
      </c>
      <c r="E108" s="4">
        <v>12</v>
      </c>
      <c r="F108" s="4">
        <v>0.9</v>
      </c>
      <c r="G108" s="4">
        <v>0.4</v>
      </c>
      <c r="H108" s="142" t="s">
        <v>71</v>
      </c>
      <c r="I108" s="118" t="s">
        <v>72</v>
      </c>
      <c r="K108" s="4" t="s">
        <v>79</v>
      </c>
      <c r="L108" s="150">
        <v>0.06</v>
      </c>
      <c r="M108" s="150">
        <v>0.06</v>
      </c>
      <c r="N108" s="4" t="s">
        <v>57</v>
      </c>
      <c r="O108" s="4">
        <v>12</v>
      </c>
      <c r="P108" s="4">
        <v>0.9</v>
      </c>
      <c r="Q108" s="4">
        <v>0.4</v>
      </c>
      <c r="R108" s="142" t="s">
        <v>77</v>
      </c>
      <c r="S108" s="122" t="s">
        <v>74</v>
      </c>
    </row>
    <row r="109" spans="1:24" x14ac:dyDescent="0.25">
      <c r="A109" s="4" t="s">
        <v>262</v>
      </c>
      <c r="B109" s="4">
        <v>0.11</v>
      </c>
      <c r="C109" s="4">
        <v>0.11</v>
      </c>
      <c r="D109" s="4" t="s">
        <v>76</v>
      </c>
      <c r="E109" s="4">
        <v>12</v>
      </c>
      <c r="F109" s="4">
        <v>0.9</v>
      </c>
      <c r="G109" s="4">
        <v>0.4</v>
      </c>
      <c r="H109" s="142" t="s">
        <v>77</v>
      </c>
      <c r="I109" s="118" t="s">
        <v>78</v>
      </c>
      <c r="K109" s="4" t="s">
        <v>81</v>
      </c>
      <c r="L109" s="4">
        <f>AC81</f>
        <v>0</v>
      </c>
      <c r="M109" s="4">
        <f>AD81</f>
        <v>0</v>
      </c>
      <c r="N109" s="4" t="s">
        <v>76</v>
      </c>
      <c r="O109" s="4">
        <f>$E$4</f>
        <v>17</v>
      </c>
      <c r="P109" s="4">
        <f>$F$4</f>
        <v>0.9</v>
      </c>
      <c r="Q109" s="4">
        <f>$G$4</f>
        <v>0.4</v>
      </c>
      <c r="R109" s="142" t="s">
        <v>318</v>
      </c>
      <c r="S109" s="118" t="s">
        <v>288</v>
      </c>
    </row>
    <row r="110" spans="1:24" x14ac:dyDescent="0.25">
      <c r="I110" s="118"/>
      <c r="S110" s="117"/>
    </row>
    <row r="111" spans="1:24" x14ac:dyDescent="0.25">
      <c r="I111" s="118"/>
    </row>
    <row r="112" spans="1:24" x14ac:dyDescent="0.25">
      <c r="I112" s="118"/>
    </row>
    <row r="113" spans="1:9" x14ac:dyDescent="0.25">
      <c r="E113" s="4" t="s">
        <v>2</v>
      </c>
      <c r="H113" s="4" t="s">
        <v>3</v>
      </c>
      <c r="I113" s="118"/>
    </row>
    <row r="114" spans="1:9" x14ac:dyDescent="0.25">
      <c r="A114" s="25" t="s">
        <v>270</v>
      </c>
      <c r="B114" s="4">
        <v>2023</v>
      </c>
      <c r="C114" s="4">
        <v>2050</v>
      </c>
      <c r="D114" s="4" t="s">
        <v>5</v>
      </c>
      <c r="E114" s="4" t="s">
        <v>8</v>
      </c>
      <c r="F114" s="4" t="s">
        <v>9</v>
      </c>
      <c r="G114" s="4" t="s">
        <v>10</v>
      </c>
      <c r="I114" s="118"/>
    </row>
    <row r="115" spans="1:9" x14ac:dyDescent="0.25">
      <c r="A115" s="4" t="s">
        <v>14</v>
      </c>
      <c r="B115" s="4">
        <v>40000</v>
      </c>
      <c r="C115" s="4">
        <v>40000</v>
      </c>
      <c r="D115" s="4" t="s">
        <v>15</v>
      </c>
      <c r="E115" s="4">
        <v>12</v>
      </c>
      <c r="F115" s="4">
        <v>0.9</v>
      </c>
      <c r="G115" s="4">
        <v>0.4</v>
      </c>
      <c r="H115" s="142" t="s">
        <v>261</v>
      </c>
      <c r="I115" s="118" t="s">
        <v>17</v>
      </c>
    </row>
    <row r="116" spans="1:9" x14ac:dyDescent="0.25">
      <c r="A116" s="4" t="s">
        <v>25</v>
      </c>
      <c r="B116" s="4">
        <f>-B115*0.25</f>
        <v>-10000</v>
      </c>
      <c r="C116" s="4">
        <f>-C115*0.25</f>
        <v>-10000</v>
      </c>
      <c r="D116" s="4" t="s">
        <v>15</v>
      </c>
      <c r="E116" s="4">
        <v>12</v>
      </c>
      <c r="F116" s="4">
        <v>0.9</v>
      </c>
      <c r="G116" s="4">
        <v>0.4</v>
      </c>
      <c r="H116" s="142" t="s">
        <v>26</v>
      </c>
      <c r="I116" s="119" t="s">
        <v>27</v>
      </c>
    </row>
    <row r="117" spans="1:9" x14ac:dyDescent="0.25">
      <c r="A117" s="4" t="s">
        <v>37</v>
      </c>
      <c r="B117" s="4">
        <v>70000</v>
      </c>
      <c r="C117" s="4">
        <v>70000</v>
      </c>
      <c r="D117" s="4" t="s">
        <v>38</v>
      </c>
      <c r="E117" s="4">
        <v>12</v>
      </c>
      <c r="F117" s="4">
        <v>0.9</v>
      </c>
      <c r="G117" s="4">
        <v>0.4</v>
      </c>
      <c r="H117" s="142" t="s">
        <v>39</v>
      </c>
      <c r="I117" s="118" t="s">
        <v>40</v>
      </c>
    </row>
    <row r="118" spans="1:9" x14ac:dyDescent="0.25">
      <c r="A118" s="4" t="s">
        <v>48</v>
      </c>
      <c r="B118" s="4">
        <v>25</v>
      </c>
      <c r="C118" s="4">
        <v>25</v>
      </c>
      <c r="D118" s="4" t="s">
        <v>49</v>
      </c>
      <c r="E118" s="4">
        <v>12</v>
      </c>
      <c r="F118" s="4">
        <v>0.9</v>
      </c>
      <c r="G118" s="4">
        <v>0.4</v>
      </c>
      <c r="H118" s="142" t="s">
        <v>50</v>
      </c>
      <c r="I118" s="118" t="s">
        <v>51</v>
      </c>
    </row>
    <row r="119" spans="1:9" x14ac:dyDescent="0.25">
      <c r="A119" s="4" t="s">
        <v>56</v>
      </c>
      <c r="B119" s="150">
        <f>46%/C71</f>
        <v>0.6133333333333334</v>
      </c>
      <c r="C119" s="150">
        <f>46%/C71</f>
        <v>0.6133333333333334</v>
      </c>
      <c r="D119" s="4" t="s">
        <v>57</v>
      </c>
      <c r="E119" s="4">
        <v>12</v>
      </c>
      <c r="F119" s="4">
        <v>0.9</v>
      </c>
      <c r="G119" s="4">
        <v>0.4</v>
      </c>
      <c r="H119" s="142" t="s">
        <v>16</v>
      </c>
      <c r="I119" s="118" t="s">
        <v>109</v>
      </c>
    </row>
    <row r="120" spans="1:9" x14ac:dyDescent="0.25">
      <c r="A120" s="4" t="s">
        <v>64</v>
      </c>
      <c r="B120" s="4">
        <v>78000</v>
      </c>
      <c r="C120" s="4">
        <v>78000</v>
      </c>
      <c r="D120" s="4" t="s">
        <v>65</v>
      </c>
      <c r="E120" s="4">
        <v>12</v>
      </c>
      <c r="F120" s="4">
        <v>0.9</v>
      </c>
      <c r="G120" s="4">
        <v>0.4</v>
      </c>
      <c r="H120" s="142" t="s">
        <v>16</v>
      </c>
      <c r="I120" s="118" t="s">
        <v>110</v>
      </c>
    </row>
    <row r="121" spans="1:9" x14ac:dyDescent="0.25">
      <c r="A121" s="4" t="s">
        <v>70</v>
      </c>
      <c r="B121" s="4">
        <v>10</v>
      </c>
      <c r="C121" s="4">
        <v>10</v>
      </c>
      <c r="D121" s="4" t="s">
        <v>42</v>
      </c>
      <c r="E121" s="4">
        <v>12</v>
      </c>
      <c r="F121" s="4">
        <v>0.9</v>
      </c>
      <c r="G121" s="4">
        <v>0.4</v>
      </c>
      <c r="H121" s="142" t="s">
        <v>71</v>
      </c>
      <c r="I121" s="118" t="s">
        <v>72</v>
      </c>
    </row>
    <row r="122" spans="1:9" x14ac:dyDescent="0.25">
      <c r="A122" s="4" t="s">
        <v>262</v>
      </c>
      <c r="B122" s="4">
        <v>0.11</v>
      </c>
      <c r="C122" s="4">
        <v>0.11</v>
      </c>
      <c r="D122" s="4" t="s">
        <v>76</v>
      </c>
      <c r="E122" s="4">
        <v>12</v>
      </c>
      <c r="F122" s="4">
        <v>0.9</v>
      </c>
      <c r="G122" s="4">
        <v>0.4</v>
      </c>
      <c r="H122" s="142" t="s">
        <v>77</v>
      </c>
      <c r="I122" s="118" t="s">
        <v>78</v>
      </c>
    </row>
    <row r="123" spans="1:9" x14ac:dyDescent="0.25">
      <c r="I123" s="118"/>
    </row>
    <row r="124" spans="1:9" x14ac:dyDescent="0.25">
      <c r="I124" s="118"/>
    </row>
    <row r="125" spans="1:9" x14ac:dyDescent="0.25">
      <c r="I125" s="118"/>
    </row>
    <row r="126" spans="1:9" x14ac:dyDescent="0.25">
      <c r="I126" s="118"/>
    </row>
    <row r="127" spans="1:9" x14ac:dyDescent="0.25">
      <c r="E127" s="4" t="s">
        <v>2</v>
      </c>
      <c r="H127" s="4" t="s">
        <v>3</v>
      </c>
      <c r="I127" s="118"/>
    </row>
    <row r="128" spans="1:9" x14ac:dyDescent="0.25">
      <c r="A128" s="25" t="s">
        <v>271</v>
      </c>
      <c r="B128" s="4">
        <v>2023</v>
      </c>
      <c r="C128" s="4">
        <v>2050</v>
      </c>
      <c r="D128" s="4" t="s">
        <v>5</v>
      </c>
      <c r="E128" s="4" t="s">
        <v>8</v>
      </c>
      <c r="F128" s="4" t="s">
        <v>9</v>
      </c>
      <c r="G128" s="4" t="s">
        <v>10</v>
      </c>
      <c r="I128" s="118"/>
    </row>
    <row r="129" spans="1:11" x14ac:dyDescent="0.25">
      <c r="A129" s="4" t="s">
        <v>14</v>
      </c>
      <c r="B129" s="4">
        <v>35000</v>
      </c>
      <c r="C129" s="4">
        <v>35000</v>
      </c>
      <c r="D129" s="4" t="s">
        <v>15</v>
      </c>
      <c r="E129" s="4">
        <v>12</v>
      </c>
      <c r="F129" s="4">
        <v>0.9</v>
      </c>
      <c r="G129" s="4">
        <v>0.4</v>
      </c>
      <c r="H129" s="142" t="s">
        <v>261</v>
      </c>
      <c r="I129" s="118" t="s">
        <v>17</v>
      </c>
    </row>
    <row r="130" spans="1:11" x14ac:dyDescent="0.25">
      <c r="A130" s="4" t="s">
        <v>25</v>
      </c>
      <c r="B130" s="4">
        <f>-B129*0.25</f>
        <v>-8750</v>
      </c>
      <c r="C130" s="4">
        <f>-C129*0.25</f>
        <v>-8750</v>
      </c>
      <c r="D130" s="4" t="s">
        <v>15</v>
      </c>
      <c r="E130" s="4">
        <v>12</v>
      </c>
      <c r="F130" s="4">
        <v>0.9</v>
      </c>
      <c r="G130" s="4">
        <v>0.4</v>
      </c>
      <c r="H130" s="142" t="s">
        <v>26</v>
      </c>
      <c r="I130" s="119" t="s">
        <v>27</v>
      </c>
    </row>
    <row r="131" spans="1:11" x14ac:dyDescent="0.25">
      <c r="A131" s="4" t="s">
        <v>37</v>
      </c>
      <c r="B131" s="4">
        <v>70000</v>
      </c>
      <c r="C131" s="4">
        <v>70000</v>
      </c>
      <c r="D131" s="4" t="s">
        <v>38</v>
      </c>
      <c r="E131" s="4">
        <v>12</v>
      </c>
      <c r="F131" s="4">
        <v>0.9</v>
      </c>
      <c r="G131" s="4">
        <v>0.4</v>
      </c>
      <c r="H131" s="142" t="s">
        <v>39</v>
      </c>
      <c r="I131" s="118" t="s">
        <v>40</v>
      </c>
    </row>
    <row r="132" spans="1:11" x14ac:dyDescent="0.25">
      <c r="A132" s="4" t="s">
        <v>48</v>
      </c>
      <c r="B132" s="4">
        <v>25</v>
      </c>
      <c r="C132" s="4">
        <v>25</v>
      </c>
      <c r="D132" s="4" t="s">
        <v>49</v>
      </c>
      <c r="E132" s="4">
        <v>12</v>
      </c>
      <c r="F132" s="4">
        <v>0.9</v>
      </c>
      <c r="G132" s="4">
        <v>0.4</v>
      </c>
      <c r="H132" s="142" t="s">
        <v>50</v>
      </c>
      <c r="I132" s="118" t="s">
        <v>51</v>
      </c>
    </row>
    <row r="133" spans="1:11" x14ac:dyDescent="0.25">
      <c r="A133" s="4" t="s">
        <v>56</v>
      </c>
      <c r="B133" s="150">
        <f>48%/C71</f>
        <v>0.64</v>
      </c>
      <c r="C133" s="150">
        <f>48%/C71</f>
        <v>0.64</v>
      </c>
      <c r="D133" s="4" t="s">
        <v>57</v>
      </c>
      <c r="E133" s="4">
        <v>12</v>
      </c>
      <c r="F133" s="4">
        <v>0.9</v>
      </c>
      <c r="G133" s="4">
        <v>0.4</v>
      </c>
      <c r="H133" s="142" t="s">
        <v>16</v>
      </c>
      <c r="I133" s="118" t="s">
        <v>111</v>
      </c>
    </row>
    <row r="134" spans="1:11" x14ac:dyDescent="0.25">
      <c r="A134" s="4" t="s">
        <v>64</v>
      </c>
      <c r="B134" s="4">
        <v>90000</v>
      </c>
      <c r="C134" s="4">
        <v>90000</v>
      </c>
      <c r="D134" s="4" t="s">
        <v>65</v>
      </c>
      <c r="E134" s="4">
        <v>12</v>
      </c>
      <c r="F134" s="4">
        <v>0.9</v>
      </c>
      <c r="G134" s="4">
        <v>0.4</v>
      </c>
      <c r="H134" s="142" t="s">
        <v>16</v>
      </c>
      <c r="I134" s="118" t="s">
        <v>112</v>
      </c>
    </row>
    <row r="135" spans="1:11" x14ac:dyDescent="0.25">
      <c r="A135" s="4" t="s">
        <v>70</v>
      </c>
      <c r="B135" s="4">
        <v>10</v>
      </c>
      <c r="C135" s="4">
        <v>10</v>
      </c>
      <c r="D135" s="4" t="s">
        <v>42</v>
      </c>
      <c r="E135" s="4">
        <v>12</v>
      </c>
      <c r="F135" s="4">
        <v>0.9</v>
      </c>
      <c r="G135" s="4">
        <v>0.4</v>
      </c>
      <c r="H135" s="142" t="s">
        <v>71</v>
      </c>
      <c r="I135" s="118" t="s">
        <v>72</v>
      </c>
    </row>
    <row r="136" spans="1:11" x14ac:dyDescent="0.25">
      <c r="A136" s="4" t="s">
        <v>262</v>
      </c>
      <c r="B136" s="4">
        <v>0.11</v>
      </c>
      <c r="C136" s="4">
        <v>0.11</v>
      </c>
      <c r="D136" s="4" t="s">
        <v>76</v>
      </c>
      <c r="E136" s="4">
        <v>12</v>
      </c>
      <c r="F136" s="4">
        <v>0.9</v>
      </c>
      <c r="G136" s="4">
        <v>0.4</v>
      </c>
      <c r="H136" s="142" t="s">
        <v>77</v>
      </c>
      <c r="I136" s="118" t="s">
        <v>78</v>
      </c>
    </row>
    <row r="137" spans="1:11" x14ac:dyDescent="0.25">
      <c r="I137" s="117"/>
    </row>
    <row r="139" spans="1:11" s="93" customFormat="1" ht="31.5" x14ac:dyDescent="0.5">
      <c r="A139" s="93" t="s">
        <v>263</v>
      </c>
      <c r="K139" s="93" t="s">
        <v>0</v>
      </c>
    </row>
    <row r="140" spans="1:11" s="96" customFormat="1" ht="15.6" customHeight="1" x14ac:dyDescent="0.5">
      <c r="B140" s="4" t="s">
        <v>402</v>
      </c>
      <c r="C140" s="94">
        <v>0.75</v>
      </c>
      <c r="D140" s="162" t="s">
        <v>405</v>
      </c>
    </row>
    <row r="141" spans="1:11" s="96" customFormat="1" ht="15.6" customHeight="1" x14ac:dyDescent="0.5">
      <c r="B141" s="4" t="s">
        <v>403</v>
      </c>
      <c r="C141" s="94">
        <f>1-C140</f>
        <v>0.25</v>
      </c>
      <c r="D141" s="162" t="s">
        <v>404</v>
      </c>
    </row>
    <row r="142" spans="1:11" x14ac:dyDescent="0.25">
      <c r="B142" s="152" t="s">
        <v>148</v>
      </c>
      <c r="C142" s="152"/>
      <c r="D142" s="152"/>
      <c r="E142" s="152">
        <v>28</v>
      </c>
      <c r="F142" s="144" t="s">
        <v>9</v>
      </c>
    </row>
    <row r="143" spans="1:11" x14ac:dyDescent="0.25">
      <c r="A143" s="95" t="s">
        <v>113</v>
      </c>
      <c r="B143" s="152" t="s">
        <v>151</v>
      </c>
      <c r="C143" s="152"/>
      <c r="D143" s="152" t="s">
        <v>152</v>
      </c>
      <c r="E143" s="152">
        <f>2800/35</f>
        <v>80</v>
      </c>
      <c r="F143" s="144" t="s">
        <v>9</v>
      </c>
    </row>
    <row r="144" spans="1:11" ht="15.75" thickBot="1" x14ac:dyDescent="0.3"/>
    <row r="145" spans="1:42" x14ac:dyDescent="0.25">
      <c r="E145" s="4" t="s">
        <v>2</v>
      </c>
      <c r="H145" s="4" t="s">
        <v>3</v>
      </c>
      <c r="I145" s="117"/>
      <c r="O145" s="4" t="s">
        <v>2</v>
      </c>
      <c r="R145" s="4" t="s">
        <v>3</v>
      </c>
      <c r="S145" s="117"/>
      <c r="W145" s="99" t="s">
        <v>114</v>
      </c>
      <c r="X145" s="100">
        <v>2023</v>
      </c>
      <c r="Y145" s="100">
        <v>2050</v>
      </c>
      <c r="Z145" s="101" t="s">
        <v>5</v>
      </c>
      <c r="AB145" s="99" t="s">
        <v>115</v>
      </c>
      <c r="AC145" s="100">
        <v>2023</v>
      </c>
      <c r="AD145" s="100">
        <v>2050</v>
      </c>
      <c r="AE145" s="101" t="s">
        <v>5</v>
      </c>
      <c r="AG145" s="99" t="s">
        <v>116</v>
      </c>
      <c r="AH145" s="100">
        <v>2023</v>
      </c>
      <c r="AI145" s="100">
        <v>2050</v>
      </c>
      <c r="AJ145" s="101" t="s">
        <v>5</v>
      </c>
      <c r="AL145" s="99" t="s">
        <v>117</v>
      </c>
      <c r="AM145" s="100">
        <v>2023</v>
      </c>
      <c r="AN145" s="100">
        <v>2050</v>
      </c>
      <c r="AO145" s="101" t="s">
        <v>5</v>
      </c>
    </row>
    <row r="146" spans="1:42" x14ac:dyDescent="0.25">
      <c r="A146" s="25" t="s">
        <v>272</v>
      </c>
      <c r="B146" s="4">
        <v>2023</v>
      </c>
      <c r="C146" s="4">
        <v>2050</v>
      </c>
      <c r="D146" s="4" t="s">
        <v>5</v>
      </c>
      <c r="E146" s="4" t="s">
        <v>8</v>
      </c>
      <c r="F146" s="4" t="s">
        <v>9</v>
      </c>
      <c r="G146" s="4" t="s">
        <v>10</v>
      </c>
      <c r="I146" s="117"/>
      <c r="K146" s="25" t="s">
        <v>11</v>
      </c>
      <c r="L146" s="4">
        <v>2023</v>
      </c>
      <c r="M146" s="4">
        <v>2050</v>
      </c>
      <c r="N146" s="4" t="s">
        <v>5</v>
      </c>
      <c r="O146" s="4" t="s">
        <v>8</v>
      </c>
      <c r="P146" s="4" t="s">
        <v>9</v>
      </c>
      <c r="Q146" s="4" t="s">
        <v>10</v>
      </c>
      <c r="S146" s="34"/>
      <c r="W146" s="102" t="s">
        <v>12</v>
      </c>
      <c r="X146" s="107">
        <f>$B$4</f>
        <v>0</v>
      </c>
      <c r="Y146" s="107">
        <f>$C$4</f>
        <v>0</v>
      </c>
      <c r="Z146" s="103" t="s">
        <v>13</v>
      </c>
      <c r="AB146" s="102" t="s">
        <v>12</v>
      </c>
      <c r="AC146" s="107">
        <f>$B$4</f>
        <v>0</v>
      </c>
      <c r="AD146" s="107">
        <f>$C$4</f>
        <v>0</v>
      </c>
      <c r="AE146" s="103" t="s">
        <v>13</v>
      </c>
      <c r="AG146" s="102" t="s">
        <v>12</v>
      </c>
      <c r="AH146" s="107">
        <f>$B$4</f>
        <v>0</v>
      </c>
      <c r="AI146" s="107">
        <f>$C$4</f>
        <v>0</v>
      </c>
      <c r="AJ146" s="103" t="s">
        <v>13</v>
      </c>
      <c r="AL146" s="102" t="s">
        <v>12</v>
      </c>
      <c r="AM146" s="107">
        <f>$B$4</f>
        <v>0</v>
      </c>
      <c r="AN146" s="107">
        <f>$C$4</f>
        <v>0</v>
      </c>
      <c r="AO146" s="103" t="s">
        <v>13</v>
      </c>
    </row>
    <row r="147" spans="1:42" x14ac:dyDescent="0.25">
      <c r="A147" s="4" t="s">
        <v>14</v>
      </c>
      <c r="B147" s="113">
        <f>150000*$E$142</f>
        <v>4200000</v>
      </c>
      <c r="C147" s="4">
        <f>150000*$E$142</f>
        <v>4200000</v>
      </c>
      <c r="D147" s="4" t="s">
        <v>15</v>
      </c>
      <c r="E147" s="4">
        <v>12</v>
      </c>
      <c r="F147" s="4">
        <v>0.9</v>
      </c>
      <c r="G147" s="4">
        <v>0.4</v>
      </c>
      <c r="H147" s="144" t="s">
        <v>118</v>
      </c>
      <c r="I147" s="118" t="s">
        <v>119</v>
      </c>
      <c r="K147" s="4" t="s">
        <v>18</v>
      </c>
      <c r="L147" s="4">
        <v>3500000</v>
      </c>
      <c r="M147" s="4">
        <v>3500000</v>
      </c>
      <c r="N147" s="4" t="s">
        <v>15</v>
      </c>
      <c r="O147" s="4">
        <v>12</v>
      </c>
      <c r="P147" s="4">
        <v>0.9</v>
      </c>
      <c r="Q147" s="4">
        <v>0.4</v>
      </c>
      <c r="R147" s="144" t="s">
        <v>9</v>
      </c>
      <c r="S147" s="118" t="s">
        <v>120</v>
      </c>
      <c r="W147" s="102" t="s">
        <v>20</v>
      </c>
      <c r="X147" s="195">
        <v>3.17</v>
      </c>
      <c r="Y147" s="195"/>
      <c r="Z147" s="103" t="s">
        <v>21</v>
      </c>
      <c r="AB147" s="102" t="s">
        <v>22</v>
      </c>
      <c r="AC147" s="4">
        <v>2.1999999999999999E-2</v>
      </c>
      <c r="AD147" s="4">
        <v>0</v>
      </c>
      <c r="AE147" s="4" t="s">
        <v>23</v>
      </c>
      <c r="AG147" s="102" t="s">
        <v>22</v>
      </c>
      <c r="AH147" s="4">
        <v>2.1999999999999999E-2</v>
      </c>
      <c r="AI147" s="4">
        <v>0</v>
      </c>
      <c r="AJ147" s="4" t="s">
        <v>23</v>
      </c>
      <c r="AL147" s="102" t="s">
        <v>22</v>
      </c>
      <c r="AM147" s="4">
        <v>2.1999999999999999E-2</v>
      </c>
      <c r="AN147" s="4">
        <v>0</v>
      </c>
      <c r="AO147" s="4" t="s">
        <v>23</v>
      </c>
      <c r="AP147" s="4" t="s">
        <v>24</v>
      </c>
    </row>
    <row r="148" spans="1:42" x14ac:dyDescent="0.25">
      <c r="A148" s="4" t="s">
        <v>25</v>
      </c>
      <c r="B148" s="4">
        <f>-B147*0.05</f>
        <v>-210000</v>
      </c>
      <c r="C148" s="4">
        <f>-C147*0.05</f>
        <v>-210000</v>
      </c>
      <c r="D148" s="4" t="s">
        <v>15</v>
      </c>
      <c r="E148" s="4">
        <v>12</v>
      </c>
      <c r="F148" s="4">
        <v>0.9</v>
      </c>
      <c r="G148" s="4">
        <v>0.4</v>
      </c>
      <c r="H148" s="144" t="s">
        <v>26</v>
      </c>
      <c r="I148" s="117" t="s">
        <v>121</v>
      </c>
      <c r="K148" s="4" t="s">
        <v>28</v>
      </c>
      <c r="L148" s="4">
        <f>-L147*0.15</f>
        <v>-525000</v>
      </c>
      <c r="M148" s="4">
        <f>-M147*0.05</f>
        <v>-175000</v>
      </c>
      <c r="N148" s="4" t="s">
        <v>15</v>
      </c>
      <c r="O148" s="4">
        <v>12</v>
      </c>
      <c r="P148" s="4">
        <v>0.9</v>
      </c>
      <c r="Q148" s="4">
        <v>0.4</v>
      </c>
      <c r="R148" s="144" t="s">
        <v>26</v>
      </c>
      <c r="S148" s="117" t="s">
        <v>122</v>
      </c>
      <c r="W148" s="102" t="s">
        <v>31</v>
      </c>
      <c r="X148" s="195">
        <v>11.89</v>
      </c>
      <c r="Y148" s="195"/>
      <c r="Z148" s="103" t="s">
        <v>32</v>
      </c>
      <c r="AB148" s="102" t="s">
        <v>33</v>
      </c>
      <c r="AC148" s="94">
        <v>0.61</v>
      </c>
      <c r="AD148" s="94">
        <v>0.7</v>
      </c>
      <c r="AE148" s="103" t="s">
        <v>34</v>
      </c>
      <c r="AG148" s="102" t="s">
        <v>35</v>
      </c>
      <c r="AH148" s="94">
        <v>0.95</v>
      </c>
      <c r="AI148" s="94">
        <v>0.95</v>
      </c>
      <c r="AJ148" s="103" t="s">
        <v>34</v>
      </c>
      <c r="AL148" s="102" t="s">
        <v>35</v>
      </c>
      <c r="AM148" s="94">
        <v>0.95</v>
      </c>
      <c r="AN148" s="94">
        <v>0.95</v>
      </c>
      <c r="AO148" s="103" t="s">
        <v>34</v>
      </c>
      <c r="AP148" s="4" t="s">
        <v>36</v>
      </c>
    </row>
    <row r="149" spans="1:42" x14ac:dyDescent="0.25">
      <c r="A149" s="4" t="s">
        <v>37</v>
      </c>
      <c r="B149" s="113">
        <v>650000</v>
      </c>
      <c r="C149" s="4">
        <v>650000</v>
      </c>
      <c r="D149" s="4" t="s">
        <v>38</v>
      </c>
      <c r="E149" s="4">
        <v>12</v>
      </c>
      <c r="F149" s="4">
        <v>0.9</v>
      </c>
      <c r="G149" s="4">
        <v>0.4</v>
      </c>
      <c r="H149" s="144" t="s">
        <v>16</v>
      </c>
      <c r="I149" s="117" t="s">
        <v>123</v>
      </c>
      <c r="K149" s="4" t="s">
        <v>41</v>
      </c>
      <c r="L149" s="4">
        <v>20</v>
      </c>
      <c r="M149" s="4">
        <v>20</v>
      </c>
      <c r="N149" s="4" t="s">
        <v>42</v>
      </c>
      <c r="O149" s="4">
        <v>12</v>
      </c>
      <c r="P149" s="4">
        <v>0.9</v>
      </c>
      <c r="Q149" s="4">
        <v>0.4</v>
      </c>
      <c r="R149" s="144" t="s">
        <v>9</v>
      </c>
      <c r="S149" s="117" t="s">
        <v>124</v>
      </c>
      <c r="W149" s="102" t="s">
        <v>45</v>
      </c>
      <c r="X149" s="196">
        <f>X147/X148</f>
        <v>0.26661059714045415</v>
      </c>
      <c r="Y149" s="196"/>
      <c r="Z149" s="103" t="s">
        <v>46</v>
      </c>
      <c r="AB149" s="102" t="s">
        <v>47</v>
      </c>
      <c r="AC149" s="109">
        <f>AC147/AC148</f>
        <v>3.6065573770491799E-2</v>
      </c>
      <c r="AD149" s="109">
        <f>AD147/AD148</f>
        <v>0</v>
      </c>
      <c r="AE149" s="103" t="s">
        <v>46</v>
      </c>
      <c r="AG149" s="102" t="s">
        <v>22</v>
      </c>
      <c r="AH149" s="109">
        <f>AH147/AH148</f>
        <v>2.3157894736842106E-2</v>
      </c>
      <c r="AI149" s="109">
        <f>AI147/AI148</f>
        <v>0</v>
      </c>
      <c r="AJ149" s="103" t="s">
        <v>46</v>
      </c>
      <c r="AL149" s="102" t="s">
        <v>22</v>
      </c>
      <c r="AM149" s="109">
        <f>AM147/AM148</f>
        <v>2.3157894736842106E-2</v>
      </c>
      <c r="AN149" s="109">
        <f>AN147/AN148</f>
        <v>0</v>
      </c>
      <c r="AO149" s="103" t="s">
        <v>46</v>
      </c>
    </row>
    <row r="150" spans="1:42" x14ac:dyDescent="0.25">
      <c r="A150" s="4" t="s">
        <v>48</v>
      </c>
      <c r="B150" s="4">
        <f>$E$142*$E$143</f>
        <v>2240</v>
      </c>
      <c r="C150" s="4">
        <f>$E$142*$E$143</f>
        <v>2240</v>
      </c>
      <c r="D150" s="4" t="s">
        <v>49</v>
      </c>
      <c r="E150" s="4">
        <v>12</v>
      </c>
      <c r="F150" s="4">
        <v>0.9</v>
      </c>
      <c r="G150" s="4">
        <v>0.4</v>
      </c>
      <c r="H150" s="144" t="s">
        <v>125</v>
      </c>
      <c r="I150" s="118" t="s">
        <v>126</v>
      </c>
      <c r="K150" s="4" t="s">
        <v>52</v>
      </c>
      <c r="L150" s="112">
        <f>L147*0.3</f>
        <v>1050000</v>
      </c>
      <c r="M150" s="112">
        <f>M147*0.3</f>
        <v>1050000</v>
      </c>
      <c r="N150" s="4" t="s">
        <v>38</v>
      </c>
      <c r="O150" s="4">
        <v>12</v>
      </c>
      <c r="P150" s="4">
        <v>0.9</v>
      </c>
      <c r="Q150" s="4">
        <v>0.4</v>
      </c>
      <c r="R150" s="144" t="s">
        <v>9</v>
      </c>
      <c r="S150" s="118" t="s">
        <v>127</v>
      </c>
      <c r="W150" s="102" t="s">
        <v>54</v>
      </c>
      <c r="X150" s="4">
        <f>L151*X149</f>
        <v>20.469721783010932</v>
      </c>
      <c r="Y150" s="4">
        <f>M151*X149</f>
        <v>20.469721783010932</v>
      </c>
      <c r="Z150" s="103" t="s">
        <v>55</v>
      </c>
      <c r="AB150" s="102" t="s">
        <v>54</v>
      </c>
      <c r="AC150" s="4">
        <f>AC149*L187</f>
        <v>1.7621088524590158</v>
      </c>
      <c r="AD150" s="4">
        <f>AD149*M187</f>
        <v>0</v>
      </c>
      <c r="AE150" s="103" t="s">
        <v>55</v>
      </c>
      <c r="AG150" s="102" t="s">
        <v>54</v>
      </c>
      <c r="AH150" s="4">
        <f>AH149*L163</f>
        <v>0.73212076780185753</v>
      </c>
      <c r="AI150" s="4">
        <f>AI149*M163</f>
        <v>0</v>
      </c>
      <c r="AJ150" s="103" t="s">
        <v>55</v>
      </c>
      <c r="AL150" s="102" t="s">
        <v>54</v>
      </c>
      <c r="AM150" s="4">
        <f>AM149*L175</f>
        <v>0.77787831578947364</v>
      </c>
      <c r="AN150" s="4">
        <f>AN149*M175</f>
        <v>0</v>
      </c>
      <c r="AO150" s="103" t="s">
        <v>55</v>
      </c>
    </row>
    <row r="151" spans="1:42" ht="15.75" thickBot="1" x14ac:dyDescent="0.3">
      <c r="A151" s="4" t="s">
        <v>56</v>
      </c>
      <c r="B151" s="150">
        <f>48%/C140</f>
        <v>0.64</v>
      </c>
      <c r="C151" s="150">
        <f>48%/C140</f>
        <v>0.64</v>
      </c>
      <c r="D151" s="4" t="s">
        <v>57</v>
      </c>
      <c r="E151" s="4">
        <v>12</v>
      </c>
      <c r="F151" s="4">
        <v>0.9</v>
      </c>
      <c r="G151" s="4">
        <v>0.4</v>
      </c>
      <c r="H151" s="144" t="s">
        <v>16</v>
      </c>
      <c r="I151" s="117" t="s">
        <v>128</v>
      </c>
      <c r="K151" s="4" t="s">
        <v>59</v>
      </c>
      <c r="L151" s="4">
        <f>(1.8*$B152+0.0041*$B152*$B150*$B151)*10/$B152</f>
        <v>76.777599999999993</v>
      </c>
      <c r="M151" s="4">
        <f>(1.8*$B152+0.0041*$B152*$B150*$B151)*10/$B152</f>
        <v>76.777599999999993</v>
      </c>
      <c r="N151" s="4" t="s">
        <v>60</v>
      </c>
      <c r="O151" s="4">
        <v>12</v>
      </c>
      <c r="P151" s="4">
        <v>0.9</v>
      </c>
      <c r="Q151" s="4">
        <v>0.4</v>
      </c>
      <c r="R151" s="144" t="s">
        <v>43</v>
      </c>
      <c r="S151" s="117" t="s">
        <v>129</v>
      </c>
      <c r="W151" s="104" t="s">
        <v>62</v>
      </c>
      <c r="X151" s="105">
        <f>X146/1000*X150</f>
        <v>0</v>
      </c>
      <c r="Y151" s="105">
        <f>Y150/1000*Y146</f>
        <v>0</v>
      </c>
      <c r="Z151" s="106" t="s">
        <v>63</v>
      </c>
      <c r="AB151" s="104" t="s">
        <v>62</v>
      </c>
      <c r="AC151" s="105">
        <f>AC146/1000*AC150</f>
        <v>0</v>
      </c>
      <c r="AD151" s="105">
        <f>AD150/1000*AD146</f>
        <v>0</v>
      </c>
      <c r="AE151" s="106" t="s">
        <v>63</v>
      </c>
      <c r="AG151" s="104" t="s">
        <v>62</v>
      </c>
      <c r="AH151" s="105">
        <f>AH146/1000*AH150</f>
        <v>0</v>
      </c>
      <c r="AI151" s="105">
        <f>AI150/1000*AI146</f>
        <v>0</v>
      </c>
      <c r="AJ151" s="106" t="s">
        <v>63</v>
      </c>
      <c r="AL151" s="104" t="s">
        <v>62</v>
      </c>
      <c r="AM151" s="105">
        <f>AM146/1000*AM150</f>
        <v>0</v>
      </c>
      <c r="AN151" s="105">
        <f>AN150/1000*AN146</f>
        <v>0</v>
      </c>
      <c r="AO151" s="106" t="s">
        <v>63</v>
      </c>
    </row>
    <row r="152" spans="1:42" x14ac:dyDescent="0.25">
      <c r="A152" s="4" t="s">
        <v>64</v>
      </c>
      <c r="B152" s="4">
        <v>178500</v>
      </c>
      <c r="C152" s="4">
        <v>178500</v>
      </c>
      <c r="D152" s="4" t="s">
        <v>65</v>
      </c>
      <c r="E152" s="4">
        <v>12</v>
      </c>
      <c r="F152" s="4">
        <v>0.9</v>
      </c>
      <c r="G152" s="4">
        <v>0.4</v>
      </c>
      <c r="H152" s="144" t="s">
        <v>16</v>
      </c>
      <c r="I152" s="118" t="s">
        <v>130</v>
      </c>
      <c r="K152" s="4" t="s">
        <v>67</v>
      </c>
      <c r="L152" s="4">
        <v>0.1</v>
      </c>
      <c r="M152" s="4">
        <v>0.1</v>
      </c>
      <c r="N152" s="4" t="s">
        <v>68</v>
      </c>
      <c r="O152" s="4">
        <v>12</v>
      </c>
      <c r="P152" s="4">
        <v>0.9</v>
      </c>
      <c r="Q152" s="4">
        <v>0.4</v>
      </c>
      <c r="R152" s="144" t="s">
        <v>69</v>
      </c>
      <c r="S152" s="117" t="s">
        <v>253</v>
      </c>
    </row>
    <row r="153" spans="1:42" x14ac:dyDescent="0.25">
      <c r="A153" s="4" t="s">
        <v>70</v>
      </c>
      <c r="B153" s="4">
        <v>30</v>
      </c>
      <c r="C153" s="4">
        <v>30</v>
      </c>
      <c r="D153" s="4" t="s">
        <v>42</v>
      </c>
      <c r="E153" s="4">
        <v>12</v>
      </c>
      <c r="F153" s="4">
        <v>0.9</v>
      </c>
      <c r="G153" s="4">
        <v>0.4</v>
      </c>
      <c r="H153" s="144" t="s">
        <v>131</v>
      </c>
      <c r="I153" s="117" t="s">
        <v>132</v>
      </c>
      <c r="K153" s="4" t="s">
        <v>73</v>
      </c>
      <c r="L153" s="150">
        <v>0</v>
      </c>
      <c r="M153" s="150">
        <v>0</v>
      </c>
      <c r="N153" s="4" t="s">
        <v>57</v>
      </c>
      <c r="O153" s="4">
        <v>12</v>
      </c>
      <c r="P153" s="4">
        <v>0.9</v>
      </c>
      <c r="Q153" s="4">
        <v>0.4</v>
      </c>
      <c r="R153" s="144" t="s">
        <v>9</v>
      </c>
      <c r="S153" s="117" t="s">
        <v>74</v>
      </c>
      <c r="W153" s="4" t="s">
        <v>26</v>
      </c>
      <c r="X153" s="4" t="s">
        <v>80</v>
      </c>
    </row>
    <row r="154" spans="1:42" x14ac:dyDescent="0.25">
      <c r="A154" s="4" t="s">
        <v>277</v>
      </c>
      <c r="B154" s="114">
        <v>3.9215686274509802</v>
      </c>
      <c r="C154" s="114">
        <v>3.9215686274509802</v>
      </c>
      <c r="D154" s="4" t="s">
        <v>76</v>
      </c>
      <c r="E154" s="4">
        <v>12</v>
      </c>
      <c r="F154" s="4">
        <v>0.9</v>
      </c>
      <c r="G154" s="4">
        <v>0.4</v>
      </c>
      <c r="H154" s="144" t="s">
        <v>16</v>
      </c>
      <c r="I154" s="118" t="s">
        <v>133</v>
      </c>
      <c r="K154" s="4" t="s">
        <v>79</v>
      </c>
      <c r="L154" s="150">
        <v>0.06</v>
      </c>
      <c r="M154" s="150">
        <v>0.06</v>
      </c>
      <c r="N154" s="4" t="s">
        <v>57</v>
      </c>
      <c r="O154" s="4">
        <v>12</v>
      </c>
      <c r="P154" s="4">
        <v>0.9</v>
      </c>
      <c r="Q154" s="4">
        <v>0.4</v>
      </c>
      <c r="R154" s="144" t="s">
        <v>97</v>
      </c>
      <c r="S154" s="122" t="s">
        <v>74</v>
      </c>
      <c r="W154" s="4" t="s">
        <v>9</v>
      </c>
      <c r="X154" s="4" t="s">
        <v>99</v>
      </c>
    </row>
    <row r="155" spans="1:42" x14ac:dyDescent="0.25">
      <c r="I155" s="117"/>
      <c r="K155" s="4" t="s">
        <v>81</v>
      </c>
      <c r="L155" s="4">
        <f>X151</f>
        <v>0</v>
      </c>
      <c r="M155" s="4">
        <f>Y151</f>
        <v>0</v>
      </c>
      <c r="N155" s="4" t="s">
        <v>76</v>
      </c>
      <c r="O155" s="4">
        <v>17</v>
      </c>
      <c r="P155" s="4">
        <v>0.9</v>
      </c>
      <c r="Q155" s="4">
        <v>0.4</v>
      </c>
      <c r="R155" s="144" t="s">
        <v>317</v>
      </c>
      <c r="S155" s="118" t="s">
        <v>83</v>
      </c>
      <c r="W155" s="4" t="s">
        <v>16</v>
      </c>
      <c r="X155" s="4" t="s">
        <v>85</v>
      </c>
    </row>
    <row r="156" spans="1:42" x14ac:dyDescent="0.25">
      <c r="I156" s="117"/>
      <c r="S156" s="117"/>
      <c r="W156" s="4" t="s">
        <v>43</v>
      </c>
      <c r="X156" s="4" t="s">
        <v>134</v>
      </c>
      <c r="AF156" s="111"/>
      <c r="AG156" s="113"/>
    </row>
    <row r="157" spans="1:42" x14ac:dyDescent="0.25">
      <c r="E157" s="4" t="s">
        <v>2</v>
      </c>
      <c r="H157" s="4" t="s">
        <v>3</v>
      </c>
      <c r="I157" s="117"/>
      <c r="O157" s="4" t="s">
        <v>2</v>
      </c>
      <c r="R157" s="4" t="s">
        <v>3</v>
      </c>
      <c r="S157" s="117"/>
      <c r="W157" s="4" t="s">
        <v>77</v>
      </c>
      <c r="X157" s="4" t="s">
        <v>135</v>
      </c>
    </row>
    <row r="158" spans="1:42" x14ac:dyDescent="0.25">
      <c r="A158" s="25" t="s">
        <v>273</v>
      </c>
      <c r="B158" s="4">
        <v>2023</v>
      </c>
      <c r="C158" s="4">
        <v>2050</v>
      </c>
      <c r="D158" s="4" t="s">
        <v>5</v>
      </c>
      <c r="E158" s="4" t="s">
        <v>8</v>
      </c>
      <c r="F158" s="4" t="s">
        <v>9</v>
      </c>
      <c r="G158" s="4" t="s">
        <v>10</v>
      </c>
      <c r="I158" s="117"/>
      <c r="K158" s="25" t="s">
        <v>136</v>
      </c>
      <c r="L158" s="4">
        <v>2023</v>
      </c>
      <c r="M158" s="4">
        <v>2050</v>
      </c>
      <c r="N158" s="4" t="s">
        <v>5</v>
      </c>
      <c r="O158" s="4" t="s">
        <v>8</v>
      </c>
      <c r="P158" s="4" t="s">
        <v>9</v>
      </c>
      <c r="Q158" s="4" t="s">
        <v>10</v>
      </c>
      <c r="S158" s="117"/>
      <c r="W158" s="4" t="s">
        <v>71</v>
      </c>
      <c r="X158" s="4" t="s">
        <v>137</v>
      </c>
    </row>
    <row r="159" spans="1:42" x14ac:dyDescent="0.25">
      <c r="A159" s="4" t="s">
        <v>14</v>
      </c>
      <c r="B159" s="4">
        <f>200000*$E$142</f>
        <v>5600000</v>
      </c>
      <c r="C159" s="4">
        <f>200000*$E$142</f>
        <v>5600000</v>
      </c>
      <c r="D159" s="4" t="s">
        <v>15</v>
      </c>
      <c r="E159" s="4">
        <v>12</v>
      </c>
      <c r="F159" s="4">
        <v>0.9</v>
      </c>
      <c r="G159" s="4">
        <v>0.4</v>
      </c>
      <c r="H159" s="144" t="s">
        <v>118</v>
      </c>
      <c r="I159" s="118" t="s">
        <v>138</v>
      </c>
      <c r="K159" s="4" t="s">
        <v>18</v>
      </c>
      <c r="L159" s="4">
        <v>5000000</v>
      </c>
      <c r="M159" s="4">
        <v>5000000</v>
      </c>
      <c r="N159" s="4" t="s">
        <v>15</v>
      </c>
      <c r="O159" s="4">
        <v>12</v>
      </c>
      <c r="P159" s="4">
        <v>0.9</v>
      </c>
      <c r="Q159" s="4">
        <v>0.4</v>
      </c>
      <c r="R159" s="144" t="s">
        <v>9</v>
      </c>
      <c r="S159" s="118" t="s">
        <v>139</v>
      </c>
      <c r="W159" s="4" t="s">
        <v>50</v>
      </c>
      <c r="X159" s="4" t="s">
        <v>24</v>
      </c>
    </row>
    <row r="160" spans="1:42" x14ac:dyDescent="0.25">
      <c r="A160" s="4" t="s">
        <v>25</v>
      </c>
      <c r="B160" s="4">
        <f>-B159*0.05</f>
        <v>-280000</v>
      </c>
      <c r="C160" s="4">
        <f>-C159*0.05</f>
        <v>-280000</v>
      </c>
      <c r="D160" s="4" t="s">
        <v>15</v>
      </c>
      <c r="E160" s="4">
        <v>12</v>
      </c>
      <c r="F160" s="4">
        <v>0.9</v>
      </c>
      <c r="G160" s="4">
        <v>0.4</v>
      </c>
      <c r="H160" s="144" t="s">
        <v>26</v>
      </c>
      <c r="I160" s="117" t="s">
        <v>121</v>
      </c>
      <c r="K160" s="4" t="s">
        <v>28</v>
      </c>
      <c r="L160" s="4">
        <f>-L159*0.15</f>
        <v>-750000</v>
      </c>
      <c r="M160" s="4">
        <f>-M159*0.15</f>
        <v>-750000</v>
      </c>
      <c r="N160" s="4" t="s">
        <v>15</v>
      </c>
      <c r="O160" s="4">
        <v>12</v>
      </c>
      <c r="P160" s="4">
        <v>0.9</v>
      </c>
      <c r="Q160" s="4">
        <v>0.4</v>
      </c>
      <c r="R160" s="144" t="s">
        <v>26</v>
      </c>
      <c r="S160" s="117" t="s">
        <v>140</v>
      </c>
      <c r="W160" s="4" t="s">
        <v>82</v>
      </c>
      <c r="X160" s="4" t="s">
        <v>36</v>
      </c>
    </row>
    <row r="161" spans="1:24" x14ac:dyDescent="0.25">
      <c r="A161" s="4" t="s">
        <v>37</v>
      </c>
      <c r="B161" s="4">
        <f>250000+370000</f>
        <v>620000</v>
      </c>
      <c r="C161" s="4">
        <f>250000+370000</f>
        <v>620000</v>
      </c>
      <c r="D161" s="4" t="s">
        <v>38</v>
      </c>
      <c r="E161" s="4">
        <v>12</v>
      </c>
      <c r="F161" s="4">
        <v>0.9</v>
      </c>
      <c r="G161" s="4">
        <v>0.4</v>
      </c>
      <c r="H161" s="144" t="s">
        <v>16</v>
      </c>
      <c r="I161" s="117" t="s">
        <v>141</v>
      </c>
      <c r="K161" s="4" t="s">
        <v>41</v>
      </c>
      <c r="L161" s="4">
        <v>20</v>
      </c>
      <c r="M161" s="4">
        <v>20</v>
      </c>
      <c r="N161" s="4" t="s">
        <v>42</v>
      </c>
      <c r="O161" s="4">
        <v>12</v>
      </c>
      <c r="P161" s="4">
        <v>0.9</v>
      </c>
      <c r="Q161" s="4">
        <v>0.4</v>
      </c>
      <c r="R161" s="144" t="s">
        <v>9</v>
      </c>
      <c r="S161" s="117" t="s">
        <v>124</v>
      </c>
      <c r="W161" s="4" t="s">
        <v>95</v>
      </c>
      <c r="X161" s="4" t="s">
        <v>101</v>
      </c>
    </row>
    <row r="162" spans="1:24" x14ac:dyDescent="0.25">
      <c r="A162" s="4" t="s">
        <v>48</v>
      </c>
      <c r="B162" s="4">
        <f>$E$142*$E$143</f>
        <v>2240</v>
      </c>
      <c r="C162" s="4">
        <f>$E$142*$E$143</f>
        <v>2240</v>
      </c>
      <c r="D162" s="4" t="s">
        <v>49</v>
      </c>
      <c r="E162" s="4">
        <v>12</v>
      </c>
      <c r="F162" s="4">
        <v>0.9</v>
      </c>
      <c r="G162" s="4">
        <v>0.4</v>
      </c>
      <c r="H162" s="144" t="s">
        <v>125</v>
      </c>
      <c r="I162" s="118" t="s">
        <v>126</v>
      </c>
      <c r="K162" s="4" t="s">
        <v>52</v>
      </c>
      <c r="L162" s="4">
        <f>L159*0.13</f>
        <v>650000</v>
      </c>
      <c r="M162" s="4">
        <f>M159*0.13</f>
        <v>650000</v>
      </c>
      <c r="N162" s="4" t="s">
        <v>38</v>
      </c>
      <c r="O162" s="4">
        <v>12</v>
      </c>
      <c r="P162" s="4">
        <v>0.9</v>
      </c>
      <c r="Q162" s="4">
        <v>0.4</v>
      </c>
      <c r="R162" s="144" t="s">
        <v>9</v>
      </c>
      <c r="S162" s="118" t="s">
        <v>142</v>
      </c>
      <c r="W162" s="4" t="s">
        <v>97</v>
      </c>
      <c r="X162" s="4" t="s">
        <v>88</v>
      </c>
    </row>
    <row r="163" spans="1:24" x14ac:dyDescent="0.25">
      <c r="A163" s="4" t="s">
        <v>56</v>
      </c>
      <c r="B163" s="150">
        <f>32%/C140</f>
        <v>0.42666666666666669</v>
      </c>
      <c r="C163" s="150">
        <f>32%/C140</f>
        <v>0.42666666666666669</v>
      </c>
      <c r="D163" s="4" t="s">
        <v>57</v>
      </c>
      <c r="E163" s="4">
        <v>12</v>
      </c>
      <c r="F163" s="4">
        <v>0.9</v>
      </c>
      <c r="G163" s="4">
        <v>0.4</v>
      </c>
      <c r="H163" s="144" t="s">
        <v>16</v>
      </c>
      <c r="I163" s="117" t="s">
        <v>143</v>
      </c>
      <c r="K163" s="4" t="s">
        <v>59</v>
      </c>
      <c r="L163" s="114">
        <f>L151*0.35/0.85</f>
        <v>31.614305882352937</v>
      </c>
      <c r="M163" s="114">
        <f>M151*0.35/0.85</f>
        <v>31.614305882352937</v>
      </c>
      <c r="N163" s="4" t="s">
        <v>60</v>
      </c>
      <c r="O163" s="4">
        <v>12</v>
      </c>
      <c r="P163" s="4">
        <v>0.9</v>
      </c>
      <c r="Q163" s="4">
        <v>0.4</v>
      </c>
      <c r="R163" s="144" t="s">
        <v>9</v>
      </c>
      <c r="S163" s="118" t="s">
        <v>144</v>
      </c>
      <c r="W163" s="4" t="s">
        <v>69</v>
      </c>
      <c r="X163" s="4" t="s">
        <v>252</v>
      </c>
    </row>
    <row r="164" spans="1:24" x14ac:dyDescent="0.25">
      <c r="A164" s="4" t="s">
        <v>64</v>
      </c>
      <c r="B164" s="4">
        <v>178500</v>
      </c>
      <c r="C164" s="4">
        <v>178500</v>
      </c>
      <c r="D164" s="4" t="s">
        <v>65</v>
      </c>
      <c r="E164" s="4">
        <v>12</v>
      </c>
      <c r="F164" s="4">
        <v>0.9</v>
      </c>
      <c r="G164" s="4">
        <v>0.4</v>
      </c>
      <c r="H164" s="144" t="s">
        <v>16</v>
      </c>
      <c r="I164" s="117" t="s">
        <v>143</v>
      </c>
      <c r="K164" s="4" t="s">
        <v>67</v>
      </c>
      <c r="L164" s="65">
        <f t="shared" ref="L164:Q164" si="15">B8</f>
        <v>0.13371034051801745</v>
      </c>
      <c r="M164" s="65">
        <f t="shared" si="15"/>
        <v>8.7585019329602734E-2</v>
      </c>
      <c r="N164" s="65" t="str">
        <f t="shared" si="15"/>
        <v>[€/kWh]</v>
      </c>
      <c r="O164" s="65">
        <f t="shared" si="15"/>
        <v>12</v>
      </c>
      <c r="P164" s="65">
        <f t="shared" si="15"/>
        <v>0.9</v>
      </c>
      <c r="Q164" s="65">
        <f t="shared" si="15"/>
        <v>0.4</v>
      </c>
      <c r="R164" s="144" t="s">
        <v>97</v>
      </c>
      <c r="S164" s="118" t="s">
        <v>291</v>
      </c>
      <c r="W164" s="4" t="s">
        <v>10</v>
      </c>
      <c r="X164" s="4" t="s">
        <v>36</v>
      </c>
    </row>
    <row r="165" spans="1:24" x14ac:dyDescent="0.25">
      <c r="A165" s="4" t="s">
        <v>70</v>
      </c>
      <c r="B165" s="4">
        <v>30</v>
      </c>
      <c r="C165" s="4">
        <v>30</v>
      </c>
      <c r="D165" s="4" t="s">
        <v>42</v>
      </c>
      <c r="E165" s="4">
        <v>12</v>
      </c>
      <c r="F165" s="4">
        <v>0.9</v>
      </c>
      <c r="G165" s="4">
        <v>0.4</v>
      </c>
      <c r="H165" s="144" t="s">
        <v>131</v>
      </c>
      <c r="I165" s="117" t="s">
        <v>132</v>
      </c>
      <c r="K165" s="4" t="s">
        <v>73</v>
      </c>
      <c r="L165" s="150">
        <v>0</v>
      </c>
      <c r="M165" s="150">
        <v>0</v>
      </c>
      <c r="N165" s="4" t="s">
        <v>57</v>
      </c>
      <c r="O165" s="4">
        <v>12</v>
      </c>
      <c r="P165" s="4">
        <v>0.9</v>
      </c>
      <c r="Q165" s="4">
        <v>0.4</v>
      </c>
      <c r="R165" s="144" t="s">
        <v>9</v>
      </c>
      <c r="S165" s="117" t="s">
        <v>74</v>
      </c>
      <c r="W165" s="4" t="s">
        <v>251</v>
      </c>
      <c r="X165" s="4" t="s">
        <v>314</v>
      </c>
    </row>
    <row r="166" spans="1:24" x14ac:dyDescent="0.25">
      <c r="A166" s="4" t="s">
        <v>277</v>
      </c>
      <c r="B166" s="114">
        <v>3.6414565826330532</v>
      </c>
      <c r="C166" s="114">
        <v>3.6414565826330532</v>
      </c>
      <c r="D166" s="4" t="s">
        <v>76</v>
      </c>
      <c r="E166" s="4">
        <v>12</v>
      </c>
      <c r="F166" s="4">
        <v>0.9</v>
      </c>
      <c r="G166" s="4">
        <v>0.4</v>
      </c>
      <c r="H166" s="144" t="s">
        <v>16</v>
      </c>
      <c r="I166" s="118" t="s">
        <v>146</v>
      </c>
      <c r="K166" s="4" t="s">
        <v>79</v>
      </c>
      <c r="L166" s="150">
        <v>0.06</v>
      </c>
      <c r="M166" s="150">
        <v>0.06</v>
      </c>
      <c r="N166" s="4" t="s">
        <v>57</v>
      </c>
      <c r="O166" s="4">
        <v>12</v>
      </c>
      <c r="P166" s="4">
        <v>0.9</v>
      </c>
      <c r="Q166" s="4">
        <v>0.4</v>
      </c>
      <c r="R166" s="144" t="s">
        <v>97</v>
      </c>
      <c r="S166" s="122" t="s">
        <v>147</v>
      </c>
    </row>
    <row r="167" spans="1:24" x14ac:dyDescent="0.25">
      <c r="I167" s="117"/>
      <c r="K167" s="4" t="s">
        <v>81</v>
      </c>
      <c r="L167" s="4">
        <f>AH151</f>
        <v>0</v>
      </c>
      <c r="M167" s="4">
        <f>AI151</f>
        <v>0</v>
      </c>
      <c r="N167" s="4" t="s">
        <v>76</v>
      </c>
      <c r="O167" s="4">
        <f>$E$4</f>
        <v>17</v>
      </c>
      <c r="P167" s="4">
        <f>$F$4</f>
        <v>0.9</v>
      </c>
      <c r="Q167" s="4">
        <f>$G$4</f>
        <v>0.4</v>
      </c>
      <c r="R167" s="144" t="s">
        <v>316</v>
      </c>
      <c r="S167" s="118" t="s">
        <v>102</v>
      </c>
    </row>
    <row r="168" spans="1:24" x14ac:dyDescent="0.25">
      <c r="I168" s="117"/>
      <c r="S168" s="117"/>
    </row>
    <row r="169" spans="1:24" x14ac:dyDescent="0.25">
      <c r="E169" s="4" t="s">
        <v>2</v>
      </c>
      <c r="H169" s="4" t="s">
        <v>3</v>
      </c>
      <c r="I169" s="117"/>
      <c r="O169" s="4" t="s">
        <v>2</v>
      </c>
      <c r="R169" s="4" t="s">
        <v>3</v>
      </c>
      <c r="S169" s="117"/>
    </row>
    <row r="170" spans="1:24" x14ac:dyDescent="0.25">
      <c r="A170" s="25" t="s">
        <v>274</v>
      </c>
      <c r="B170" s="4">
        <v>2023</v>
      </c>
      <c r="C170" s="4">
        <v>2050</v>
      </c>
      <c r="D170" s="4" t="s">
        <v>5</v>
      </c>
      <c r="E170" s="4" t="s">
        <v>8</v>
      </c>
      <c r="F170" s="4" t="s">
        <v>9</v>
      </c>
      <c r="G170" s="4" t="s">
        <v>10</v>
      </c>
      <c r="I170" s="117"/>
      <c r="K170" s="25" t="s">
        <v>87</v>
      </c>
      <c r="L170" s="4">
        <v>2023</v>
      </c>
      <c r="M170" s="4">
        <v>2050</v>
      </c>
      <c r="N170" s="4" t="s">
        <v>5</v>
      </c>
      <c r="O170" s="4" t="s">
        <v>8</v>
      </c>
      <c r="P170" s="4" t="s">
        <v>9</v>
      </c>
      <c r="Q170" s="4" t="s">
        <v>10</v>
      </c>
      <c r="S170" s="117"/>
    </row>
    <row r="171" spans="1:24" x14ac:dyDescent="0.25">
      <c r="A171" s="4" t="s">
        <v>14</v>
      </c>
      <c r="B171" s="4">
        <f>100000*$E$142</f>
        <v>2800000</v>
      </c>
      <c r="C171" s="4">
        <f>100000*$E$142</f>
        <v>2800000</v>
      </c>
      <c r="D171" s="4" t="s">
        <v>15</v>
      </c>
      <c r="E171" s="4">
        <v>12</v>
      </c>
      <c r="F171" s="4">
        <v>0.9</v>
      </c>
      <c r="G171" s="4">
        <v>0.4</v>
      </c>
      <c r="H171" s="144" t="s">
        <v>118</v>
      </c>
      <c r="I171" s="118" t="s">
        <v>149</v>
      </c>
      <c r="K171" s="4" t="s">
        <v>18</v>
      </c>
      <c r="L171" s="4">
        <f>L159*2</f>
        <v>10000000</v>
      </c>
      <c r="M171" s="4">
        <f>M159*1.25</f>
        <v>6250000</v>
      </c>
      <c r="N171" s="4" t="s">
        <v>15</v>
      </c>
      <c r="O171" s="4">
        <v>12</v>
      </c>
      <c r="P171" s="4">
        <v>0.9</v>
      </c>
      <c r="Q171" s="4">
        <v>0.4</v>
      </c>
      <c r="R171" s="144" t="s">
        <v>292</v>
      </c>
      <c r="S171" s="117"/>
    </row>
    <row r="172" spans="1:24" x14ac:dyDescent="0.25">
      <c r="A172" s="4" t="s">
        <v>25</v>
      </c>
      <c r="B172" s="4">
        <f>-B171*0.05</f>
        <v>-140000</v>
      </c>
      <c r="C172" s="4">
        <f>-C171*0.05</f>
        <v>-140000</v>
      </c>
      <c r="D172" s="4" t="s">
        <v>15</v>
      </c>
      <c r="E172" s="4">
        <v>12</v>
      </c>
      <c r="F172" s="4">
        <v>0.9</v>
      </c>
      <c r="G172" s="4">
        <v>0.4</v>
      </c>
      <c r="H172" s="144" t="s">
        <v>26</v>
      </c>
      <c r="I172" s="117" t="s">
        <v>121</v>
      </c>
      <c r="K172" s="4" t="s">
        <v>28</v>
      </c>
      <c r="L172" s="4">
        <f>-L171*0.05</f>
        <v>-500000</v>
      </c>
      <c r="M172" s="4">
        <f>-M171*0.15</f>
        <v>-937500</v>
      </c>
      <c r="N172" s="4" t="s">
        <v>15</v>
      </c>
      <c r="O172" s="4">
        <v>12</v>
      </c>
      <c r="P172" s="4">
        <v>0.9</v>
      </c>
      <c r="Q172" s="4">
        <v>0.4</v>
      </c>
      <c r="R172" s="144" t="s">
        <v>26</v>
      </c>
      <c r="S172" s="117" t="s">
        <v>150</v>
      </c>
    </row>
    <row r="173" spans="1:24" x14ac:dyDescent="0.25">
      <c r="A173" s="4" t="s">
        <v>37</v>
      </c>
      <c r="B173" s="4">
        <f>250000+360000</f>
        <v>610000</v>
      </c>
      <c r="C173" s="4">
        <f>250000+360000</f>
        <v>610000</v>
      </c>
      <c r="D173" s="4" t="s">
        <v>38</v>
      </c>
      <c r="E173" s="4">
        <v>12</v>
      </c>
      <c r="F173" s="4">
        <v>0.9</v>
      </c>
      <c r="G173" s="4">
        <v>0.4</v>
      </c>
      <c r="H173" s="144" t="s">
        <v>16</v>
      </c>
      <c r="I173" s="117" t="s">
        <v>153</v>
      </c>
      <c r="K173" s="4" t="s">
        <v>41</v>
      </c>
      <c r="L173" s="4">
        <v>20</v>
      </c>
      <c r="M173" s="4">
        <v>20</v>
      </c>
      <c r="N173" s="4" t="s">
        <v>42</v>
      </c>
      <c r="O173" s="4">
        <v>12</v>
      </c>
      <c r="P173" s="4">
        <v>0.9</v>
      </c>
      <c r="Q173" s="4">
        <v>0.4</v>
      </c>
      <c r="R173" s="144" t="s">
        <v>9</v>
      </c>
      <c r="S173" s="117" t="s">
        <v>124</v>
      </c>
    </row>
    <row r="174" spans="1:24" x14ac:dyDescent="0.25">
      <c r="A174" s="4" t="s">
        <v>48</v>
      </c>
      <c r="B174" s="4">
        <f>$E$142*$E$143</f>
        <v>2240</v>
      </c>
      <c r="C174" s="4">
        <f>$E$142*$E$143</f>
        <v>2240</v>
      </c>
      <c r="D174" s="4" t="s">
        <v>49</v>
      </c>
      <c r="E174" s="4">
        <v>12</v>
      </c>
      <c r="F174" s="4">
        <v>0.9</v>
      </c>
      <c r="G174" s="4">
        <v>0.4</v>
      </c>
      <c r="H174" s="144" t="s">
        <v>125</v>
      </c>
      <c r="I174" s="118" t="s">
        <v>126</v>
      </c>
      <c r="K174" s="4" t="s">
        <v>52</v>
      </c>
      <c r="L174" s="113">
        <f>L171*0.13</f>
        <v>1300000</v>
      </c>
      <c r="M174" s="4">
        <f>M171*0.13</f>
        <v>812500</v>
      </c>
      <c r="N174" s="4" t="s">
        <v>38</v>
      </c>
      <c r="O174" s="4">
        <v>12</v>
      </c>
      <c r="P174" s="4">
        <v>0.9</v>
      </c>
      <c r="Q174" s="4">
        <v>0.4</v>
      </c>
      <c r="R174" s="144" t="s">
        <v>154</v>
      </c>
      <c r="S174" s="118" t="s">
        <v>155</v>
      </c>
    </row>
    <row r="175" spans="1:24" x14ac:dyDescent="0.25">
      <c r="A175" s="4" t="s">
        <v>56</v>
      </c>
      <c r="B175" s="150">
        <f>32%/C140</f>
        <v>0.42666666666666669</v>
      </c>
      <c r="C175" s="150">
        <f>32%/C140</f>
        <v>0.42666666666666669</v>
      </c>
      <c r="D175" s="4" t="s">
        <v>57</v>
      </c>
      <c r="E175" s="4">
        <v>12</v>
      </c>
      <c r="F175" s="4">
        <v>0.9</v>
      </c>
      <c r="G175" s="4">
        <v>0.4</v>
      </c>
      <c r="H175" s="144" t="s">
        <v>16</v>
      </c>
      <c r="I175" s="117" t="s">
        <v>156</v>
      </c>
      <c r="K175" s="4" t="s">
        <v>59</v>
      </c>
      <c r="L175" s="4">
        <f>L151*0.35/0.8</f>
        <v>33.590199999999996</v>
      </c>
      <c r="M175" s="4">
        <f>M151*0.35/0.8</f>
        <v>33.590199999999996</v>
      </c>
      <c r="N175" s="4" t="s">
        <v>60</v>
      </c>
      <c r="O175" s="4">
        <v>12</v>
      </c>
      <c r="P175" s="4">
        <v>0.9</v>
      </c>
      <c r="Q175" s="4">
        <v>0.4</v>
      </c>
      <c r="R175" s="144" t="s">
        <v>9</v>
      </c>
      <c r="S175" s="118" t="s">
        <v>157</v>
      </c>
    </row>
    <row r="176" spans="1:24" x14ac:dyDescent="0.25">
      <c r="A176" s="4" t="s">
        <v>64</v>
      </c>
      <c r="B176" s="4">
        <v>178500</v>
      </c>
      <c r="C176" s="4">
        <v>178500</v>
      </c>
      <c r="D176" s="4" t="s">
        <v>65</v>
      </c>
      <c r="E176" s="4">
        <v>12</v>
      </c>
      <c r="F176" s="4">
        <v>0.9</v>
      </c>
      <c r="G176" s="4">
        <v>0.4</v>
      </c>
      <c r="H176" s="144" t="s">
        <v>16</v>
      </c>
      <c r="I176" s="117" t="s">
        <v>156</v>
      </c>
      <c r="K176" s="4" t="s">
        <v>67</v>
      </c>
      <c r="L176" s="65">
        <f t="shared" ref="L176:Q176" si="16">B8</f>
        <v>0.13371034051801745</v>
      </c>
      <c r="M176" s="65">
        <f t="shared" si="16"/>
        <v>8.7585019329602734E-2</v>
      </c>
      <c r="N176" s="65" t="str">
        <f t="shared" si="16"/>
        <v>[€/kWh]</v>
      </c>
      <c r="O176" s="65">
        <f t="shared" si="16"/>
        <v>12</v>
      </c>
      <c r="P176" s="65">
        <f t="shared" si="16"/>
        <v>0.9</v>
      </c>
      <c r="Q176" s="65">
        <f t="shared" si="16"/>
        <v>0.4</v>
      </c>
      <c r="R176" s="144" t="s">
        <v>97</v>
      </c>
      <c r="S176" s="118" t="s">
        <v>291</v>
      </c>
    </row>
    <row r="177" spans="1:32" x14ac:dyDescent="0.25">
      <c r="A177" s="4" t="s">
        <v>70</v>
      </c>
      <c r="B177" s="4">
        <v>30</v>
      </c>
      <c r="C177" s="4">
        <v>30</v>
      </c>
      <c r="D177" s="4" t="s">
        <v>42</v>
      </c>
      <c r="E177" s="4">
        <v>12</v>
      </c>
      <c r="F177" s="4">
        <v>0.9</v>
      </c>
      <c r="G177" s="4">
        <v>0.4</v>
      </c>
      <c r="H177" s="144" t="s">
        <v>131</v>
      </c>
      <c r="I177" s="117" t="s">
        <v>132</v>
      </c>
      <c r="K177" s="4" t="s">
        <v>73</v>
      </c>
      <c r="L177" s="123">
        <f>1/E142</f>
        <v>3.5714285714285712E-2</v>
      </c>
      <c r="M177" s="123">
        <f>0.5/E142</f>
        <v>1.7857142857142856E-2</v>
      </c>
      <c r="N177" s="4" t="s">
        <v>57</v>
      </c>
      <c r="O177" s="4">
        <v>12</v>
      </c>
      <c r="P177" s="4">
        <v>0.9</v>
      </c>
      <c r="Q177" s="4">
        <v>0.4</v>
      </c>
      <c r="R177" s="144" t="s">
        <v>154</v>
      </c>
      <c r="S177" s="117" t="s">
        <v>158</v>
      </c>
    </row>
    <row r="178" spans="1:32" x14ac:dyDescent="0.25">
      <c r="A178" s="4" t="s">
        <v>277</v>
      </c>
      <c r="B178" s="114">
        <v>3.6414565826330532</v>
      </c>
      <c r="C178" s="114">
        <v>3.6414565826330532</v>
      </c>
      <c r="D178" s="4" t="s">
        <v>76</v>
      </c>
      <c r="E178" s="4">
        <v>12</v>
      </c>
      <c r="F178" s="4">
        <v>0.9</v>
      </c>
      <c r="G178" s="4">
        <v>0.4</v>
      </c>
      <c r="H178" s="144" t="s">
        <v>16</v>
      </c>
      <c r="I178" s="118" t="s">
        <v>146</v>
      </c>
      <c r="K178" s="4" t="s">
        <v>79</v>
      </c>
      <c r="L178" s="150">
        <v>0.06</v>
      </c>
      <c r="M178" s="150">
        <v>0.06</v>
      </c>
      <c r="N178" s="4" t="s">
        <v>57</v>
      </c>
      <c r="O178" s="4">
        <v>12</v>
      </c>
      <c r="P178" s="4">
        <v>0.9</v>
      </c>
      <c r="Q178" s="4">
        <v>0.4</v>
      </c>
      <c r="R178" s="144" t="s">
        <v>97</v>
      </c>
      <c r="S178" s="122" t="s">
        <v>74</v>
      </c>
    </row>
    <row r="179" spans="1:32" x14ac:dyDescent="0.25">
      <c r="I179" s="117"/>
      <c r="K179" s="4" t="s">
        <v>81</v>
      </c>
      <c r="L179" s="4">
        <f>AM151</f>
        <v>0</v>
      </c>
      <c r="M179" s="4">
        <f>AN151</f>
        <v>0</v>
      </c>
      <c r="N179" s="4" t="s">
        <v>76</v>
      </c>
      <c r="O179" s="4">
        <f>$E$4</f>
        <v>17</v>
      </c>
      <c r="P179" s="4">
        <f>$F$4</f>
        <v>0.9</v>
      </c>
      <c r="Q179" s="4">
        <f>$G$4</f>
        <v>0.4</v>
      </c>
      <c r="R179" s="144" t="s">
        <v>315</v>
      </c>
      <c r="S179" s="118" t="s">
        <v>102</v>
      </c>
    </row>
    <row r="180" spans="1:32" x14ac:dyDescent="0.25">
      <c r="I180" s="117"/>
      <c r="S180" s="117"/>
    </row>
    <row r="181" spans="1:32" x14ac:dyDescent="0.25">
      <c r="E181" s="4" t="s">
        <v>2</v>
      </c>
      <c r="H181" s="4" t="s">
        <v>3</v>
      </c>
      <c r="I181" s="117"/>
      <c r="O181" s="4" t="s">
        <v>2</v>
      </c>
      <c r="R181" s="4" t="s">
        <v>3</v>
      </c>
      <c r="S181" s="117"/>
      <c r="AE181" s="4">
        <f>L151*0.35</f>
        <v>26.872159999999997</v>
      </c>
      <c r="AF181" s="4">
        <f>AE181/0.85</f>
        <v>31.614305882352937</v>
      </c>
    </row>
    <row r="182" spans="1:32" x14ac:dyDescent="0.25">
      <c r="A182" s="25" t="s">
        <v>275</v>
      </c>
      <c r="B182" s="4">
        <v>2023</v>
      </c>
      <c r="C182" s="4">
        <v>2050</v>
      </c>
      <c r="D182" s="4" t="s">
        <v>5</v>
      </c>
      <c r="E182" s="4" t="s">
        <v>8</v>
      </c>
      <c r="F182" s="4" t="s">
        <v>9</v>
      </c>
      <c r="G182" s="4" t="s">
        <v>10</v>
      </c>
      <c r="I182" s="117"/>
      <c r="K182" s="25" t="s">
        <v>103</v>
      </c>
      <c r="L182" s="4">
        <v>2023</v>
      </c>
      <c r="M182" s="4">
        <v>2050</v>
      </c>
      <c r="N182" s="4" t="s">
        <v>5</v>
      </c>
      <c r="O182" s="4" t="s">
        <v>8</v>
      </c>
      <c r="P182" s="4" t="s">
        <v>9</v>
      </c>
      <c r="Q182" s="4" t="s">
        <v>10</v>
      </c>
      <c r="S182" s="117"/>
    </row>
    <row r="183" spans="1:32" x14ac:dyDescent="0.25">
      <c r="A183" s="4" t="s">
        <v>14</v>
      </c>
      <c r="B183" s="4">
        <f>150000*$E$142</f>
        <v>4200000</v>
      </c>
      <c r="C183" s="4">
        <f>150000*$E$142</f>
        <v>4200000</v>
      </c>
      <c r="D183" s="4" t="s">
        <v>15</v>
      </c>
      <c r="E183" s="4">
        <v>12</v>
      </c>
      <c r="F183" s="4">
        <v>0.9</v>
      </c>
      <c r="G183" s="4">
        <v>0.4</v>
      </c>
      <c r="H183" s="144" t="s">
        <v>118</v>
      </c>
      <c r="I183" s="118" t="s">
        <v>119</v>
      </c>
      <c r="K183" s="4" t="s">
        <v>18</v>
      </c>
      <c r="L183" s="4">
        <f>L159*2</f>
        <v>10000000</v>
      </c>
      <c r="M183" s="4">
        <f>M159*0.8</f>
        <v>4000000</v>
      </c>
      <c r="N183" s="4" t="s">
        <v>15</v>
      </c>
      <c r="O183" s="4">
        <v>12</v>
      </c>
      <c r="P183" s="4">
        <v>0.9</v>
      </c>
      <c r="Q183" s="4">
        <v>0.4</v>
      </c>
      <c r="R183" s="144" t="s">
        <v>292</v>
      </c>
      <c r="S183" s="117"/>
    </row>
    <row r="184" spans="1:32" x14ac:dyDescent="0.25">
      <c r="A184" s="4" t="s">
        <v>25</v>
      </c>
      <c r="B184" s="4">
        <f>-B183*0.05</f>
        <v>-210000</v>
      </c>
      <c r="C184" s="4">
        <f>-C183*0.05</f>
        <v>-210000</v>
      </c>
      <c r="D184" s="4" t="s">
        <v>15</v>
      </c>
      <c r="E184" s="4">
        <v>12</v>
      </c>
      <c r="F184" s="4">
        <v>0.9</v>
      </c>
      <c r="G184" s="4">
        <v>0.4</v>
      </c>
      <c r="H184" s="144" t="s">
        <v>26</v>
      </c>
      <c r="I184" s="117" t="s">
        <v>121</v>
      </c>
      <c r="K184" s="4" t="s">
        <v>28</v>
      </c>
      <c r="L184" s="4">
        <f>-L183*0.05</f>
        <v>-500000</v>
      </c>
      <c r="M184" s="4">
        <f>-M183*0.15</f>
        <v>-600000</v>
      </c>
      <c r="N184" s="4" t="s">
        <v>15</v>
      </c>
      <c r="O184" s="4">
        <v>12</v>
      </c>
      <c r="P184" s="4">
        <v>0.9</v>
      </c>
      <c r="Q184" s="4">
        <v>0.4</v>
      </c>
      <c r="R184" s="144" t="s">
        <v>26</v>
      </c>
      <c r="S184" s="117" t="s">
        <v>150</v>
      </c>
    </row>
    <row r="185" spans="1:32" x14ac:dyDescent="0.25">
      <c r="A185" s="4" t="s">
        <v>37</v>
      </c>
      <c r="B185" s="4">
        <f>600000+850000</f>
        <v>1450000</v>
      </c>
      <c r="C185" s="4">
        <f>600000+850000</f>
        <v>1450000</v>
      </c>
      <c r="D185" s="4" t="s">
        <v>38</v>
      </c>
      <c r="E185" s="4">
        <v>12</v>
      </c>
      <c r="F185" s="4">
        <v>0.9</v>
      </c>
      <c r="G185" s="4">
        <v>0.4</v>
      </c>
      <c r="H185" s="144" t="s">
        <v>16</v>
      </c>
      <c r="I185" s="117" t="s">
        <v>159</v>
      </c>
      <c r="K185" s="4" t="s">
        <v>41</v>
      </c>
      <c r="L185" s="4">
        <v>20</v>
      </c>
      <c r="M185" s="4">
        <v>20</v>
      </c>
      <c r="N185" s="4" t="s">
        <v>42</v>
      </c>
      <c r="O185" s="4">
        <v>12</v>
      </c>
      <c r="P185" s="4">
        <v>0.9</v>
      </c>
      <c r="Q185" s="4">
        <v>0.4</v>
      </c>
      <c r="R185" s="144" t="s">
        <v>9</v>
      </c>
      <c r="S185" s="117" t="s">
        <v>124</v>
      </c>
    </row>
    <row r="186" spans="1:32" x14ac:dyDescent="0.25">
      <c r="A186" s="4" t="s">
        <v>48</v>
      </c>
      <c r="B186" s="4">
        <f>$E$142*$E$143</f>
        <v>2240</v>
      </c>
      <c r="C186" s="4">
        <f>$E$142*$E$143</f>
        <v>2240</v>
      </c>
      <c r="D186" s="4" t="s">
        <v>49</v>
      </c>
      <c r="E186" s="4">
        <v>12</v>
      </c>
      <c r="F186" s="4">
        <v>0.9</v>
      </c>
      <c r="G186" s="4">
        <v>0.4</v>
      </c>
      <c r="H186" s="144" t="s">
        <v>125</v>
      </c>
      <c r="I186" s="118" t="s">
        <v>126</v>
      </c>
      <c r="K186" s="4" t="s">
        <v>52</v>
      </c>
      <c r="L186" s="4">
        <f>L183*0.14</f>
        <v>1400000.0000000002</v>
      </c>
      <c r="M186" s="4">
        <f>M183*0.14</f>
        <v>560000</v>
      </c>
      <c r="N186" s="4" t="s">
        <v>38</v>
      </c>
      <c r="O186" s="4">
        <v>12</v>
      </c>
      <c r="P186" s="4">
        <v>0.9</v>
      </c>
      <c r="Q186" s="4">
        <v>0.4</v>
      </c>
      <c r="R186" s="144" t="s">
        <v>154</v>
      </c>
      <c r="S186" s="118" t="s">
        <v>155</v>
      </c>
    </row>
    <row r="187" spans="1:32" x14ac:dyDescent="0.25">
      <c r="A187" s="4" t="s">
        <v>56</v>
      </c>
      <c r="B187" s="150">
        <f>54%/C140</f>
        <v>0.72000000000000008</v>
      </c>
      <c r="C187" s="150">
        <f>54%/C140</f>
        <v>0.72000000000000008</v>
      </c>
      <c r="D187" s="4" t="s">
        <v>57</v>
      </c>
      <c r="E187" s="4">
        <v>12</v>
      </c>
      <c r="F187" s="4">
        <v>0.9</v>
      </c>
      <c r="G187" s="4">
        <v>0.4</v>
      </c>
      <c r="H187" s="144" t="s">
        <v>16</v>
      </c>
      <c r="I187" s="117" t="s">
        <v>160</v>
      </c>
      <c r="K187" s="4" t="s">
        <v>59</v>
      </c>
      <c r="L187" s="4">
        <f>L151*0.35/0.55</f>
        <v>48.858472727272719</v>
      </c>
      <c r="M187" s="4">
        <f>M151*0.35/0.65</f>
        <v>41.341784615384611</v>
      </c>
      <c r="N187" s="4" t="s">
        <v>60</v>
      </c>
      <c r="O187" s="4">
        <v>12</v>
      </c>
      <c r="P187" s="4">
        <v>0.9</v>
      </c>
      <c r="Q187" s="4">
        <v>0.4</v>
      </c>
      <c r="R187" s="144" t="s">
        <v>9</v>
      </c>
      <c r="S187" s="118" t="s">
        <v>161</v>
      </c>
    </row>
    <row r="188" spans="1:32" x14ac:dyDescent="0.25">
      <c r="A188" s="4" t="s">
        <v>64</v>
      </c>
      <c r="B188" s="4">
        <v>178500</v>
      </c>
      <c r="C188" s="4">
        <v>178500</v>
      </c>
      <c r="D188" s="4" t="s">
        <v>65</v>
      </c>
      <c r="E188" s="4">
        <v>12</v>
      </c>
      <c r="F188" s="4">
        <v>0.9</v>
      </c>
      <c r="G188" s="4">
        <v>0.4</v>
      </c>
      <c r="H188" s="144" t="s">
        <v>16</v>
      </c>
      <c r="I188" s="117" t="s">
        <v>160</v>
      </c>
      <c r="K188" s="4" t="s">
        <v>67</v>
      </c>
      <c r="L188" s="65">
        <f t="shared" ref="L188:Q188" si="17">B9</f>
        <v>0.2544561408768215</v>
      </c>
      <c r="M188" s="65">
        <f t="shared" si="17"/>
        <v>0.10949010032952979</v>
      </c>
      <c r="N188" s="65" t="str">
        <f t="shared" si="17"/>
        <v>[€/kWh]</v>
      </c>
      <c r="O188" s="65">
        <f t="shared" si="17"/>
        <v>12</v>
      </c>
      <c r="P188" s="65">
        <f t="shared" si="17"/>
        <v>0.9</v>
      </c>
      <c r="Q188" s="65">
        <f t="shared" si="17"/>
        <v>0.4</v>
      </c>
      <c r="R188" s="144" t="s">
        <v>97</v>
      </c>
      <c r="S188" s="118" t="s">
        <v>290</v>
      </c>
    </row>
    <row r="189" spans="1:32" x14ac:dyDescent="0.25">
      <c r="A189" s="4" t="s">
        <v>70</v>
      </c>
      <c r="B189" s="4">
        <v>30</v>
      </c>
      <c r="C189" s="4">
        <v>30</v>
      </c>
      <c r="D189" s="4" t="s">
        <v>42</v>
      </c>
      <c r="E189" s="4">
        <v>12</v>
      </c>
      <c r="F189" s="4">
        <v>0.9</v>
      </c>
      <c r="G189" s="4">
        <v>0.4</v>
      </c>
      <c r="H189" s="144" t="s">
        <v>131</v>
      </c>
      <c r="I189" s="117" t="s">
        <v>132</v>
      </c>
      <c r="K189" s="4" t="s">
        <v>73</v>
      </c>
      <c r="L189" s="123">
        <f>0.5/E142</f>
        <v>1.7857142857142856E-2</v>
      </c>
      <c r="M189" s="123">
        <f>0.5/E142</f>
        <v>1.7857142857142856E-2</v>
      </c>
      <c r="N189" s="4" t="s">
        <v>57</v>
      </c>
      <c r="O189" s="4">
        <v>12</v>
      </c>
      <c r="P189" s="4">
        <v>0.9</v>
      </c>
      <c r="Q189" s="4">
        <v>0.4</v>
      </c>
      <c r="R189" s="144" t="s">
        <v>154</v>
      </c>
      <c r="S189" s="117" t="s">
        <v>162</v>
      </c>
    </row>
    <row r="190" spans="1:32" x14ac:dyDescent="0.25">
      <c r="A190" s="4" t="s">
        <v>277</v>
      </c>
      <c r="B190" s="4">
        <v>8.9635854341736696</v>
      </c>
      <c r="C190" s="4">
        <v>8.9635854341736696</v>
      </c>
      <c r="D190" s="4" t="s">
        <v>76</v>
      </c>
      <c r="E190" s="4">
        <v>12</v>
      </c>
      <c r="F190" s="4">
        <v>0.9</v>
      </c>
      <c r="G190" s="4">
        <v>0.4</v>
      </c>
      <c r="H190" s="144" t="s">
        <v>16</v>
      </c>
      <c r="I190" s="118" t="s">
        <v>163</v>
      </c>
      <c r="K190" s="4" t="s">
        <v>79</v>
      </c>
      <c r="L190" s="150">
        <v>0.06</v>
      </c>
      <c r="M190" s="150">
        <v>0.06</v>
      </c>
      <c r="N190" s="4" t="s">
        <v>57</v>
      </c>
      <c r="O190" s="4">
        <v>12</v>
      </c>
      <c r="P190" s="4">
        <v>0.9</v>
      </c>
      <c r="Q190" s="4">
        <v>0.4</v>
      </c>
      <c r="R190" s="144" t="s">
        <v>97</v>
      </c>
      <c r="S190" s="122" t="s">
        <v>74</v>
      </c>
    </row>
    <row r="191" spans="1:32" x14ac:dyDescent="0.25">
      <c r="I191" s="117"/>
      <c r="K191" s="4" t="s">
        <v>81</v>
      </c>
      <c r="L191" s="4">
        <f>AC151</f>
        <v>0</v>
      </c>
      <c r="M191" s="4">
        <f>AD151</f>
        <v>0</v>
      </c>
      <c r="N191" s="4" t="s">
        <v>76</v>
      </c>
      <c r="O191" s="4">
        <f>$E$4</f>
        <v>17</v>
      </c>
      <c r="P191" s="4">
        <f>$F$4</f>
        <v>0.9</v>
      </c>
      <c r="Q191" s="4">
        <f>$G$4</f>
        <v>0.4</v>
      </c>
      <c r="R191" s="144" t="s">
        <v>315</v>
      </c>
      <c r="S191" s="118" t="s">
        <v>289</v>
      </c>
    </row>
    <row r="192" spans="1:32" x14ac:dyDescent="0.25">
      <c r="E192" s="4" t="s">
        <v>2</v>
      </c>
      <c r="I192" s="117"/>
      <c r="S192" s="117"/>
    </row>
    <row r="193" spans="1:19" x14ac:dyDescent="0.25">
      <c r="A193" s="25" t="s">
        <v>276</v>
      </c>
      <c r="B193" s="4">
        <v>2023</v>
      </c>
      <c r="C193" s="4">
        <v>2050</v>
      </c>
      <c r="D193" s="4" t="s">
        <v>5</v>
      </c>
      <c r="E193" s="4" t="s">
        <v>8</v>
      </c>
      <c r="F193" s="4" t="s">
        <v>9</v>
      </c>
      <c r="G193" s="4" t="s">
        <v>10</v>
      </c>
      <c r="H193" s="4" t="s">
        <v>3</v>
      </c>
      <c r="I193" s="117"/>
      <c r="S193" s="34"/>
    </row>
    <row r="194" spans="1:19" x14ac:dyDescent="0.25">
      <c r="A194" s="4" t="s">
        <v>14</v>
      </c>
      <c r="B194" s="4">
        <f>125000*$E$142</f>
        <v>3500000</v>
      </c>
      <c r="C194" s="4">
        <f>125000*$E$142</f>
        <v>3500000</v>
      </c>
      <c r="D194" s="4" t="s">
        <v>15</v>
      </c>
      <c r="E194" s="4">
        <v>12</v>
      </c>
      <c r="F194" s="4">
        <v>0.9</v>
      </c>
      <c r="G194" s="4">
        <v>0.4</v>
      </c>
      <c r="H194" s="144" t="s">
        <v>118</v>
      </c>
      <c r="I194" s="118" t="s">
        <v>164</v>
      </c>
    </row>
    <row r="195" spans="1:19" x14ac:dyDescent="0.25">
      <c r="A195" s="4" t="s">
        <v>25</v>
      </c>
      <c r="B195" s="4">
        <f>-B194*0.05</f>
        <v>-175000</v>
      </c>
      <c r="C195" s="4">
        <f>-C194*0.05</f>
        <v>-175000</v>
      </c>
      <c r="D195" s="4" t="s">
        <v>15</v>
      </c>
      <c r="E195" s="4">
        <v>12</v>
      </c>
      <c r="F195" s="4">
        <v>0.9</v>
      </c>
      <c r="G195" s="4">
        <v>0.4</v>
      </c>
      <c r="H195" s="144" t="s">
        <v>26</v>
      </c>
      <c r="I195" s="117" t="s">
        <v>121</v>
      </c>
    </row>
    <row r="196" spans="1:19" x14ac:dyDescent="0.25">
      <c r="A196" s="4" t="s">
        <v>37</v>
      </c>
      <c r="B196" s="4">
        <v>650000</v>
      </c>
      <c r="C196" s="4">
        <v>650000</v>
      </c>
      <c r="D196" s="4" t="s">
        <v>38</v>
      </c>
      <c r="E196" s="4">
        <v>12</v>
      </c>
      <c r="F196" s="4">
        <v>0.9</v>
      </c>
      <c r="G196" s="4">
        <v>0.4</v>
      </c>
      <c r="H196" s="144" t="s">
        <v>16</v>
      </c>
      <c r="I196" s="117" t="s">
        <v>165</v>
      </c>
    </row>
    <row r="197" spans="1:19" x14ac:dyDescent="0.25">
      <c r="A197" s="4" t="s">
        <v>48</v>
      </c>
      <c r="B197" s="4">
        <v>2800</v>
      </c>
      <c r="C197" s="4">
        <v>2800</v>
      </c>
      <c r="D197" s="4" t="s">
        <v>49</v>
      </c>
      <c r="E197" s="4">
        <v>12</v>
      </c>
      <c r="F197" s="4">
        <v>0.9</v>
      </c>
      <c r="G197" s="4">
        <v>0.4</v>
      </c>
      <c r="H197" s="144" t="s">
        <v>125</v>
      </c>
      <c r="I197" s="118" t="s">
        <v>126</v>
      </c>
    </row>
    <row r="198" spans="1:19" x14ac:dyDescent="0.25">
      <c r="A198" s="4" t="s">
        <v>56</v>
      </c>
      <c r="B198" s="150">
        <f>32%/C140</f>
        <v>0.42666666666666669</v>
      </c>
      <c r="C198" s="150">
        <f>32%/C140</f>
        <v>0.42666666666666669</v>
      </c>
      <c r="D198" s="4" t="s">
        <v>57</v>
      </c>
      <c r="E198" s="4">
        <v>12</v>
      </c>
      <c r="F198" s="4">
        <v>0.9</v>
      </c>
      <c r="G198" s="4">
        <v>0.4</v>
      </c>
      <c r="H198" s="144" t="s">
        <v>16</v>
      </c>
      <c r="I198" s="117" t="s">
        <v>166</v>
      </c>
      <c r="N198" s="113"/>
    </row>
    <row r="199" spans="1:19" x14ac:dyDescent="0.25">
      <c r="A199" s="4" t="s">
        <v>64</v>
      </c>
      <c r="B199" s="4">
        <v>178500</v>
      </c>
      <c r="C199" s="4">
        <v>178500</v>
      </c>
      <c r="D199" s="4" t="s">
        <v>65</v>
      </c>
      <c r="E199" s="4">
        <v>12</v>
      </c>
      <c r="F199" s="4">
        <v>0.9</v>
      </c>
      <c r="G199" s="4">
        <v>0.4</v>
      </c>
      <c r="H199" s="144" t="s">
        <v>16</v>
      </c>
      <c r="I199" s="117" t="s">
        <v>166</v>
      </c>
      <c r="N199" s="113"/>
    </row>
    <row r="200" spans="1:19" x14ac:dyDescent="0.25">
      <c r="A200" s="4" t="s">
        <v>70</v>
      </c>
      <c r="B200" s="4">
        <v>30</v>
      </c>
      <c r="C200" s="4">
        <v>30</v>
      </c>
      <c r="D200" s="4" t="s">
        <v>42</v>
      </c>
      <c r="E200" s="4">
        <v>12</v>
      </c>
      <c r="F200" s="4">
        <v>0.9</v>
      </c>
      <c r="G200" s="4">
        <v>0.4</v>
      </c>
      <c r="H200" s="144" t="s">
        <v>131</v>
      </c>
      <c r="I200" s="117" t="s">
        <v>132</v>
      </c>
    </row>
    <row r="201" spans="1:19" x14ac:dyDescent="0.25">
      <c r="A201" s="4" t="s">
        <v>277</v>
      </c>
      <c r="B201" s="114">
        <v>3.9215686274509802</v>
      </c>
      <c r="C201" s="114">
        <v>3.9215686274509802</v>
      </c>
      <c r="D201" s="4" t="s">
        <v>76</v>
      </c>
      <c r="E201" s="4">
        <v>12</v>
      </c>
      <c r="F201" s="4">
        <v>0.9</v>
      </c>
      <c r="G201" s="4">
        <v>0.4</v>
      </c>
      <c r="H201" s="144" t="s">
        <v>16</v>
      </c>
      <c r="I201" s="118" t="s">
        <v>167</v>
      </c>
    </row>
    <row r="202" spans="1:19" x14ac:dyDescent="0.25">
      <c r="I202" s="117"/>
    </row>
    <row r="203" spans="1:19" x14ac:dyDescent="0.25">
      <c r="I203" s="117"/>
    </row>
    <row r="205" spans="1:19" s="93" customFormat="1" ht="31.5" x14ac:dyDescent="0.5">
      <c r="A205" s="93" t="s">
        <v>263</v>
      </c>
      <c r="K205" s="93" t="s">
        <v>0</v>
      </c>
    </row>
    <row r="206" spans="1:19" x14ac:dyDescent="0.25">
      <c r="B206" s="4" t="s">
        <v>402</v>
      </c>
      <c r="C206" s="94">
        <v>0.75</v>
      </c>
      <c r="D206" s="162" t="s">
        <v>405</v>
      </c>
    </row>
    <row r="207" spans="1:19" x14ac:dyDescent="0.25">
      <c r="B207" s="4" t="s">
        <v>403</v>
      </c>
      <c r="C207" s="94">
        <f>1-C206</f>
        <v>0.25</v>
      </c>
      <c r="D207" s="162" t="s">
        <v>404</v>
      </c>
      <c r="I207" s="113"/>
      <c r="K207" s="40"/>
    </row>
    <row r="208" spans="1:19" x14ac:dyDescent="0.25">
      <c r="A208" s="95" t="s">
        <v>168</v>
      </c>
      <c r="B208" s="151" t="s">
        <v>281</v>
      </c>
    </row>
    <row r="209" spans="1:47" ht="15.75" thickBot="1" x14ac:dyDescent="0.3">
      <c r="L209" s="150"/>
    </row>
    <row r="210" spans="1:47" x14ac:dyDescent="0.25">
      <c r="E210" s="4" t="s">
        <v>2</v>
      </c>
      <c r="H210" s="4" t="s">
        <v>3</v>
      </c>
      <c r="O210" s="4" t="s">
        <v>2</v>
      </c>
      <c r="R210" s="4" t="s">
        <v>3</v>
      </c>
      <c r="W210" s="99" t="s">
        <v>169</v>
      </c>
      <c r="X210" s="100">
        <v>2023</v>
      </c>
      <c r="Y210" s="100">
        <v>2050</v>
      </c>
      <c r="Z210" s="101" t="s">
        <v>5</v>
      </c>
      <c r="AB210" s="99" t="s">
        <v>278</v>
      </c>
      <c r="AC210" s="100">
        <v>2023</v>
      </c>
      <c r="AD210" s="100">
        <v>2050</v>
      </c>
      <c r="AE210" s="101" t="s">
        <v>5</v>
      </c>
      <c r="AG210" s="99" t="s">
        <v>170</v>
      </c>
      <c r="AH210" s="100">
        <v>2023</v>
      </c>
      <c r="AI210" s="100">
        <v>2050</v>
      </c>
      <c r="AJ210" s="101" t="s">
        <v>5</v>
      </c>
      <c r="AL210" s="99" t="s">
        <v>171</v>
      </c>
      <c r="AM210" s="100">
        <v>2023</v>
      </c>
      <c r="AN210" s="100">
        <v>2050</v>
      </c>
      <c r="AO210" s="101" t="s">
        <v>5</v>
      </c>
      <c r="AQ210" s="99" t="s">
        <v>172</v>
      </c>
      <c r="AR210" s="100">
        <v>2023</v>
      </c>
      <c r="AS210" s="100">
        <v>2050</v>
      </c>
      <c r="AT210" s="101" t="s">
        <v>5</v>
      </c>
    </row>
    <row r="211" spans="1:47" x14ac:dyDescent="0.25">
      <c r="A211" s="25" t="s">
        <v>173</v>
      </c>
      <c r="B211" s="4">
        <v>2023</v>
      </c>
      <c r="C211" s="4">
        <v>2050</v>
      </c>
      <c r="D211" s="4" t="s">
        <v>5</v>
      </c>
      <c r="E211" s="4" t="s">
        <v>8</v>
      </c>
      <c r="F211" s="4" t="s">
        <v>9</v>
      </c>
      <c r="G211" s="4" t="s">
        <v>10</v>
      </c>
      <c r="I211" s="117"/>
      <c r="K211" s="25" t="s">
        <v>279</v>
      </c>
      <c r="L211" s="4">
        <v>2023</v>
      </c>
      <c r="M211" s="4">
        <v>2050</v>
      </c>
      <c r="N211" s="4" t="s">
        <v>5</v>
      </c>
      <c r="O211" s="4" t="s">
        <v>8</v>
      </c>
      <c r="P211" s="4" t="s">
        <v>9</v>
      </c>
      <c r="Q211" s="4" t="s">
        <v>10</v>
      </c>
      <c r="W211" s="102" t="s">
        <v>12</v>
      </c>
      <c r="X211" s="107">
        <f>$B$4</f>
        <v>0</v>
      </c>
      <c r="Y211" s="107">
        <f>$C$4</f>
        <v>0</v>
      </c>
      <c r="Z211" s="103" t="s">
        <v>13</v>
      </c>
      <c r="AB211" s="102" t="s">
        <v>12</v>
      </c>
      <c r="AC211" s="107">
        <f>$B$4</f>
        <v>0</v>
      </c>
      <c r="AD211" s="107">
        <f>$C$4</f>
        <v>0</v>
      </c>
      <c r="AE211" s="103" t="s">
        <v>13</v>
      </c>
      <c r="AG211" s="102" t="s">
        <v>12</v>
      </c>
      <c r="AH211" s="107">
        <f>$B$4</f>
        <v>0</v>
      </c>
      <c r="AI211" s="107">
        <f>$C$4</f>
        <v>0</v>
      </c>
      <c r="AJ211" s="103" t="s">
        <v>13</v>
      </c>
      <c r="AL211" s="102" t="s">
        <v>12</v>
      </c>
      <c r="AM211" s="107">
        <f>$B$4</f>
        <v>0</v>
      </c>
      <c r="AN211" s="107">
        <f>$C$4</f>
        <v>0</v>
      </c>
      <c r="AO211" s="103" t="s">
        <v>13</v>
      </c>
      <c r="AQ211" s="102" t="s">
        <v>12</v>
      </c>
      <c r="AR211" s="107">
        <f>$B$4</f>
        <v>0</v>
      </c>
      <c r="AS211" s="107">
        <f>$C$4</f>
        <v>0</v>
      </c>
      <c r="AT211" s="103" t="s">
        <v>13</v>
      </c>
    </row>
    <row r="212" spans="1:47" x14ac:dyDescent="0.25">
      <c r="A212" s="4" t="s">
        <v>14</v>
      </c>
      <c r="B212" s="113">
        <v>1000000</v>
      </c>
      <c r="C212" s="4">
        <v>1000000</v>
      </c>
      <c r="D212" s="4" t="s">
        <v>15</v>
      </c>
      <c r="E212" s="4">
        <v>17</v>
      </c>
      <c r="F212" s="4">
        <v>0.9</v>
      </c>
      <c r="G212" s="4">
        <v>0.4</v>
      </c>
      <c r="H212" s="144" t="s">
        <v>299</v>
      </c>
      <c r="I212" s="118" t="s">
        <v>174</v>
      </c>
      <c r="K212" s="4" t="s">
        <v>18</v>
      </c>
      <c r="L212" s="4">
        <v>15000000</v>
      </c>
      <c r="M212" s="4">
        <v>15000000</v>
      </c>
      <c r="N212" s="4" t="s">
        <v>15</v>
      </c>
      <c r="O212" s="4">
        <v>17</v>
      </c>
      <c r="P212" s="4">
        <v>0.9</v>
      </c>
      <c r="Q212" s="4">
        <v>0.4</v>
      </c>
      <c r="R212" s="144" t="s">
        <v>283</v>
      </c>
      <c r="S212" s="117" t="s">
        <v>284</v>
      </c>
      <c r="W212" s="102" t="s">
        <v>20</v>
      </c>
      <c r="X212" s="195">
        <v>3.17</v>
      </c>
      <c r="Y212" s="195"/>
      <c r="Z212" s="103" t="s">
        <v>21</v>
      </c>
      <c r="AB212" s="102" t="s">
        <v>20</v>
      </c>
      <c r="AC212" s="195">
        <v>3.2</v>
      </c>
      <c r="AD212" s="195"/>
      <c r="AE212" s="103" t="s">
        <v>21</v>
      </c>
      <c r="AG212" s="102" t="s">
        <v>22</v>
      </c>
      <c r="AH212" s="4">
        <v>2.1999999999999999E-2</v>
      </c>
      <c r="AI212" s="4">
        <v>0</v>
      </c>
      <c r="AJ212" s="4" t="s">
        <v>23</v>
      </c>
      <c r="AL212" s="102" t="s">
        <v>22</v>
      </c>
      <c r="AM212" s="4">
        <v>2.1999999999999999E-2</v>
      </c>
      <c r="AN212" s="4">
        <v>0</v>
      </c>
      <c r="AO212" s="4" t="s">
        <v>23</v>
      </c>
      <c r="AQ212" s="102" t="s">
        <v>22</v>
      </c>
      <c r="AR212" s="4">
        <v>2.1999999999999999E-2</v>
      </c>
      <c r="AS212" s="4">
        <v>0</v>
      </c>
      <c r="AT212" s="4" t="s">
        <v>23</v>
      </c>
      <c r="AU212" s="4" t="s">
        <v>24</v>
      </c>
    </row>
    <row r="213" spans="1:47" x14ac:dyDescent="0.25">
      <c r="A213" s="4" t="s">
        <v>25</v>
      </c>
      <c r="B213" s="4">
        <f>-B212*0.1</f>
        <v>-100000</v>
      </c>
      <c r="C213" s="4">
        <f>-C212*0.1</f>
        <v>-100000</v>
      </c>
      <c r="D213" s="4" t="s">
        <v>15</v>
      </c>
      <c r="E213" s="4">
        <v>17</v>
      </c>
      <c r="F213" s="4">
        <v>0.9</v>
      </c>
      <c r="G213" s="4">
        <v>0.4</v>
      </c>
      <c r="H213" s="144" t="s">
        <v>299</v>
      </c>
      <c r="I213" s="117" t="s">
        <v>175</v>
      </c>
      <c r="K213" s="4" t="s">
        <v>28</v>
      </c>
      <c r="L213" s="4">
        <f>-L212*0.1</f>
        <v>-1500000</v>
      </c>
      <c r="M213" s="4">
        <f>-M212*0.05</f>
        <v>-750000</v>
      </c>
      <c r="N213" s="4" t="s">
        <v>15</v>
      </c>
      <c r="O213" s="4">
        <v>17</v>
      </c>
      <c r="P213" s="4">
        <v>0.9</v>
      </c>
      <c r="Q213" s="4">
        <v>0.4</v>
      </c>
      <c r="R213" s="144" t="s">
        <v>26</v>
      </c>
      <c r="S213" s="117" t="s">
        <v>176</v>
      </c>
      <c r="W213" s="102" t="s">
        <v>31</v>
      </c>
      <c r="X213" s="195">
        <v>11.89</v>
      </c>
      <c r="Y213" s="195"/>
      <c r="Z213" s="103" t="s">
        <v>32</v>
      </c>
      <c r="AB213" s="102" t="s">
        <v>31</v>
      </c>
      <c r="AC213" s="195">
        <v>11.39</v>
      </c>
      <c r="AD213" s="195"/>
      <c r="AE213" s="103" t="s">
        <v>32</v>
      </c>
      <c r="AG213" s="102" t="s">
        <v>33</v>
      </c>
      <c r="AH213" s="94">
        <v>0.53</v>
      </c>
      <c r="AI213" s="94">
        <v>0.61</v>
      </c>
      <c r="AJ213" s="103" t="s">
        <v>34</v>
      </c>
      <c r="AL213" s="102" t="s">
        <v>35</v>
      </c>
      <c r="AM213" s="94">
        <v>0.52</v>
      </c>
      <c r="AN213" s="94">
        <v>0.6</v>
      </c>
      <c r="AO213" s="103" t="s">
        <v>34</v>
      </c>
      <c r="AQ213" s="102" t="s">
        <v>35</v>
      </c>
      <c r="AR213" s="94">
        <v>0.45</v>
      </c>
      <c r="AS213" s="94">
        <v>0.56000000000000005</v>
      </c>
      <c r="AT213" s="103" t="s">
        <v>34</v>
      </c>
      <c r="AU213" s="4" t="s">
        <v>36</v>
      </c>
    </row>
    <row r="214" spans="1:47" x14ac:dyDescent="0.25">
      <c r="A214" s="4" t="s">
        <v>37</v>
      </c>
      <c r="B214" s="4">
        <f>(793000+106000+128000)/0.85</f>
        <v>1208235.294117647</v>
      </c>
      <c r="C214" s="4">
        <f>(793000+106000+128000)/0.85</f>
        <v>1208235.294117647</v>
      </c>
      <c r="D214" s="4" t="s">
        <v>38</v>
      </c>
      <c r="E214" s="4">
        <v>17</v>
      </c>
      <c r="F214" s="4">
        <v>0.9</v>
      </c>
      <c r="G214" s="4">
        <v>0.4</v>
      </c>
      <c r="H214" s="144" t="s">
        <v>324</v>
      </c>
      <c r="I214" s="117" t="s">
        <v>309</v>
      </c>
      <c r="K214" s="4" t="s">
        <v>41</v>
      </c>
      <c r="L214" s="4">
        <v>25</v>
      </c>
      <c r="M214" s="4">
        <v>25</v>
      </c>
      <c r="N214" s="4" t="s">
        <v>42</v>
      </c>
      <c r="O214" s="4">
        <v>17</v>
      </c>
      <c r="P214" s="4">
        <v>0.9</v>
      </c>
      <c r="Q214" s="4">
        <v>0.4</v>
      </c>
      <c r="R214" s="144" t="s">
        <v>43</v>
      </c>
      <c r="S214" s="117" t="s">
        <v>74</v>
      </c>
      <c r="W214" s="102" t="s">
        <v>45</v>
      </c>
      <c r="X214" s="196">
        <f>X212/X213</f>
        <v>0.26661059714045415</v>
      </c>
      <c r="Y214" s="196"/>
      <c r="Z214" s="103" t="s">
        <v>46</v>
      </c>
      <c r="AB214" s="102" t="s">
        <v>45</v>
      </c>
      <c r="AC214" s="196">
        <f>AC212/AC213</f>
        <v>0.28094820017559263</v>
      </c>
      <c r="AD214" s="196"/>
      <c r="AE214" s="103" t="s">
        <v>46</v>
      </c>
      <c r="AG214" s="102" t="s">
        <v>47</v>
      </c>
      <c r="AH214" s="109">
        <f>AH212/AH213</f>
        <v>4.1509433962264149E-2</v>
      </c>
      <c r="AI214" s="109">
        <f>AI212/AI213</f>
        <v>0</v>
      </c>
      <c r="AJ214" s="103" t="s">
        <v>46</v>
      </c>
      <c r="AL214" s="102" t="s">
        <v>22</v>
      </c>
      <c r="AM214" s="109">
        <f>AM212/AM213</f>
        <v>4.2307692307692303E-2</v>
      </c>
      <c r="AN214" s="109">
        <f>AN212/AN213</f>
        <v>0</v>
      </c>
      <c r="AO214" s="103" t="s">
        <v>46</v>
      </c>
      <c r="AQ214" s="102" t="s">
        <v>22</v>
      </c>
      <c r="AR214" s="109">
        <f>AR212/AR213</f>
        <v>4.8888888888888885E-2</v>
      </c>
      <c r="AS214" s="109">
        <f>AS212/AS213</f>
        <v>0</v>
      </c>
      <c r="AT214" s="103" t="s">
        <v>46</v>
      </c>
    </row>
    <row r="215" spans="1:47" x14ac:dyDescent="0.25">
      <c r="A215" s="4" t="s">
        <v>48</v>
      </c>
      <c r="B215" s="4">
        <v>9450</v>
      </c>
      <c r="C215" s="4">
        <v>9450</v>
      </c>
      <c r="D215" s="4" t="s">
        <v>49</v>
      </c>
      <c r="E215" s="4">
        <v>17</v>
      </c>
      <c r="F215" s="4">
        <v>0.9</v>
      </c>
      <c r="G215" s="4">
        <v>0.4</v>
      </c>
      <c r="H215" s="144" t="s">
        <v>323</v>
      </c>
      <c r="I215" s="117" t="s">
        <v>300</v>
      </c>
      <c r="K215" s="4" t="s">
        <v>52</v>
      </c>
      <c r="L215" s="4">
        <f>(84000+127000+122000+82000)/0.85</f>
        <v>488235.29411764705</v>
      </c>
      <c r="M215" s="4">
        <f>(84000+127000+122000+82000)/0.85</f>
        <v>488235.29411764705</v>
      </c>
      <c r="N215" s="4" t="s">
        <v>38</v>
      </c>
      <c r="O215" s="4">
        <v>17</v>
      </c>
      <c r="P215" s="4">
        <v>0.9</v>
      </c>
      <c r="Q215" s="4">
        <v>0.4</v>
      </c>
      <c r="R215" s="144" t="s">
        <v>9</v>
      </c>
      <c r="S215" s="117" t="s">
        <v>310</v>
      </c>
      <c r="W215" s="102" t="s">
        <v>54</v>
      </c>
      <c r="X215" s="4">
        <f>L216*X214</f>
        <v>172.49705634987384</v>
      </c>
      <c r="Y215" s="4">
        <f>M216*X214</f>
        <v>159.9663582842725</v>
      </c>
      <c r="Z215" s="103" t="s">
        <v>55</v>
      </c>
      <c r="AB215" s="102" t="s">
        <v>54</v>
      </c>
      <c r="AC215" s="4">
        <f>L228*AC214</f>
        <v>181.77348551360842</v>
      </c>
      <c r="AD215" s="4">
        <f>M228*AC214</f>
        <v>168.56892010535557</v>
      </c>
      <c r="AE215" s="103" t="s">
        <v>55</v>
      </c>
      <c r="AG215" s="102" t="s">
        <v>54</v>
      </c>
      <c r="AH215" s="4">
        <f>AH214*L241</f>
        <v>24.449056603773585</v>
      </c>
      <c r="AI215" s="4">
        <f>AI214*M241</f>
        <v>0</v>
      </c>
      <c r="AJ215" s="103" t="s">
        <v>55</v>
      </c>
      <c r="AL215" s="102" t="s">
        <v>54</v>
      </c>
      <c r="AM215" s="4">
        <f>AM214*L253</f>
        <v>24.919230769230765</v>
      </c>
      <c r="AN215" s="4">
        <f>AN214*M253</f>
        <v>0</v>
      </c>
      <c r="AO215" s="103" t="s">
        <v>55</v>
      </c>
      <c r="AQ215" s="102" t="s">
        <v>54</v>
      </c>
      <c r="AR215" s="4">
        <f>AR214*L265</f>
        <v>31.631111111111107</v>
      </c>
      <c r="AS215" s="4">
        <f>AS214*M265</f>
        <v>0</v>
      </c>
      <c r="AT215" s="103" t="s">
        <v>55</v>
      </c>
    </row>
    <row r="216" spans="1:47" ht="15.75" thickBot="1" x14ac:dyDescent="0.3">
      <c r="A216" s="4" t="s">
        <v>56</v>
      </c>
      <c r="B216" s="150">
        <f>51%/C206</f>
        <v>0.68</v>
      </c>
      <c r="C216" s="150">
        <f>51%/C206</f>
        <v>0.68</v>
      </c>
      <c r="D216" s="4" t="s">
        <v>57</v>
      </c>
      <c r="E216" s="4">
        <v>17</v>
      </c>
      <c r="F216" s="4">
        <v>0.9</v>
      </c>
      <c r="G216" s="4">
        <v>0.4</v>
      </c>
      <c r="H216" s="144" t="s">
        <v>16</v>
      </c>
      <c r="I216" s="117" t="s">
        <v>301</v>
      </c>
      <c r="K216" s="4" t="s">
        <v>59</v>
      </c>
      <c r="L216" s="4">
        <v>647</v>
      </c>
      <c r="M216" s="4">
        <v>600</v>
      </c>
      <c r="N216" s="4" t="s">
        <v>60</v>
      </c>
      <c r="O216" s="4">
        <v>17</v>
      </c>
      <c r="P216" s="4">
        <v>0.9</v>
      </c>
      <c r="Q216" s="4">
        <v>0.4</v>
      </c>
      <c r="R216" s="144" t="s">
        <v>43</v>
      </c>
      <c r="S216" s="117" t="s">
        <v>177</v>
      </c>
      <c r="W216" s="104" t="s">
        <v>62</v>
      </c>
      <c r="X216" s="105">
        <f>X211/1000*X215</f>
        <v>0</v>
      </c>
      <c r="Y216" s="105">
        <f>Y215/1000*Y211</f>
        <v>0</v>
      </c>
      <c r="Z216" s="106" t="s">
        <v>63</v>
      </c>
      <c r="AB216" s="104" t="s">
        <v>62</v>
      </c>
      <c r="AC216" s="105">
        <f>AC211/1000*AC215</f>
        <v>0</v>
      </c>
      <c r="AD216" s="105">
        <f>AD215/1000*AD211</f>
        <v>0</v>
      </c>
      <c r="AE216" s="106" t="s">
        <v>63</v>
      </c>
      <c r="AG216" s="104" t="s">
        <v>62</v>
      </c>
      <c r="AH216" s="105">
        <f>AH211/1000*AH215</f>
        <v>0</v>
      </c>
      <c r="AI216" s="105">
        <f>AI215/1000*AI211</f>
        <v>0</v>
      </c>
      <c r="AJ216" s="106" t="s">
        <v>63</v>
      </c>
      <c r="AL216" s="104" t="s">
        <v>62</v>
      </c>
      <c r="AM216" s="105">
        <f>AM211/1000*AM215</f>
        <v>0</v>
      </c>
      <c r="AN216" s="105">
        <f>AN215/1000*AN211</f>
        <v>0</v>
      </c>
      <c r="AO216" s="106" t="s">
        <v>63</v>
      </c>
      <c r="AQ216" s="104" t="s">
        <v>62</v>
      </c>
      <c r="AR216" s="105">
        <f>AR211/1000*AR215</f>
        <v>0</v>
      </c>
      <c r="AS216" s="105">
        <f>AS215/1000*AS211</f>
        <v>0</v>
      </c>
      <c r="AT216" s="106" t="s">
        <v>63</v>
      </c>
    </row>
    <row r="217" spans="1:47" x14ac:dyDescent="0.25">
      <c r="A217" s="4" t="s">
        <v>64</v>
      </c>
      <c r="B217" s="4">
        <v>120000</v>
      </c>
      <c r="C217" s="4">
        <v>120000</v>
      </c>
      <c r="D217" s="4" t="s">
        <v>65</v>
      </c>
      <c r="E217" s="4">
        <v>17</v>
      </c>
      <c r="F217" s="4">
        <v>0.9</v>
      </c>
      <c r="G217" s="4">
        <v>0.4</v>
      </c>
      <c r="H217" s="144" t="s">
        <v>305</v>
      </c>
      <c r="I217" s="117" t="s">
        <v>306</v>
      </c>
      <c r="K217" s="4" t="s">
        <v>67</v>
      </c>
      <c r="L217" s="4">
        <f t="shared" ref="L217:Q217" si="18">B6</f>
        <v>0.06</v>
      </c>
      <c r="M217" s="4">
        <f t="shared" si="18"/>
        <v>0.06</v>
      </c>
      <c r="N217" s="4" t="str">
        <f t="shared" si="18"/>
        <v>[€/kWh]</v>
      </c>
      <c r="O217" s="4">
        <f t="shared" si="18"/>
        <v>17</v>
      </c>
      <c r="P217" s="4">
        <f t="shared" si="18"/>
        <v>0.9</v>
      </c>
      <c r="Q217" s="4">
        <f t="shared" si="18"/>
        <v>0.4</v>
      </c>
      <c r="R217" s="144" t="s">
        <v>260</v>
      </c>
      <c r="S217" s="118" t="s">
        <v>293</v>
      </c>
    </row>
    <row r="218" spans="1:47" x14ac:dyDescent="0.25">
      <c r="A218" s="4" t="s">
        <v>70</v>
      </c>
      <c r="B218" s="4">
        <v>25</v>
      </c>
      <c r="C218" s="4">
        <v>25</v>
      </c>
      <c r="D218" s="4" t="s">
        <v>42</v>
      </c>
      <c r="E218" s="4">
        <v>17</v>
      </c>
      <c r="F218" s="4">
        <v>0.9</v>
      </c>
      <c r="G218" s="4">
        <v>0.4</v>
      </c>
      <c r="H218" s="144" t="s">
        <v>43</v>
      </c>
      <c r="I218" s="117" t="s">
        <v>74</v>
      </c>
      <c r="K218" s="4" t="s">
        <v>73</v>
      </c>
      <c r="L218" s="150">
        <v>0</v>
      </c>
      <c r="M218" s="150">
        <v>0</v>
      </c>
      <c r="N218" s="4" t="s">
        <v>57</v>
      </c>
      <c r="O218" s="4">
        <v>17</v>
      </c>
      <c r="P218" s="4">
        <v>0.9</v>
      </c>
      <c r="Q218" s="4">
        <v>0.4</v>
      </c>
      <c r="R218" s="144" t="s">
        <v>43</v>
      </c>
      <c r="S218" s="117" t="s">
        <v>74</v>
      </c>
    </row>
    <row r="219" spans="1:47" x14ac:dyDescent="0.25">
      <c r="A219" s="4" t="s">
        <v>262</v>
      </c>
      <c r="B219" s="4">
        <f>(100000*(1+(15380-15380)/15380)/118231)</f>
        <v>0.8458018624557011</v>
      </c>
      <c r="C219" s="4">
        <f>(100000*(1+(15380-15380)/15380)/118231)</f>
        <v>0.8458018624557011</v>
      </c>
      <c r="D219" s="4" t="s">
        <v>76</v>
      </c>
      <c r="E219" s="4">
        <v>17</v>
      </c>
      <c r="F219" s="4">
        <v>0.9</v>
      </c>
      <c r="G219" s="4">
        <v>0.4</v>
      </c>
      <c r="H219" s="144" t="s">
        <v>16</v>
      </c>
      <c r="I219" s="117" t="s">
        <v>308</v>
      </c>
      <c r="K219" s="4" t="s">
        <v>79</v>
      </c>
      <c r="L219" s="150">
        <v>0.06</v>
      </c>
      <c r="M219" s="150">
        <v>0.06</v>
      </c>
      <c r="N219" s="4" t="s">
        <v>57</v>
      </c>
      <c r="O219" s="4">
        <v>17</v>
      </c>
      <c r="P219" s="4">
        <v>0.9</v>
      </c>
      <c r="Q219" s="4">
        <v>0.4</v>
      </c>
      <c r="R219" s="144" t="s">
        <v>43</v>
      </c>
      <c r="S219" s="117" t="s">
        <v>74</v>
      </c>
      <c r="W219" s="4" t="s">
        <v>26</v>
      </c>
      <c r="X219" s="4" t="s">
        <v>80</v>
      </c>
    </row>
    <row r="220" spans="1:47" x14ac:dyDescent="0.25">
      <c r="E220" s="4">
        <f>100000/118231</f>
        <v>0.8458018624557011</v>
      </c>
      <c r="I220" s="117"/>
      <c r="K220" s="4" t="s">
        <v>81</v>
      </c>
      <c r="L220" s="4">
        <f>X216</f>
        <v>0</v>
      </c>
      <c r="M220" s="4">
        <f>Y216</f>
        <v>0</v>
      </c>
      <c r="N220" s="4" t="s">
        <v>76</v>
      </c>
      <c r="O220" s="4">
        <f>$E$4</f>
        <v>17</v>
      </c>
      <c r="P220" s="4">
        <f>$F$4</f>
        <v>0.9</v>
      </c>
      <c r="Q220" s="4">
        <f>$G$4</f>
        <v>0.4</v>
      </c>
      <c r="R220" s="144" t="s">
        <v>312</v>
      </c>
      <c r="S220" s="118" t="s">
        <v>178</v>
      </c>
      <c r="W220" s="4" t="s">
        <v>9</v>
      </c>
      <c r="X220" s="4" t="s">
        <v>179</v>
      </c>
    </row>
    <row r="221" spans="1:47" x14ac:dyDescent="0.25">
      <c r="I221" s="117"/>
      <c r="S221" s="117"/>
      <c r="W221" s="4" t="s">
        <v>16</v>
      </c>
      <c r="X221" s="4" t="s">
        <v>85</v>
      </c>
    </row>
    <row r="222" spans="1:47" x14ac:dyDescent="0.25">
      <c r="E222" s="4" t="s">
        <v>2</v>
      </c>
      <c r="H222" s="4" t="s">
        <v>3</v>
      </c>
      <c r="I222" s="117"/>
      <c r="O222" s="4" t="s">
        <v>2</v>
      </c>
      <c r="R222" s="4" t="s">
        <v>3</v>
      </c>
      <c r="W222" s="4" t="s">
        <v>43</v>
      </c>
      <c r="X222" s="4" t="s">
        <v>88</v>
      </c>
    </row>
    <row r="223" spans="1:47" x14ac:dyDescent="0.25">
      <c r="A223" s="25" t="s">
        <v>180</v>
      </c>
      <c r="B223" s="4">
        <v>2023</v>
      </c>
      <c r="C223" s="4">
        <v>2050</v>
      </c>
      <c r="D223" s="4" t="s">
        <v>5</v>
      </c>
      <c r="E223" s="4" t="s">
        <v>8</v>
      </c>
      <c r="F223" s="4" t="s">
        <v>9</v>
      </c>
      <c r="G223" s="4" t="s">
        <v>10</v>
      </c>
      <c r="I223" s="117"/>
      <c r="K223" s="25" t="s">
        <v>280</v>
      </c>
      <c r="L223" s="4">
        <v>2023</v>
      </c>
      <c r="M223" s="4">
        <v>2050</v>
      </c>
      <c r="N223" s="4" t="s">
        <v>5</v>
      </c>
      <c r="O223" s="4" t="s">
        <v>8</v>
      </c>
      <c r="P223" s="4" t="s">
        <v>9</v>
      </c>
      <c r="Q223" s="4" t="s">
        <v>10</v>
      </c>
      <c r="W223" s="4" t="s">
        <v>77</v>
      </c>
      <c r="X223" s="4" t="s">
        <v>92</v>
      </c>
    </row>
    <row r="224" spans="1:47" x14ac:dyDescent="0.25">
      <c r="A224" s="4" t="s">
        <v>14</v>
      </c>
      <c r="B224" s="113">
        <v>5000000</v>
      </c>
      <c r="C224" s="4">
        <v>5000000</v>
      </c>
      <c r="D224" s="4" t="s">
        <v>15</v>
      </c>
      <c r="E224" s="4">
        <v>17</v>
      </c>
      <c r="F224" s="4">
        <v>0.9</v>
      </c>
      <c r="G224" s="4">
        <v>0.4</v>
      </c>
      <c r="H224" s="144" t="s">
        <v>299</v>
      </c>
      <c r="I224" s="118" t="s">
        <v>174</v>
      </c>
      <c r="K224" s="4" t="s">
        <v>18</v>
      </c>
      <c r="L224" s="4">
        <v>15000000</v>
      </c>
      <c r="M224" s="4">
        <v>15000000</v>
      </c>
      <c r="N224" s="4" t="s">
        <v>15</v>
      </c>
      <c r="O224" s="4">
        <v>17</v>
      </c>
      <c r="P224" s="4">
        <v>0.9</v>
      </c>
      <c r="Q224" s="4">
        <v>0.4</v>
      </c>
      <c r="R224" s="144" t="s">
        <v>320</v>
      </c>
      <c r="S224" s="117" t="s">
        <v>284</v>
      </c>
      <c r="W224" s="4" t="s">
        <v>71</v>
      </c>
      <c r="X224" s="4" t="s">
        <v>181</v>
      </c>
    </row>
    <row r="225" spans="1:24" x14ac:dyDescent="0.25">
      <c r="A225" s="4" t="s">
        <v>25</v>
      </c>
      <c r="B225" s="4">
        <f>-B224*0.1</f>
        <v>-500000</v>
      </c>
      <c r="C225" s="4">
        <f>-C224*0.1</f>
        <v>-500000</v>
      </c>
      <c r="D225" s="4" t="s">
        <v>15</v>
      </c>
      <c r="E225" s="4">
        <v>17</v>
      </c>
      <c r="F225" s="4">
        <v>0.9</v>
      </c>
      <c r="G225" s="4">
        <v>0.4</v>
      </c>
      <c r="H225" s="144" t="s">
        <v>299</v>
      </c>
      <c r="I225" s="117" t="s">
        <v>175</v>
      </c>
      <c r="K225" s="4" t="s">
        <v>28</v>
      </c>
      <c r="L225" s="4">
        <f>-L224*0.1</f>
        <v>-1500000</v>
      </c>
      <c r="M225" s="4">
        <f>-M224*0.05</f>
        <v>-750000</v>
      </c>
      <c r="N225" s="4" t="s">
        <v>15</v>
      </c>
      <c r="O225" s="4">
        <v>17</v>
      </c>
      <c r="P225" s="4">
        <v>0.9</v>
      </c>
      <c r="Q225" s="4">
        <v>0.4</v>
      </c>
      <c r="R225" s="144" t="s">
        <v>26</v>
      </c>
      <c r="S225" s="117" t="s">
        <v>176</v>
      </c>
      <c r="W225" s="4" t="s">
        <v>82</v>
      </c>
      <c r="X225" s="4" t="s">
        <v>137</v>
      </c>
    </row>
    <row r="226" spans="1:24" x14ac:dyDescent="0.25">
      <c r="A226" s="4" t="s">
        <v>37</v>
      </c>
      <c r="B226" s="4">
        <f>(793000+106000+128000)/0.85</f>
        <v>1208235.294117647</v>
      </c>
      <c r="C226" s="4">
        <f>(793000+106000+128000)/0.85</f>
        <v>1208235.294117647</v>
      </c>
      <c r="D226" s="4" t="s">
        <v>38</v>
      </c>
      <c r="E226" s="4">
        <v>17</v>
      </c>
      <c r="F226" s="4">
        <v>0.9</v>
      </c>
      <c r="G226" s="4">
        <v>0.4</v>
      </c>
      <c r="H226" s="144" t="s">
        <v>324</v>
      </c>
      <c r="I226" s="117" t="s">
        <v>309</v>
      </c>
      <c r="K226" s="4" t="s">
        <v>41</v>
      </c>
      <c r="L226" s="4">
        <v>25</v>
      </c>
      <c r="M226" s="4">
        <v>25</v>
      </c>
      <c r="N226" s="4" t="s">
        <v>42</v>
      </c>
      <c r="O226" s="4">
        <v>17</v>
      </c>
      <c r="P226" s="4">
        <v>0.9</v>
      </c>
      <c r="Q226" s="4">
        <v>0.4</v>
      </c>
      <c r="R226" s="144" t="s">
        <v>43</v>
      </c>
      <c r="S226" s="117" t="s">
        <v>74</v>
      </c>
      <c r="W226" s="4" t="s">
        <v>95</v>
      </c>
      <c r="X226" s="4" t="s">
        <v>99</v>
      </c>
    </row>
    <row r="227" spans="1:24" x14ac:dyDescent="0.25">
      <c r="A227" s="4" t="s">
        <v>48</v>
      </c>
      <c r="B227" s="4">
        <v>9450</v>
      </c>
      <c r="C227" s="4">
        <v>9450</v>
      </c>
      <c r="D227" s="4" t="s">
        <v>49</v>
      </c>
      <c r="E227" s="4">
        <v>17</v>
      </c>
      <c r="F227" s="4">
        <v>0.9</v>
      </c>
      <c r="G227" s="4">
        <v>0.4</v>
      </c>
      <c r="H227" s="144" t="s">
        <v>323</v>
      </c>
      <c r="I227" s="117" t="s">
        <v>300</v>
      </c>
      <c r="K227" s="4" t="s">
        <v>52</v>
      </c>
      <c r="L227" s="4">
        <f>(84000+127000+122000+82000)/0.85</f>
        <v>488235.29411764705</v>
      </c>
      <c r="M227" s="4">
        <f>(84000+127000+122000+82000)/0.85</f>
        <v>488235.29411764705</v>
      </c>
      <c r="N227" s="4" t="s">
        <v>38</v>
      </c>
      <c r="O227" s="4">
        <v>17</v>
      </c>
      <c r="P227" s="4">
        <v>0.9</v>
      </c>
      <c r="Q227" s="4">
        <v>0.4</v>
      </c>
      <c r="R227" s="144" t="s">
        <v>9</v>
      </c>
      <c r="S227" s="117" t="s">
        <v>310</v>
      </c>
      <c r="W227" s="4" t="s">
        <v>97</v>
      </c>
      <c r="X227" s="4" t="s">
        <v>24</v>
      </c>
    </row>
    <row r="228" spans="1:24" x14ac:dyDescent="0.25">
      <c r="A228" s="4" t="s">
        <v>56</v>
      </c>
      <c r="B228" s="150">
        <f>43%/C206</f>
        <v>0.57333333333333336</v>
      </c>
      <c r="C228" s="150">
        <f>43%/C206</f>
        <v>0.57333333333333336</v>
      </c>
      <c r="D228" s="4" t="s">
        <v>57</v>
      </c>
      <c r="E228" s="4">
        <v>17</v>
      </c>
      <c r="F228" s="4">
        <v>0.9</v>
      </c>
      <c r="G228" s="4">
        <v>0.4</v>
      </c>
      <c r="H228" s="144" t="s">
        <v>16</v>
      </c>
      <c r="I228" s="117" t="s">
        <v>302</v>
      </c>
      <c r="K228" s="4" t="s">
        <v>59</v>
      </c>
      <c r="L228" s="4">
        <v>647</v>
      </c>
      <c r="M228" s="4">
        <v>600</v>
      </c>
      <c r="N228" s="4" t="s">
        <v>60</v>
      </c>
      <c r="O228" s="4">
        <v>17</v>
      </c>
      <c r="P228" s="4">
        <v>0.9</v>
      </c>
      <c r="Q228" s="4">
        <v>0.4</v>
      </c>
      <c r="R228" s="144" t="s">
        <v>43</v>
      </c>
      <c r="S228" s="117" t="s">
        <v>177</v>
      </c>
      <c r="W228" s="4" t="s">
        <v>69</v>
      </c>
      <c r="X228" s="4" t="s">
        <v>36</v>
      </c>
    </row>
    <row r="229" spans="1:24" x14ac:dyDescent="0.25">
      <c r="A229" s="4" t="s">
        <v>64</v>
      </c>
      <c r="B229" s="4">
        <v>120000</v>
      </c>
      <c r="C229" s="4">
        <v>120000</v>
      </c>
      <c r="D229" s="4" t="s">
        <v>65</v>
      </c>
      <c r="E229" s="4">
        <v>17</v>
      </c>
      <c r="F229" s="4">
        <v>0.9</v>
      </c>
      <c r="G229" s="4">
        <v>0.4</v>
      </c>
      <c r="H229" s="144" t="s">
        <v>305</v>
      </c>
      <c r="I229" s="117" t="s">
        <v>306</v>
      </c>
      <c r="K229" s="4" t="s">
        <v>67</v>
      </c>
      <c r="L229" s="4">
        <f t="shared" ref="L229:Q229" si="19">B7</f>
        <v>3.1399999999999997E-2</v>
      </c>
      <c r="M229" s="4">
        <f t="shared" si="19"/>
        <v>3.1399999999999997E-2</v>
      </c>
      <c r="N229" s="4" t="str">
        <f t="shared" si="19"/>
        <v>[€/kWh]</v>
      </c>
      <c r="O229" s="4">
        <f t="shared" si="19"/>
        <v>17</v>
      </c>
      <c r="P229" s="4">
        <f t="shared" si="19"/>
        <v>0.9</v>
      </c>
      <c r="Q229" s="4">
        <f t="shared" si="19"/>
        <v>0.4</v>
      </c>
      <c r="R229" s="144" t="s">
        <v>43</v>
      </c>
      <c r="S229" s="118" t="s">
        <v>294</v>
      </c>
      <c r="W229" s="4" t="s">
        <v>10</v>
      </c>
      <c r="X229" s="4" t="s">
        <v>135</v>
      </c>
    </row>
    <row r="230" spans="1:24" x14ac:dyDescent="0.25">
      <c r="A230" s="4" t="s">
        <v>70</v>
      </c>
      <c r="B230" s="4">
        <v>25</v>
      </c>
      <c r="C230" s="4">
        <v>25</v>
      </c>
      <c r="D230" s="4" t="s">
        <v>42</v>
      </c>
      <c r="E230" s="4">
        <v>17</v>
      </c>
      <c r="F230" s="4">
        <v>0.9</v>
      </c>
      <c r="G230" s="4">
        <v>0.4</v>
      </c>
      <c r="H230" s="144" t="s">
        <v>43</v>
      </c>
      <c r="I230" s="117" t="s">
        <v>74</v>
      </c>
      <c r="K230" s="4" t="s">
        <v>73</v>
      </c>
      <c r="L230" s="150">
        <v>0</v>
      </c>
      <c r="M230" s="150">
        <v>0</v>
      </c>
      <c r="N230" s="4" t="s">
        <v>57</v>
      </c>
      <c r="O230" s="4">
        <v>17</v>
      </c>
      <c r="P230" s="4">
        <v>0.9</v>
      </c>
      <c r="Q230" s="4">
        <v>0.4</v>
      </c>
      <c r="R230" s="144" t="s">
        <v>43</v>
      </c>
      <c r="S230" s="117" t="s">
        <v>74</v>
      </c>
      <c r="W230" s="4" t="s">
        <v>251</v>
      </c>
      <c r="X230" s="4" t="s">
        <v>282</v>
      </c>
    </row>
    <row r="231" spans="1:24" x14ac:dyDescent="0.25">
      <c r="A231" s="4" t="s">
        <v>262</v>
      </c>
      <c r="B231" s="4">
        <f>(100000*(1+(30707-15380)/15380)/118231)</f>
        <v>1.6886890630966982</v>
      </c>
      <c r="C231" s="4">
        <f>(100000*(1+(30707-15380)/15380)/118231)</f>
        <v>1.6886890630966982</v>
      </c>
      <c r="D231" s="4" t="s">
        <v>76</v>
      </c>
      <c r="E231" s="4">
        <v>17</v>
      </c>
      <c r="F231" s="4">
        <v>0.9</v>
      </c>
      <c r="G231" s="4">
        <v>0.4</v>
      </c>
      <c r="H231" s="144" t="s">
        <v>16</v>
      </c>
      <c r="I231" s="117" t="s">
        <v>308</v>
      </c>
      <c r="K231" s="4" t="s">
        <v>79</v>
      </c>
      <c r="L231" s="150">
        <v>0.06</v>
      </c>
      <c r="M231" s="150">
        <v>0.06</v>
      </c>
      <c r="N231" s="4" t="s">
        <v>57</v>
      </c>
      <c r="O231" s="4">
        <v>17</v>
      </c>
      <c r="P231" s="4">
        <v>0.9</v>
      </c>
      <c r="Q231" s="4">
        <v>0.4</v>
      </c>
      <c r="R231" s="144" t="s">
        <v>43</v>
      </c>
      <c r="S231" s="117" t="s">
        <v>74</v>
      </c>
      <c r="W231" s="4" t="s">
        <v>255</v>
      </c>
      <c r="X231" s="4" t="s">
        <v>287</v>
      </c>
    </row>
    <row r="232" spans="1:24" x14ac:dyDescent="0.25">
      <c r="I232" s="117"/>
      <c r="K232" s="4" t="s">
        <v>81</v>
      </c>
      <c r="L232" s="4">
        <f>AC216</f>
        <v>0</v>
      </c>
      <c r="M232" s="4">
        <f>AD216</f>
        <v>0</v>
      </c>
      <c r="N232" s="4" t="s">
        <v>76</v>
      </c>
      <c r="O232" s="4">
        <f>$E$4</f>
        <v>17</v>
      </c>
      <c r="P232" s="4">
        <f>$F$4</f>
        <v>0.9</v>
      </c>
      <c r="Q232" s="4">
        <f>$G$4</f>
        <v>0.4</v>
      </c>
      <c r="R232" s="144" t="s">
        <v>312</v>
      </c>
      <c r="S232" s="118" t="s">
        <v>286</v>
      </c>
      <c r="W232" s="4" t="s">
        <v>260</v>
      </c>
      <c r="X232" s="4" t="s">
        <v>295</v>
      </c>
    </row>
    <row r="233" spans="1:24" x14ac:dyDescent="0.25">
      <c r="I233" s="117"/>
    </row>
    <row r="234" spans="1:24" x14ac:dyDescent="0.25">
      <c r="E234" s="4" t="s">
        <v>2</v>
      </c>
      <c r="H234" s="4" t="s">
        <v>3</v>
      </c>
      <c r="I234" s="117"/>
    </row>
    <row r="235" spans="1:24" x14ac:dyDescent="0.25">
      <c r="A235" s="25" t="s">
        <v>185</v>
      </c>
      <c r="B235" s="4">
        <v>2023</v>
      </c>
      <c r="C235" s="4">
        <v>2050</v>
      </c>
      <c r="D235" s="4" t="s">
        <v>5</v>
      </c>
      <c r="E235" s="4" t="s">
        <v>8</v>
      </c>
      <c r="F235" s="4" t="s">
        <v>9</v>
      </c>
      <c r="G235" s="4" t="s">
        <v>10</v>
      </c>
      <c r="I235" s="117"/>
      <c r="O235" s="4" t="s">
        <v>2</v>
      </c>
      <c r="R235" s="4" t="s">
        <v>3</v>
      </c>
      <c r="S235" s="117"/>
    </row>
    <row r="236" spans="1:24" x14ac:dyDescent="0.25">
      <c r="A236" s="4" t="s">
        <v>14</v>
      </c>
      <c r="B236" s="113">
        <v>1000000</v>
      </c>
      <c r="C236" s="4">
        <v>1000000</v>
      </c>
      <c r="D236" s="4" t="s">
        <v>15</v>
      </c>
      <c r="E236" s="4">
        <v>17</v>
      </c>
      <c r="F236" s="4">
        <v>0.9</v>
      </c>
      <c r="G236" s="4">
        <v>0.4</v>
      </c>
      <c r="H236" s="144" t="s">
        <v>299</v>
      </c>
      <c r="I236" s="118" t="s">
        <v>174</v>
      </c>
      <c r="K236" s="25" t="s">
        <v>103</v>
      </c>
      <c r="L236" s="4">
        <v>2023</v>
      </c>
      <c r="M236" s="4">
        <v>2050</v>
      </c>
      <c r="N236" s="4" t="s">
        <v>5</v>
      </c>
      <c r="O236" s="4" t="s">
        <v>8</v>
      </c>
      <c r="P236" s="4" t="s">
        <v>9</v>
      </c>
      <c r="Q236" s="4" t="s">
        <v>10</v>
      </c>
      <c r="S236" s="117"/>
    </row>
    <row r="237" spans="1:24" x14ac:dyDescent="0.25">
      <c r="A237" s="4" t="s">
        <v>25</v>
      </c>
      <c r="B237" s="4">
        <f>-B236*0.1</f>
        <v>-100000</v>
      </c>
      <c r="C237" s="4">
        <f>-C236*0.1</f>
        <v>-100000</v>
      </c>
      <c r="D237" s="4" t="s">
        <v>15</v>
      </c>
      <c r="E237" s="4">
        <v>17</v>
      </c>
      <c r="F237" s="4">
        <v>0.9</v>
      </c>
      <c r="G237" s="4">
        <v>0.4</v>
      </c>
      <c r="H237" s="144" t="s">
        <v>299</v>
      </c>
      <c r="I237" s="117" t="s">
        <v>175</v>
      </c>
      <c r="K237" s="4" t="s">
        <v>18</v>
      </c>
      <c r="L237" s="4">
        <f>L212*2</f>
        <v>30000000</v>
      </c>
      <c r="M237" s="4">
        <f>M212*1.3</f>
        <v>19500000</v>
      </c>
      <c r="N237" s="4" t="s">
        <v>15</v>
      </c>
      <c r="O237" s="4">
        <v>17</v>
      </c>
      <c r="P237" s="4">
        <v>0.9</v>
      </c>
      <c r="Q237" s="4">
        <v>0.4</v>
      </c>
      <c r="R237" s="144" t="s">
        <v>321</v>
      </c>
      <c r="S237" s="117" t="s">
        <v>285</v>
      </c>
    </row>
    <row r="238" spans="1:24" x14ac:dyDescent="0.25">
      <c r="A238" s="4" t="s">
        <v>37</v>
      </c>
      <c r="B238" s="4">
        <f>(793000+106000+128000)/0.85</f>
        <v>1208235.294117647</v>
      </c>
      <c r="C238" s="4">
        <f>(793000+106000+128000)/0.85</f>
        <v>1208235.294117647</v>
      </c>
      <c r="D238" s="4" t="s">
        <v>38</v>
      </c>
      <c r="E238" s="4">
        <v>17</v>
      </c>
      <c r="F238" s="4">
        <v>0.9</v>
      </c>
      <c r="G238" s="4">
        <v>0.4</v>
      </c>
      <c r="H238" s="144" t="s">
        <v>324</v>
      </c>
      <c r="I238" s="117" t="s">
        <v>309</v>
      </c>
      <c r="K238" s="4" t="s">
        <v>28</v>
      </c>
      <c r="L238" s="4">
        <f>-L237*0.05</f>
        <v>-1500000</v>
      </c>
      <c r="M238" s="4">
        <f>-M237*0.1</f>
        <v>-1950000</v>
      </c>
      <c r="N238" s="4" t="s">
        <v>15</v>
      </c>
      <c r="O238" s="4">
        <v>17</v>
      </c>
      <c r="P238" s="4">
        <v>0.9</v>
      </c>
      <c r="Q238" s="4">
        <v>0.4</v>
      </c>
      <c r="R238" s="144" t="s">
        <v>26</v>
      </c>
      <c r="S238" s="117" t="s">
        <v>182</v>
      </c>
    </row>
    <row r="239" spans="1:24" x14ac:dyDescent="0.25">
      <c r="A239" s="4" t="s">
        <v>48</v>
      </c>
      <c r="B239" s="4">
        <v>9450</v>
      </c>
      <c r="C239" s="4">
        <v>9450</v>
      </c>
      <c r="D239" s="4" t="s">
        <v>49</v>
      </c>
      <c r="E239" s="4">
        <v>17</v>
      </c>
      <c r="F239" s="4">
        <v>0.9</v>
      </c>
      <c r="G239" s="4">
        <v>0.4</v>
      </c>
      <c r="H239" s="144" t="s">
        <v>323</v>
      </c>
      <c r="I239" s="117" t="s">
        <v>300</v>
      </c>
      <c r="K239" s="4" t="s">
        <v>41</v>
      </c>
      <c r="L239" s="4">
        <v>25</v>
      </c>
      <c r="M239" s="4">
        <v>25</v>
      </c>
      <c r="N239" s="4" t="s">
        <v>42</v>
      </c>
      <c r="O239" s="4">
        <v>17</v>
      </c>
      <c r="P239" s="4">
        <v>0.9</v>
      </c>
      <c r="Q239" s="4">
        <v>0.4</v>
      </c>
      <c r="R239" s="144" t="s">
        <v>43</v>
      </c>
      <c r="S239" s="117" t="s">
        <v>74</v>
      </c>
    </row>
    <row r="240" spans="1:24" x14ac:dyDescent="0.25">
      <c r="A240" s="4" t="s">
        <v>56</v>
      </c>
      <c r="B240" s="150">
        <f>39%/C206</f>
        <v>0.52</v>
      </c>
      <c r="C240" s="150">
        <f>39%/C206</f>
        <v>0.52</v>
      </c>
      <c r="D240" s="4" t="s">
        <v>57</v>
      </c>
      <c r="E240" s="4">
        <v>17</v>
      </c>
      <c r="F240" s="4">
        <v>0.9</v>
      </c>
      <c r="G240" s="4">
        <v>0.4</v>
      </c>
      <c r="H240" s="144" t="s">
        <v>16</v>
      </c>
      <c r="I240" s="117" t="s">
        <v>303</v>
      </c>
      <c r="K240" s="4" t="s">
        <v>52</v>
      </c>
      <c r="L240" s="4">
        <f>(84000+122000+82000)/0.85</f>
        <v>338823.5294117647</v>
      </c>
      <c r="M240" s="4">
        <f>(84000+122000+82000)/0.85</f>
        <v>338823.5294117647</v>
      </c>
      <c r="N240" s="4" t="s">
        <v>38</v>
      </c>
      <c r="O240" s="4">
        <v>17</v>
      </c>
      <c r="P240" s="4">
        <v>0.9</v>
      </c>
      <c r="Q240" s="4">
        <v>0.4</v>
      </c>
      <c r="R240" s="144" t="s">
        <v>9</v>
      </c>
      <c r="S240" s="117" t="s">
        <v>311</v>
      </c>
    </row>
    <row r="241" spans="1:19" x14ac:dyDescent="0.25">
      <c r="A241" s="4" t="s">
        <v>64</v>
      </c>
      <c r="B241" s="4">
        <v>120000</v>
      </c>
      <c r="C241" s="4">
        <v>120000</v>
      </c>
      <c r="D241" s="4" t="s">
        <v>65</v>
      </c>
      <c r="E241" s="4">
        <v>17</v>
      </c>
      <c r="F241" s="4">
        <v>0.9</v>
      </c>
      <c r="G241" s="4">
        <v>0.4</v>
      </c>
      <c r="H241" s="144" t="s">
        <v>305</v>
      </c>
      <c r="I241" s="117" t="s">
        <v>306</v>
      </c>
      <c r="K241" s="4" t="s">
        <v>59</v>
      </c>
      <c r="L241" s="4">
        <v>589</v>
      </c>
      <c r="M241" s="4">
        <v>519</v>
      </c>
      <c r="N241" s="4" t="s">
        <v>60</v>
      </c>
      <c r="O241" s="4">
        <v>17</v>
      </c>
      <c r="P241" s="4">
        <v>0.9</v>
      </c>
      <c r="Q241" s="4">
        <v>0.4</v>
      </c>
      <c r="R241" s="144" t="s">
        <v>43</v>
      </c>
      <c r="S241" s="117" t="s">
        <v>183</v>
      </c>
    </row>
    <row r="242" spans="1:19" x14ac:dyDescent="0.25">
      <c r="A242" s="4" t="s">
        <v>70</v>
      </c>
      <c r="B242" s="4">
        <v>25</v>
      </c>
      <c r="C242" s="4">
        <v>25</v>
      </c>
      <c r="D242" s="4" t="s">
        <v>42</v>
      </c>
      <c r="E242" s="4">
        <v>17</v>
      </c>
      <c r="F242" s="4">
        <v>0.9</v>
      </c>
      <c r="G242" s="4">
        <v>0.4</v>
      </c>
      <c r="H242" s="144" t="s">
        <v>43</v>
      </c>
      <c r="I242" s="117" t="s">
        <v>74</v>
      </c>
      <c r="K242" s="4" t="s">
        <v>67</v>
      </c>
      <c r="L242" s="65">
        <f t="shared" ref="L242:Q242" si="20">B9</f>
        <v>0.2544561408768215</v>
      </c>
      <c r="M242" s="65">
        <f t="shared" si="20"/>
        <v>0.10949010032952979</v>
      </c>
      <c r="N242" s="65" t="str">
        <f t="shared" si="20"/>
        <v>[€/kWh]</v>
      </c>
      <c r="O242" s="65">
        <f t="shared" si="20"/>
        <v>12</v>
      </c>
      <c r="P242" s="65">
        <f t="shared" si="20"/>
        <v>0.9</v>
      </c>
      <c r="Q242" s="65">
        <f t="shared" si="20"/>
        <v>0.4</v>
      </c>
      <c r="R242" s="144" t="s">
        <v>43</v>
      </c>
      <c r="S242" s="118" t="s">
        <v>290</v>
      </c>
    </row>
    <row r="243" spans="1:19" x14ac:dyDescent="0.25">
      <c r="A243" s="4" t="s">
        <v>262</v>
      </c>
      <c r="B243" s="4">
        <f>(100000*(1+(14780-15380)/15380)/118231)</f>
        <v>0.81280569096848254</v>
      </c>
      <c r="C243" s="4">
        <f>(100000*(1+(14780-15380)/15380)/118231)</f>
        <v>0.81280569096848254</v>
      </c>
      <c r="D243" s="4" t="s">
        <v>76</v>
      </c>
      <c r="E243" s="4">
        <v>17</v>
      </c>
      <c r="F243" s="4">
        <v>0.9</v>
      </c>
      <c r="G243" s="4">
        <v>0.4</v>
      </c>
      <c r="H243" s="144" t="s">
        <v>16</v>
      </c>
      <c r="I243" s="117" t="s">
        <v>308</v>
      </c>
      <c r="K243" s="4" t="s">
        <v>73</v>
      </c>
      <c r="L243" s="150">
        <v>0.1</v>
      </c>
      <c r="M243" s="150">
        <v>0.08</v>
      </c>
      <c r="N243" s="4" t="s">
        <v>57</v>
      </c>
      <c r="O243" s="4">
        <v>17</v>
      </c>
      <c r="P243" s="4">
        <v>0.9</v>
      </c>
      <c r="Q243" s="4">
        <v>0.4</v>
      </c>
      <c r="R243" s="144" t="s">
        <v>255</v>
      </c>
      <c r="S243" s="117" t="s">
        <v>184</v>
      </c>
    </row>
    <row r="244" spans="1:19" x14ac:dyDescent="0.25">
      <c r="I244" s="117"/>
      <c r="K244" s="4" t="s">
        <v>79</v>
      </c>
      <c r="L244" s="150">
        <v>0.06</v>
      </c>
      <c r="M244" s="150">
        <v>0.06</v>
      </c>
      <c r="N244" s="4" t="s">
        <v>57</v>
      </c>
      <c r="O244" s="4">
        <v>17</v>
      </c>
      <c r="P244" s="4">
        <v>0.9</v>
      </c>
      <c r="Q244" s="4">
        <v>0.4</v>
      </c>
      <c r="R244" s="144" t="s">
        <v>43</v>
      </c>
      <c r="S244" s="117" t="s">
        <v>74</v>
      </c>
    </row>
    <row r="245" spans="1:19" x14ac:dyDescent="0.25">
      <c r="I245" s="117"/>
      <c r="K245" s="4" t="s">
        <v>81</v>
      </c>
      <c r="L245" s="4">
        <f>AH216</f>
        <v>0</v>
      </c>
      <c r="M245" s="4">
        <f>AI216</f>
        <v>0</v>
      </c>
      <c r="N245" s="4" t="s">
        <v>76</v>
      </c>
      <c r="O245" s="4">
        <f>$E$4</f>
        <v>17</v>
      </c>
      <c r="P245" s="4">
        <f>$F$4</f>
        <v>0.9</v>
      </c>
      <c r="Q245" s="4">
        <f>$G$4</f>
        <v>0.4</v>
      </c>
      <c r="R245" s="144" t="s">
        <v>313</v>
      </c>
      <c r="S245" s="118" t="s">
        <v>289</v>
      </c>
    </row>
    <row r="246" spans="1:19" x14ac:dyDescent="0.25">
      <c r="I246" s="117"/>
      <c r="S246" s="117"/>
    </row>
    <row r="247" spans="1:19" x14ac:dyDescent="0.25">
      <c r="E247" s="4" t="s">
        <v>2</v>
      </c>
      <c r="H247" s="4" t="s">
        <v>3</v>
      </c>
      <c r="I247" s="117"/>
      <c r="O247" s="4" t="s">
        <v>2</v>
      </c>
      <c r="R247" s="4" t="s">
        <v>3</v>
      </c>
      <c r="S247" s="117"/>
    </row>
    <row r="248" spans="1:19" x14ac:dyDescent="0.25">
      <c r="A248" s="25" t="s">
        <v>188</v>
      </c>
      <c r="B248" s="4">
        <v>2023</v>
      </c>
      <c r="C248" s="4">
        <v>2050</v>
      </c>
      <c r="D248" s="4" t="s">
        <v>5</v>
      </c>
      <c r="E248" s="4" t="s">
        <v>8</v>
      </c>
      <c r="F248" s="4" t="s">
        <v>9</v>
      </c>
      <c r="G248" s="4" t="s">
        <v>10</v>
      </c>
      <c r="I248" s="117"/>
      <c r="K248" s="25" t="s">
        <v>186</v>
      </c>
      <c r="L248" s="4">
        <v>2023</v>
      </c>
      <c r="M248" s="4">
        <v>2050</v>
      </c>
      <c r="N248" s="4" t="s">
        <v>5</v>
      </c>
      <c r="O248" s="4" t="s">
        <v>8</v>
      </c>
      <c r="P248" s="4" t="s">
        <v>9</v>
      </c>
      <c r="Q248" s="4" t="s">
        <v>10</v>
      </c>
      <c r="S248" s="117"/>
    </row>
    <row r="249" spans="1:19" x14ac:dyDescent="0.25">
      <c r="A249" s="4" t="s">
        <v>14</v>
      </c>
      <c r="B249" s="113">
        <v>1000000</v>
      </c>
      <c r="C249" s="4">
        <v>1000000</v>
      </c>
      <c r="D249" s="4" t="s">
        <v>15</v>
      </c>
      <c r="E249" s="4">
        <v>17</v>
      </c>
      <c r="F249" s="4">
        <v>0.9</v>
      </c>
      <c r="G249" s="4">
        <v>0.4</v>
      </c>
      <c r="H249" s="144" t="s">
        <v>299</v>
      </c>
      <c r="I249" s="118" t="s">
        <v>174</v>
      </c>
      <c r="K249" s="4" t="s">
        <v>18</v>
      </c>
      <c r="L249" s="4">
        <f>L212*2</f>
        <v>30000000</v>
      </c>
      <c r="M249" s="4">
        <f>M212*1.2</f>
        <v>18000000</v>
      </c>
      <c r="N249" s="4" t="s">
        <v>15</v>
      </c>
      <c r="O249" s="4">
        <v>17</v>
      </c>
      <c r="P249" s="4">
        <v>0.9</v>
      </c>
      <c r="Q249" s="4">
        <v>0.4</v>
      </c>
      <c r="R249" s="144" t="s">
        <v>320</v>
      </c>
      <c r="S249" s="117" t="s">
        <v>285</v>
      </c>
    </row>
    <row r="250" spans="1:19" x14ac:dyDescent="0.25">
      <c r="A250" s="4" t="s">
        <v>25</v>
      </c>
      <c r="B250" s="4">
        <f>-B249*0.1</f>
        <v>-100000</v>
      </c>
      <c r="C250" s="4">
        <f>-C249*0.1</f>
        <v>-100000</v>
      </c>
      <c r="D250" s="4" t="s">
        <v>15</v>
      </c>
      <c r="E250" s="4">
        <v>17</v>
      </c>
      <c r="F250" s="4">
        <v>0.9</v>
      </c>
      <c r="G250" s="4">
        <v>0.4</v>
      </c>
      <c r="H250" s="144" t="s">
        <v>299</v>
      </c>
      <c r="I250" s="117" t="s">
        <v>175</v>
      </c>
      <c r="K250" s="4" t="s">
        <v>28</v>
      </c>
      <c r="L250" s="4">
        <f>-L249*0.05</f>
        <v>-1500000</v>
      </c>
      <c r="M250" s="4">
        <f>-M249*0.1</f>
        <v>-1800000</v>
      </c>
      <c r="N250" s="4" t="s">
        <v>15</v>
      </c>
      <c r="O250" s="4">
        <v>17</v>
      </c>
      <c r="P250" s="4">
        <v>0.9</v>
      </c>
      <c r="Q250" s="4">
        <v>0.4</v>
      </c>
      <c r="R250" s="144" t="s">
        <v>26</v>
      </c>
      <c r="S250" s="117" t="s">
        <v>182</v>
      </c>
    </row>
    <row r="251" spans="1:19" x14ac:dyDescent="0.25">
      <c r="A251" s="4" t="s">
        <v>37</v>
      </c>
      <c r="B251" s="4">
        <f>(793000+106000+128000)/0.85</f>
        <v>1208235.294117647</v>
      </c>
      <c r="C251" s="4">
        <f>(793000+106000+128000)/0.85</f>
        <v>1208235.294117647</v>
      </c>
      <c r="D251" s="4" t="s">
        <v>38</v>
      </c>
      <c r="E251" s="4">
        <v>17</v>
      </c>
      <c r="F251" s="4">
        <v>0.9</v>
      </c>
      <c r="G251" s="4">
        <v>0.4</v>
      </c>
      <c r="H251" s="144" t="s">
        <v>324</v>
      </c>
      <c r="I251" s="117" t="s">
        <v>309</v>
      </c>
      <c r="K251" s="4" t="s">
        <v>41</v>
      </c>
      <c r="L251" s="4">
        <v>25</v>
      </c>
      <c r="M251" s="4">
        <v>25</v>
      </c>
      <c r="N251" s="4" t="s">
        <v>42</v>
      </c>
      <c r="O251" s="4">
        <v>17</v>
      </c>
      <c r="P251" s="4">
        <v>0.9</v>
      </c>
      <c r="Q251" s="4">
        <v>0.4</v>
      </c>
      <c r="R251" s="144" t="s">
        <v>43</v>
      </c>
      <c r="S251" s="117" t="s">
        <v>74</v>
      </c>
    </row>
    <row r="252" spans="1:19" x14ac:dyDescent="0.25">
      <c r="A252" s="4" t="s">
        <v>48</v>
      </c>
      <c r="B252" s="4">
        <v>9450</v>
      </c>
      <c r="C252" s="4">
        <v>9450</v>
      </c>
      <c r="D252" s="4" t="s">
        <v>49</v>
      </c>
      <c r="E252" s="4">
        <v>17</v>
      </c>
      <c r="F252" s="4">
        <v>0.9</v>
      </c>
      <c r="G252" s="4">
        <v>0.4</v>
      </c>
      <c r="H252" s="144" t="s">
        <v>323</v>
      </c>
      <c r="I252" s="117" t="s">
        <v>300</v>
      </c>
      <c r="K252" s="4" t="s">
        <v>52</v>
      </c>
      <c r="L252" s="4">
        <f>(84000+122000+82000)/0.85</f>
        <v>338823.5294117647</v>
      </c>
      <c r="M252" s="4">
        <f>(84000+122000+82000)/0.85</f>
        <v>338823.5294117647</v>
      </c>
      <c r="N252" s="4" t="s">
        <v>38</v>
      </c>
      <c r="O252" s="4">
        <v>17</v>
      </c>
      <c r="P252" s="4">
        <v>0.9</v>
      </c>
      <c r="Q252" s="4">
        <v>0.4</v>
      </c>
      <c r="R252" s="144" t="s">
        <v>9</v>
      </c>
      <c r="S252" s="117" t="s">
        <v>311</v>
      </c>
    </row>
    <row r="253" spans="1:19" x14ac:dyDescent="0.25">
      <c r="A253" s="4" t="s">
        <v>56</v>
      </c>
      <c r="B253" s="150">
        <f>51%/C206</f>
        <v>0.68</v>
      </c>
      <c r="C253" s="150">
        <f>51%/C206</f>
        <v>0.68</v>
      </c>
      <c r="D253" s="4" t="s">
        <v>57</v>
      </c>
      <c r="E253" s="4">
        <v>17</v>
      </c>
      <c r="F253" s="4">
        <v>0.9</v>
      </c>
      <c r="G253" s="4">
        <v>0.4</v>
      </c>
      <c r="H253" s="144" t="s">
        <v>16</v>
      </c>
      <c r="I253" s="117" t="s">
        <v>304</v>
      </c>
      <c r="K253" s="4" t="s">
        <v>59</v>
      </c>
      <c r="L253" s="4">
        <v>589</v>
      </c>
      <c r="M253" s="4">
        <v>519</v>
      </c>
      <c r="N253" s="4" t="s">
        <v>60</v>
      </c>
      <c r="O253" s="4">
        <v>17</v>
      </c>
      <c r="P253" s="4">
        <v>0.9</v>
      </c>
      <c r="Q253" s="4">
        <v>0.4</v>
      </c>
      <c r="R253" s="144" t="s">
        <v>43</v>
      </c>
      <c r="S253" s="117" t="s">
        <v>183</v>
      </c>
    </row>
    <row r="254" spans="1:19" x14ac:dyDescent="0.25">
      <c r="A254" s="4" t="s">
        <v>64</v>
      </c>
      <c r="B254" s="4">
        <v>120000</v>
      </c>
      <c r="C254" s="4">
        <v>120000</v>
      </c>
      <c r="D254" s="4" t="s">
        <v>65</v>
      </c>
      <c r="E254" s="4">
        <v>17</v>
      </c>
      <c r="F254" s="4">
        <v>0.9</v>
      </c>
      <c r="G254" s="4">
        <v>0.4</v>
      </c>
      <c r="H254" s="144" t="s">
        <v>305</v>
      </c>
      <c r="I254" s="117" t="s">
        <v>306</v>
      </c>
      <c r="K254" s="4" t="s">
        <v>67</v>
      </c>
      <c r="L254" s="4">
        <f t="shared" ref="L254:Q254" si="21">B10</f>
        <v>0.23976160758395154</v>
      </c>
      <c r="M254" s="4">
        <f t="shared" si="21"/>
        <v>0.11428118371505049</v>
      </c>
      <c r="N254" s="4" t="str">
        <f t="shared" si="21"/>
        <v>[€/kWh]</v>
      </c>
      <c r="O254" s="4">
        <f t="shared" si="21"/>
        <v>14</v>
      </c>
      <c r="P254" s="4">
        <f t="shared" si="21"/>
        <v>0.9</v>
      </c>
      <c r="Q254" s="4">
        <f t="shared" si="21"/>
        <v>0.4</v>
      </c>
      <c r="R254" s="144" t="s">
        <v>43</v>
      </c>
      <c r="S254" s="117" t="s">
        <v>290</v>
      </c>
    </row>
    <row r="255" spans="1:19" x14ac:dyDescent="0.25">
      <c r="A255" s="4" t="s">
        <v>70</v>
      </c>
      <c r="B255" s="4">
        <v>25</v>
      </c>
      <c r="C255" s="4">
        <v>25</v>
      </c>
      <c r="D255" s="4" t="s">
        <v>42</v>
      </c>
      <c r="E255" s="4">
        <v>17</v>
      </c>
      <c r="F255" s="4">
        <v>0.9</v>
      </c>
      <c r="G255" s="4">
        <v>0.4</v>
      </c>
      <c r="H255" s="144" t="s">
        <v>43</v>
      </c>
      <c r="I255" s="117" t="s">
        <v>74</v>
      </c>
      <c r="K255" s="4" t="s">
        <v>73</v>
      </c>
      <c r="L255" s="150">
        <v>0.08</v>
      </c>
      <c r="M255" s="150">
        <v>7.0000000000000007E-2</v>
      </c>
      <c r="N255" s="4" t="s">
        <v>57</v>
      </c>
      <c r="O255" s="4">
        <v>17</v>
      </c>
      <c r="P255" s="4">
        <v>0.9</v>
      </c>
      <c r="Q255" s="4">
        <v>0.4</v>
      </c>
      <c r="R255" s="144" t="s">
        <v>43</v>
      </c>
      <c r="S255" s="117" t="s">
        <v>184</v>
      </c>
    </row>
    <row r="256" spans="1:19" x14ac:dyDescent="0.25">
      <c r="A256" s="4" t="s">
        <v>262</v>
      </c>
      <c r="B256" s="4">
        <f>(100000*(1+(14780-15380)/15380)/118231)</f>
        <v>0.81280569096848254</v>
      </c>
      <c r="C256" s="4">
        <f>(100000*(1+(14780-15380)/15380)/118231)</f>
        <v>0.81280569096848254</v>
      </c>
      <c r="D256" s="4" t="s">
        <v>76</v>
      </c>
      <c r="E256" s="4">
        <v>17</v>
      </c>
      <c r="F256" s="4">
        <v>0.9</v>
      </c>
      <c r="G256" s="4">
        <v>0.4</v>
      </c>
      <c r="H256" s="144" t="s">
        <v>16</v>
      </c>
      <c r="I256" s="117" t="s">
        <v>308</v>
      </c>
      <c r="K256" s="4" t="s">
        <v>79</v>
      </c>
      <c r="L256" s="150">
        <v>0.06</v>
      </c>
      <c r="M256" s="150">
        <v>0.06</v>
      </c>
      <c r="N256" s="4" t="s">
        <v>57</v>
      </c>
      <c r="O256" s="4">
        <v>17</v>
      </c>
      <c r="P256" s="4">
        <v>0.9</v>
      </c>
      <c r="Q256" s="4">
        <v>0.4</v>
      </c>
      <c r="R256" s="144" t="s">
        <v>43</v>
      </c>
      <c r="S256" s="117" t="s">
        <v>74</v>
      </c>
    </row>
    <row r="257" spans="2:19" x14ac:dyDescent="0.25">
      <c r="I257" s="117"/>
      <c r="K257" s="4" t="s">
        <v>81</v>
      </c>
      <c r="L257" s="4">
        <f>AM216</f>
        <v>0</v>
      </c>
      <c r="M257" s="4">
        <f>AN216</f>
        <v>0</v>
      </c>
      <c r="N257" s="4" t="s">
        <v>76</v>
      </c>
      <c r="O257" s="4">
        <f>$E$4</f>
        <v>17</v>
      </c>
      <c r="P257" s="4">
        <f>$F$4</f>
        <v>0.9</v>
      </c>
      <c r="Q257" s="4">
        <f>$G$4</f>
        <v>0.4</v>
      </c>
      <c r="R257" s="144" t="s">
        <v>313</v>
      </c>
      <c r="S257" s="118" t="s">
        <v>297</v>
      </c>
    </row>
    <row r="258" spans="2:19" x14ac:dyDescent="0.25">
      <c r="S258" s="117"/>
    </row>
    <row r="259" spans="2:19" x14ac:dyDescent="0.25">
      <c r="O259" s="4" t="s">
        <v>2</v>
      </c>
      <c r="R259" s="4" t="s">
        <v>3</v>
      </c>
      <c r="S259" s="117"/>
    </row>
    <row r="260" spans="2:19" x14ac:dyDescent="0.25">
      <c r="K260" s="25" t="s">
        <v>187</v>
      </c>
      <c r="L260" s="4">
        <v>2023</v>
      </c>
      <c r="M260" s="4">
        <v>2050</v>
      </c>
      <c r="N260" s="4" t="s">
        <v>5</v>
      </c>
      <c r="O260" s="4" t="s">
        <v>8</v>
      </c>
      <c r="P260" s="4" t="s">
        <v>9</v>
      </c>
      <c r="Q260" s="4" t="s">
        <v>10</v>
      </c>
      <c r="S260" s="117"/>
    </row>
    <row r="261" spans="2:19" x14ac:dyDescent="0.25">
      <c r="K261" s="4" t="s">
        <v>18</v>
      </c>
      <c r="L261" s="4">
        <f>L212*1.3</f>
        <v>19500000</v>
      </c>
      <c r="M261" s="4">
        <f>M212</f>
        <v>15000000</v>
      </c>
      <c r="N261" s="4" t="s">
        <v>15</v>
      </c>
      <c r="O261" s="4">
        <v>17</v>
      </c>
      <c r="P261" s="4">
        <v>0.9</v>
      </c>
      <c r="Q261" s="4">
        <v>0.4</v>
      </c>
      <c r="R261" s="144" t="s">
        <v>322</v>
      </c>
      <c r="S261" s="117" t="s">
        <v>189</v>
      </c>
    </row>
    <row r="262" spans="2:19" x14ac:dyDescent="0.25">
      <c r="K262" s="4" t="s">
        <v>28</v>
      </c>
      <c r="L262" s="4">
        <f>-L261*0.05</f>
        <v>-975000</v>
      </c>
      <c r="M262" s="4">
        <f>-M261*0.1</f>
        <v>-1500000</v>
      </c>
      <c r="N262" s="4" t="s">
        <v>15</v>
      </c>
      <c r="O262" s="4">
        <v>17</v>
      </c>
      <c r="P262" s="4">
        <v>0.9</v>
      </c>
      <c r="Q262" s="4">
        <v>0.4</v>
      </c>
      <c r="R262" s="144" t="s">
        <v>26</v>
      </c>
      <c r="S262" s="117" t="s">
        <v>182</v>
      </c>
    </row>
    <row r="263" spans="2:19" x14ac:dyDescent="0.25">
      <c r="B263" s="150"/>
      <c r="K263" s="4" t="s">
        <v>41</v>
      </c>
      <c r="L263" s="4">
        <v>25</v>
      </c>
      <c r="M263" s="4">
        <v>25</v>
      </c>
      <c r="N263" s="4" t="s">
        <v>42</v>
      </c>
      <c r="O263" s="4">
        <v>17</v>
      </c>
      <c r="P263" s="4">
        <v>0.9</v>
      </c>
      <c r="Q263" s="4">
        <v>0.4</v>
      </c>
      <c r="R263" s="144" t="s">
        <v>43</v>
      </c>
      <c r="S263" s="117" t="s">
        <v>74</v>
      </c>
    </row>
    <row r="264" spans="2:19" x14ac:dyDescent="0.25">
      <c r="K264" s="4" t="s">
        <v>52</v>
      </c>
      <c r="L264" s="4">
        <f>(84000+127000+122000+82000)/0.85</f>
        <v>488235.29411764705</v>
      </c>
      <c r="M264" s="4">
        <f>(84000+127000+122000+82000)/0.85</f>
        <v>488235.29411764705</v>
      </c>
      <c r="N264" s="4" t="s">
        <v>38</v>
      </c>
      <c r="O264" s="4">
        <v>17</v>
      </c>
      <c r="P264" s="4">
        <v>0.9</v>
      </c>
      <c r="Q264" s="4">
        <v>0.4</v>
      </c>
      <c r="R264" s="144" t="s">
        <v>9</v>
      </c>
      <c r="S264" s="117" t="s">
        <v>310</v>
      </c>
    </row>
    <row r="265" spans="2:19" x14ac:dyDescent="0.25">
      <c r="K265" s="4" t="s">
        <v>59</v>
      </c>
      <c r="L265" s="4">
        <v>647</v>
      </c>
      <c r="M265" s="4">
        <v>600</v>
      </c>
      <c r="N265" s="4" t="s">
        <v>60</v>
      </c>
      <c r="O265" s="4">
        <v>17</v>
      </c>
      <c r="P265" s="4">
        <v>0.9</v>
      </c>
      <c r="Q265" s="4">
        <v>0.4</v>
      </c>
      <c r="R265" s="144" t="s">
        <v>43</v>
      </c>
      <c r="S265" s="117" t="s">
        <v>190</v>
      </c>
    </row>
    <row r="266" spans="2:19" x14ac:dyDescent="0.25">
      <c r="K266" s="4" t="s">
        <v>67</v>
      </c>
      <c r="L266" s="4">
        <f t="shared" ref="L266:Q266" si="22">B11</f>
        <v>0.46076973995226939</v>
      </c>
      <c r="M266" s="4">
        <f t="shared" si="22"/>
        <v>0.14224714585492179</v>
      </c>
      <c r="N266" s="4" t="str">
        <f t="shared" si="22"/>
        <v>[€/kWh]</v>
      </c>
      <c r="O266" s="4">
        <f t="shared" si="22"/>
        <v>17</v>
      </c>
      <c r="P266" s="4">
        <f t="shared" si="22"/>
        <v>0.9</v>
      </c>
      <c r="Q266" s="4">
        <f t="shared" si="22"/>
        <v>0.4</v>
      </c>
      <c r="R266" s="144" t="s">
        <v>260</v>
      </c>
      <c r="S266" s="117" t="s">
        <v>307</v>
      </c>
    </row>
    <row r="267" spans="2:19" x14ac:dyDescent="0.25">
      <c r="K267" s="4" t="s">
        <v>73</v>
      </c>
      <c r="L267" s="150">
        <v>0.04</v>
      </c>
      <c r="M267" s="150">
        <v>0.04</v>
      </c>
      <c r="N267" s="4" t="s">
        <v>57</v>
      </c>
      <c r="O267" s="4">
        <v>17</v>
      </c>
      <c r="P267" s="4">
        <v>0.9</v>
      </c>
      <c r="Q267" s="4">
        <v>0.4</v>
      </c>
      <c r="R267" s="144" t="s">
        <v>77</v>
      </c>
      <c r="S267" s="117" t="s">
        <v>191</v>
      </c>
    </row>
    <row r="268" spans="2:19" x14ac:dyDescent="0.25">
      <c r="K268" s="4" t="s">
        <v>79</v>
      </c>
      <c r="L268" s="150">
        <v>0.06</v>
      </c>
      <c r="M268" s="150">
        <v>0.06</v>
      </c>
      <c r="N268" s="4" t="s">
        <v>57</v>
      </c>
      <c r="O268" s="4">
        <v>17</v>
      </c>
      <c r="P268" s="4">
        <v>0.9</v>
      </c>
      <c r="Q268" s="4">
        <v>0.4</v>
      </c>
      <c r="R268" s="144" t="s">
        <v>43</v>
      </c>
      <c r="S268" s="117" t="s">
        <v>74</v>
      </c>
    </row>
    <row r="269" spans="2:19" x14ac:dyDescent="0.25">
      <c r="K269" s="4" t="s">
        <v>81</v>
      </c>
      <c r="L269" s="4">
        <f>AR216</f>
        <v>0</v>
      </c>
      <c r="M269" s="4">
        <f>AS216</f>
        <v>0</v>
      </c>
      <c r="N269" s="4" t="s">
        <v>76</v>
      </c>
      <c r="O269" s="4">
        <f>$E$4</f>
        <v>17</v>
      </c>
      <c r="P269" s="4">
        <f>$F$4</f>
        <v>0.9</v>
      </c>
      <c r="Q269" s="4">
        <f>$G$4</f>
        <v>0.4</v>
      </c>
      <c r="R269" s="144" t="s">
        <v>313</v>
      </c>
      <c r="S269" s="118" t="s">
        <v>296</v>
      </c>
    </row>
    <row r="272" spans="2:19" x14ac:dyDescent="0.25">
      <c r="S272" s="117"/>
    </row>
    <row r="273" spans="11:13" x14ac:dyDescent="0.25">
      <c r="K273" s="152" t="s">
        <v>298</v>
      </c>
      <c r="L273" s="152"/>
      <c r="M273" s="152"/>
    </row>
    <row r="274" spans="11:13" x14ac:dyDescent="0.25">
      <c r="K274" s="152" t="s">
        <v>192</v>
      </c>
      <c r="L274" s="152"/>
      <c r="M274" s="152"/>
    </row>
    <row r="275" spans="11:13" x14ac:dyDescent="0.25">
      <c r="K275" s="152" t="s">
        <v>193</v>
      </c>
      <c r="L275" s="152">
        <v>5.4722</v>
      </c>
      <c r="M275" s="152" t="s">
        <v>32</v>
      </c>
    </row>
    <row r="276" spans="11:13" x14ac:dyDescent="0.25">
      <c r="K276" s="152" t="s">
        <v>194</v>
      </c>
      <c r="L276" s="152">
        <v>4.3333000000000004</v>
      </c>
      <c r="M276" s="152" t="s">
        <v>145</v>
      </c>
    </row>
    <row r="296" spans="1:19" x14ac:dyDescent="0.25">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AC214:AD214"/>
    <mergeCell ref="X214:Y214"/>
    <mergeCell ref="X149:Y149"/>
    <mergeCell ref="X212:Y212"/>
    <mergeCell ref="X213:Y213"/>
    <mergeCell ref="AC212:AD212"/>
    <mergeCell ref="AC213:AD213"/>
    <mergeCell ref="X77:Y77"/>
    <mergeCell ref="X78:Y78"/>
    <mergeCell ref="X79:Y79"/>
    <mergeCell ref="X147:Y147"/>
    <mergeCell ref="X148:Y148"/>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7109375" bestFit="1" customWidth="1"/>
    <col min="9" max="10" width="24.28515625" bestFit="1" customWidth="1"/>
    <col min="11" max="11" width="8" bestFit="1" customWidth="1"/>
    <col min="12" max="13" width="4" bestFit="1" customWidth="1"/>
  </cols>
  <sheetData>
    <row r="1" spans="1:13" x14ac:dyDescent="0.25">
      <c r="A1" s="125" t="s">
        <v>232</v>
      </c>
      <c r="B1" s="125" t="s">
        <v>219</v>
      </c>
      <c r="C1" s="125" t="s">
        <v>220</v>
      </c>
      <c r="D1" s="125" t="s">
        <v>236</v>
      </c>
      <c r="E1" s="125" t="s">
        <v>249</v>
      </c>
      <c r="F1" s="125" t="s">
        <v>250</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25">
      <c r="A3">
        <v>2</v>
      </c>
      <c r="B3" t="s">
        <v>221</v>
      </c>
      <c r="C3" t="s">
        <v>11</v>
      </c>
      <c r="D3" t="s">
        <v>223</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25">
      <c r="A7">
        <v>6</v>
      </c>
      <c r="B7" t="s">
        <v>221</v>
      </c>
      <c r="C7" s="127" t="s">
        <v>87</v>
      </c>
      <c r="D7" t="s">
        <v>222</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25">
      <c r="A8">
        <v>7</v>
      </c>
      <c r="B8" t="s">
        <v>221</v>
      </c>
      <c r="C8" s="127" t="s">
        <v>87</v>
      </c>
      <c r="D8" t="s">
        <v>223</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25">
      <c r="A9">
        <v>8</v>
      </c>
      <c r="B9" t="s">
        <v>221</v>
      </c>
      <c r="C9" s="127" t="s">
        <v>87</v>
      </c>
      <c r="D9" t="s">
        <v>224</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25">
      <c r="A12">
        <v>11</v>
      </c>
      <c r="B12" t="s">
        <v>221</v>
      </c>
      <c r="C12" t="s">
        <v>103</v>
      </c>
      <c r="D12" t="s">
        <v>222</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25">
      <c r="A14">
        <v>13</v>
      </c>
      <c r="B14" t="s">
        <v>221</v>
      </c>
      <c r="C14" t="s">
        <v>103</v>
      </c>
      <c r="D14" t="s">
        <v>224</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25">
      <c r="A17">
        <v>16</v>
      </c>
      <c r="B17" t="s">
        <v>227</v>
      </c>
      <c r="C17" t="s">
        <v>11</v>
      </c>
      <c r="D17" t="s">
        <v>222</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25">
      <c r="A37">
        <v>36</v>
      </c>
      <c r="B37" t="s">
        <v>168</v>
      </c>
      <c r="C37" t="s">
        <v>279</v>
      </c>
      <c r="D37" t="s">
        <v>222</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25">
      <c r="A38">
        <v>37</v>
      </c>
      <c r="B38" t="s">
        <v>168</v>
      </c>
      <c r="C38" t="s">
        <v>279</v>
      </c>
      <c r="D38" t="s">
        <v>223</v>
      </c>
      <c r="E38" s="126">
        <f>'Parameter Input'!X$215</f>
        <v>172.49705634987384</v>
      </c>
      <c r="F38" s="126">
        <f>'Parameter Input'!Y$215</f>
        <v>159.9663582842725</v>
      </c>
      <c r="G38" s="129"/>
      <c r="H38" s="129"/>
      <c r="I38" s="131"/>
      <c r="J38" s="131"/>
      <c r="K38">
        <v>12</v>
      </c>
      <c r="L38">
        <v>0.9</v>
      </c>
      <c r="M38">
        <v>0.4</v>
      </c>
    </row>
    <row r="39" spans="1:13" x14ac:dyDescent="0.25">
      <c r="A39">
        <v>38</v>
      </c>
      <c r="B39" t="s">
        <v>168</v>
      </c>
      <c r="C39" t="s">
        <v>279</v>
      </c>
      <c r="D39" t="s">
        <v>224</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25">
      <c r="A40">
        <v>39</v>
      </c>
      <c r="B40" t="s">
        <v>168</v>
      </c>
      <c r="C40" t="s">
        <v>279</v>
      </c>
      <c r="D40" t="s">
        <v>225</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25">
      <c r="A41">
        <v>40</v>
      </c>
      <c r="B41" t="s">
        <v>168</v>
      </c>
      <c r="C41" t="s">
        <v>279</v>
      </c>
      <c r="D41" t="s">
        <v>226</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25">
      <c r="A42">
        <v>41</v>
      </c>
      <c r="B42" t="s">
        <v>168</v>
      </c>
      <c r="C42" t="s">
        <v>280</v>
      </c>
      <c r="D42" t="s">
        <v>222</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25">
      <c r="A43">
        <v>42</v>
      </c>
      <c r="B43" t="s">
        <v>168</v>
      </c>
      <c r="C43" t="s">
        <v>280</v>
      </c>
      <c r="D43" t="s">
        <v>223</v>
      </c>
      <c r="E43" s="126">
        <f>'Parameter Input'!AC$215</f>
        <v>181.77348551360842</v>
      </c>
      <c r="F43" s="126">
        <f>'Parameter Input'!AD$215</f>
        <v>168.56892010535557</v>
      </c>
      <c r="G43" s="153"/>
      <c r="H43" s="153"/>
      <c r="I43" s="131"/>
      <c r="J43" s="131"/>
      <c r="K43">
        <v>12</v>
      </c>
      <c r="L43">
        <v>0.9</v>
      </c>
      <c r="M43">
        <v>0.4</v>
      </c>
    </row>
    <row r="44" spans="1:13" x14ac:dyDescent="0.25">
      <c r="A44">
        <v>43</v>
      </c>
      <c r="B44" t="s">
        <v>168</v>
      </c>
      <c r="C44" t="s">
        <v>280</v>
      </c>
      <c r="D44" t="s">
        <v>224</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25">
      <c r="A45">
        <v>44</v>
      </c>
      <c r="B45" t="s">
        <v>168</v>
      </c>
      <c r="C45" t="s">
        <v>280</v>
      </c>
      <c r="D45" t="s">
        <v>225</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25">
      <c r="A46">
        <v>45</v>
      </c>
      <c r="B46" t="s">
        <v>168</v>
      </c>
      <c r="C46" t="s">
        <v>280</v>
      </c>
      <c r="D46" t="s">
        <v>226</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Input'!AH$215</f>
        <v>24.449056603773585</v>
      </c>
      <c r="F48" s="126">
        <f>'Parameter Input'!AI$215</f>
        <v>0</v>
      </c>
      <c r="G48" s="129"/>
      <c r="H48" s="129"/>
      <c r="I48" s="131"/>
      <c r="J48" s="131"/>
      <c r="K48">
        <v>12</v>
      </c>
      <c r="L48">
        <v>0.9</v>
      </c>
      <c r="M48">
        <v>0.4</v>
      </c>
    </row>
    <row r="49" spans="1:13" x14ac:dyDescent="0.25">
      <c r="A49">
        <v>48</v>
      </c>
      <c r="B49" t="s">
        <v>168</v>
      </c>
      <c r="C49" t="s">
        <v>103</v>
      </c>
      <c r="D49" t="s">
        <v>224</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25">
      <c r="A50">
        <v>49</v>
      </c>
      <c r="B50" t="s">
        <v>168</v>
      </c>
      <c r="C50" t="s">
        <v>103</v>
      </c>
      <c r="D50" t="s">
        <v>225</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25">
      <c r="A51">
        <v>50</v>
      </c>
      <c r="B51" t="s">
        <v>168</v>
      </c>
      <c r="C51" t="s">
        <v>103</v>
      </c>
      <c r="D51" t="s">
        <v>226</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Input'!AM$215</f>
        <v>24.919230769230765</v>
      </c>
      <c r="F53" s="126">
        <f>'Parameter Input'!AN$215</f>
        <v>0</v>
      </c>
      <c r="G53" s="129"/>
      <c r="H53" s="129"/>
      <c r="I53" s="131"/>
      <c r="J53" s="131"/>
      <c r="K53">
        <v>12</v>
      </c>
      <c r="L53">
        <v>0.9</v>
      </c>
      <c r="M53">
        <v>0.4</v>
      </c>
    </row>
    <row r="54" spans="1:13" x14ac:dyDescent="0.25">
      <c r="A54">
        <v>53</v>
      </c>
      <c r="B54" t="s">
        <v>168</v>
      </c>
      <c r="C54" t="s">
        <v>186</v>
      </c>
      <c r="D54" t="s">
        <v>224</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25">
      <c r="A55">
        <v>54</v>
      </c>
      <c r="B55" t="s">
        <v>168</v>
      </c>
      <c r="C55" t="s">
        <v>186</v>
      </c>
      <c r="D55" t="s">
        <v>225</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25">
      <c r="A56">
        <v>55</v>
      </c>
      <c r="B56" t="s">
        <v>168</v>
      </c>
      <c r="C56" t="s">
        <v>186</v>
      </c>
      <c r="D56" t="s">
        <v>226</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Input'!AR$215</f>
        <v>31.631111111111107</v>
      </c>
      <c r="F58" s="126">
        <f>'Parameter Input'!AS$215</f>
        <v>0</v>
      </c>
      <c r="G58" s="129"/>
      <c r="H58" s="129"/>
      <c r="I58" s="131"/>
      <c r="J58" s="131"/>
      <c r="K58">
        <v>12</v>
      </c>
      <c r="L58">
        <v>0.9</v>
      </c>
      <c r="M58">
        <v>0.4</v>
      </c>
    </row>
    <row r="59" spans="1:13" x14ac:dyDescent="0.25">
      <c r="A59">
        <v>58</v>
      </c>
      <c r="B59" t="s">
        <v>168</v>
      </c>
      <c r="C59" t="s">
        <v>187</v>
      </c>
      <c r="D59" t="s">
        <v>224</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25">
      <c r="A60">
        <v>59</v>
      </c>
      <c r="B60" t="s">
        <v>168</v>
      </c>
      <c r="C60" t="s">
        <v>187</v>
      </c>
      <c r="D60" t="s">
        <v>225</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25">
      <c r="A61">
        <v>60</v>
      </c>
      <c r="B61" t="s">
        <v>168</v>
      </c>
      <c r="C61" t="s">
        <v>187</v>
      </c>
      <c r="D61" t="s">
        <v>226</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zoomScale="70" zoomScaleNormal="70" workbookViewId="0">
      <selection activeCell="X57" sqref="X57"/>
    </sheetView>
  </sheetViews>
  <sheetFormatPr defaultColWidth="8.7109375" defaultRowHeight="15" x14ac:dyDescent="0.25"/>
  <cols>
    <col min="1" max="3" width="8.7109375" style="154"/>
    <col min="4" max="4" width="12.5703125" style="154" bestFit="1" customWidth="1"/>
    <col min="5" max="12" width="8.7109375" style="154"/>
    <col min="13" max="13" width="12.5703125" style="154" bestFit="1" customWidth="1"/>
    <col min="14" max="32" width="8.7109375" style="154"/>
    <col min="33" max="33" width="10.42578125" style="154" bestFit="1" customWidth="1"/>
    <col min="34" max="34" width="8.42578125" style="154" bestFit="1" customWidth="1"/>
    <col min="35" max="35" width="11.42578125" style="154" bestFit="1" customWidth="1"/>
    <col min="36" max="16384" width="8.7109375" style="154"/>
  </cols>
  <sheetData>
    <row r="1" spans="1:39" x14ac:dyDescent="0.25">
      <c r="H1" s="161" t="s">
        <v>424</v>
      </c>
      <c r="AG1" t="s">
        <v>415</v>
      </c>
      <c r="AH1" t="s">
        <v>416</v>
      </c>
      <c r="AI1" t="s">
        <v>417</v>
      </c>
      <c r="AJ1" t="s">
        <v>219</v>
      </c>
      <c r="AK1" t="s">
        <v>418</v>
      </c>
      <c r="AL1" t="s">
        <v>220</v>
      </c>
      <c r="AM1" t="s">
        <v>419</v>
      </c>
    </row>
    <row r="2" spans="1:39" x14ac:dyDescent="0.25">
      <c r="AG2" s="154" t="s">
        <v>423</v>
      </c>
      <c r="AH2" s="154" t="s">
        <v>420</v>
      </c>
      <c r="AI2" s="154">
        <v>2023</v>
      </c>
      <c r="AJ2" s="154" t="str">
        <f>A7</f>
        <v>Road</v>
      </c>
      <c r="AK2" s="154" t="str">
        <f>B7</f>
        <v>Dry bulk</v>
      </c>
      <c r="AL2" s="154" t="str">
        <f>C7</f>
        <v>Diesel</v>
      </c>
      <c r="AM2" s="164">
        <f>I7</f>
        <v>1</v>
      </c>
    </row>
    <row r="3" spans="1:39" x14ac:dyDescent="0.25">
      <c r="D3" s="197">
        <v>2023</v>
      </c>
      <c r="E3" s="197"/>
      <c r="F3" s="197"/>
      <c r="G3" s="197"/>
      <c r="H3" s="197"/>
      <c r="I3" s="197"/>
      <c r="J3" s="197"/>
      <c r="K3" s="197"/>
      <c r="M3" s="197">
        <v>2034</v>
      </c>
      <c r="N3" s="197"/>
      <c r="O3" s="197"/>
      <c r="P3" s="197"/>
      <c r="Q3" s="197"/>
      <c r="R3" s="197"/>
      <c r="S3" s="197"/>
      <c r="T3" s="197"/>
      <c r="W3" s="197">
        <v>2050</v>
      </c>
      <c r="X3" s="197"/>
      <c r="Y3" s="197"/>
      <c r="Z3" s="197"/>
      <c r="AA3" s="197"/>
      <c r="AB3" s="197"/>
      <c r="AC3" s="197"/>
      <c r="AD3" s="197"/>
      <c r="AE3" s="197"/>
      <c r="AG3" s="154" t="s">
        <v>87</v>
      </c>
      <c r="AH3" s="154" t="s">
        <v>420</v>
      </c>
      <c r="AI3" s="154">
        <v>2023</v>
      </c>
      <c r="AJ3" s="154" t="str">
        <f t="shared" ref="AJ3:AL3" si="0">A8</f>
        <v>Road</v>
      </c>
      <c r="AK3" s="154" t="str">
        <f t="shared" si="0"/>
        <v>Dry bulk</v>
      </c>
      <c r="AL3" s="154" t="str">
        <f t="shared" si="0"/>
        <v>Battery</v>
      </c>
      <c r="AM3" s="164">
        <f t="shared" ref="AM3:AM16" si="1">I8</f>
        <v>1</v>
      </c>
    </row>
    <row r="4" spans="1:39" x14ac:dyDescent="0.25">
      <c r="AG4" s="154" t="s">
        <v>103</v>
      </c>
      <c r="AH4" s="154" t="s">
        <v>420</v>
      </c>
      <c r="AI4" s="154">
        <v>2023</v>
      </c>
      <c r="AJ4" s="154" t="str">
        <f t="shared" ref="AJ4:AL4" si="2">A9</f>
        <v>Road</v>
      </c>
      <c r="AK4" s="154" t="str">
        <f t="shared" si="2"/>
        <v>Dry bulk</v>
      </c>
      <c r="AL4" s="154" t="str">
        <f t="shared" si="2"/>
        <v>Hydrogen</v>
      </c>
      <c r="AM4" s="164">
        <f t="shared" si="1"/>
        <v>1</v>
      </c>
    </row>
    <row r="5" spans="1:39" x14ac:dyDescent="0.25">
      <c r="A5" s="154" t="s">
        <v>411</v>
      </c>
      <c r="I5" s="197" t="s">
        <v>414</v>
      </c>
      <c r="J5" s="197"/>
      <c r="K5" s="197"/>
      <c r="R5" s="197" t="s">
        <v>414</v>
      </c>
      <c r="S5" s="197"/>
      <c r="T5" s="197"/>
      <c r="AB5" s="197" t="s">
        <v>414</v>
      </c>
      <c r="AC5" s="197"/>
      <c r="AD5" s="197"/>
      <c r="AG5" s="154" t="s">
        <v>423</v>
      </c>
      <c r="AH5" s="154" t="s">
        <v>420</v>
      </c>
      <c r="AI5" s="154">
        <v>2023</v>
      </c>
      <c r="AJ5" s="154" t="str">
        <f t="shared" ref="AJ5:AL5" si="3">A10</f>
        <v>Road</v>
      </c>
      <c r="AK5" s="154" t="str">
        <f t="shared" si="3"/>
        <v>Liquid bulk</v>
      </c>
      <c r="AL5" s="154" t="str">
        <f t="shared" si="3"/>
        <v>Diesel</v>
      </c>
      <c r="AM5" s="164">
        <f t="shared" si="1"/>
        <v>1</v>
      </c>
    </row>
    <row r="6" spans="1:39" x14ac:dyDescent="0.25">
      <c r="D6" s="161" t="s">
        <v>413</v>
      </c>
      <c r="E6" s="154" t="s">
        <v>420</v>
      </c>
      <c r="F6" s="154" t="s">
        <v>421</v>
      </c>
      <c r="G6" s="154" t="s">
        <v>422</v>
      </c>
      <c r="I6" s="154" t="s">
        <v>420</v>
      </c>
      <c r="J6" s="154" t="s">
        <v>421</v>
      </c>
      <c r="K6" s="154" t="s">
        <v>422</v>
      </c>
      <c r="M6" s="161" t="s">
        <v>413</v>
      </c>
      <c r="N6" s="154" t="s">
        <v>420</v>
      </c>
      <c r="O6" s="154" t="s">
        <v>421</v>
      </c>
      <c r="P6" s="154" t="s">
        <v>422</v>
      </c>
      <c r="R6" s="154" t="s">
        <v>420</v>
      </c>
      <c r="S6" s="154" t="s">
        <v>421</v>
      </c>
      <c r="T6" s="154" t="s">
        <v>422</v>
      </c>
      <c r="W6" s="161" t="s">
        <v>413</v>
      </c>
      <c r="X6" s="154" t="s">
        <v>420</v>
      </c>
      <c r="Y6" s="154" t="s">
        <v>421</v>
      </c>
      <c r="Z6" s="154" t="s">
        <v>422</v>
      </c>
      <c r="AB6" s="154" t="s">
        <v>420</v>
      </c>
      <c r="AC6" s="154" t="s">
        <v>421</v>
      </c>
      <c r="AD6" s="154" t="s">
        <v>422</v>
      </c>
      <c r="AG6" s="154" t="s">
        <v>87</v>
      </c>
      <c r="AH6" s="154" t="s">
        <v>420</v>
      </c>
      <c r="AI6" s="154">
        <v>2023</v>
      </c>
      <c r="AJ6" s="154" t="str">
        <f t="shared" ref="AJ6:AL6" si="4">A11</f>
        <v>Road</v>
      </c>
      <c r="AK6" s="154" t="str">
        <f t="shared" si="4"/>
        <v>Liquid bulk</v>
      </c>
      <c r="AL6" s="154" t="str">
        <f t="shared" si="4"/>
        <v>Battery</v>
      </c>
      <c r="AM6" s="164">
        <f t="shared" si="1"/>
        <v>1</v>
      </c>
    </row>
    <row r="7" spans="1:39" x14ac:dyDescent="0.25">
      <c r="A7" s="154" t="s">
        <v>221</v>
      </c>
      <c r="B7" s="154" t="s">
        <v>222</v>
      </c>
      <c r="C7" s="154" t="s">
        <v>11</v>
      </c>
      <c r="D7" s="154">
        <f>FIGURES!AP17</f>
        <v>0.16150148792048974</v>
      </c>
      <c r="E7" s="154">
        <v>0.16150148792048974</v>
      </c>
      <c r="F7" s="154">
        <v>0.16008550383733161</v>
      </c>
      <c r="G7" s="154">
        <v>0.16198823244907534</v>
      </c>
      <c r="I7" s="163">
        <f>E7/E7</f>
        <v>1</v>
      </c>
      <c r="J7" s="163">
        <f>F7/E7</f>
        <v>0.99123237747595705</v>
      </c>
      <c r="K7" s="163">
        <f>G7/E7</f>
        <v>1.0030138702426397</v>
      </c>
      <c r="M7" s="154">
        <f>FIGURES!CS17</f>
        <v>0.1595312014287559</v>
      </c>
      <c r="N7" s="154">
        <v>0.1595312014287559</v>
      </c>
      <c r="O7" s="154">
        <v>0.15507712829099893</v>
      </c>
      <c r="P7" s="154">
        <v>0.16136201676758852</v>
      </c>
      <c r="R7" s="163">
        <f>N7/N7</f>
        <v>1</v>
      </c>
      <c r="S7" s="163">
        <f>O7/N7</f>
        <v>0.97208023823636724</v>
      </c>
      <c r="T7" s="163">
        <f>P7/N7</f>
        <v>1.0114762210930268</v>
      </c>
      <c r="W7" s="154">
        <f>FIGURES!EV17</f>
        <v>0.1593651172133618</v>
      </c>
      <c r="X7" s="154">
        <v>0.1593651172133618</v>
      </c>
      <c r="Y7" s="154">
        <v>0.15508101886292719</v>
      </c>
      <c r="Z7" s="154">
        <v>0.16218038184364741</v>
      </c>
      <c r="AB7" s="163">
        <f>X7/X7</f>
        <v>1</v>
      </c>
      <c r="AC7" s="163">
        <f>Y7/X7</f>
        <v>0.97311771593843233</v>
      </c>
      <c r="AD7" s="163">
        <f>Z7/X7</f>
        <v>1.0176655009547446</v>
      </c>
      <c r="AG7" s="154" t="s">
        <v>103</v>
      </c>
      <c r="AH7" s="154" t="s">
        <v>420</v>
      </c>
      <c r="AI7" s="154">
        <v>2023</v>
      </c>
      <c r="AJ7" s="154" t="str">
        <f t="shared" ref="AJ7:AL7" si="5">A12</f>
        <v>Road</v>
      </c>
      <c r="AK7" s="154" t="str">
        <f t="shared" si="5"/>
        <v>Liquid bulk</v>
      </c>
      <c r="AL7" s="154" t="str">
        <f t="shared" si="5"/>
        <v>Hydrogen</v>
      </c>
      <c r="AM7" s="164">
        <f t="shared" si="1"/>
        <v>1</v>
      </c>
    </row>
    <row r="8" spans="1:39" x14ac:dyDescent="0.25">
      <c r="A8" s="154" t="s">
        <v>221</v>
      </c>
      <c r="B8" s="154" t="s">
        <v>222</v>
      </c>
      <c r="C8" s="154" t="s">
        <v>87</v>
      </c>
      <c r="D8" s="154">
        <f>FIGURES!AQ17</f>
        <v>0.21487411418480304</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0.17604400717380625</v>
      </c>
      <c r="N8" s="154">
        <v>0.17604400717380625</v>
      </c>
      <c r="O8" s="154">
        <v>0.17604400717380625</v>
      </c>
      <c r="P8" s="154">
        <v>0.17604400717380625</v>
      </c>
      <c r="R8" s="163">
        <f t="shared" ref="R8:R21" si="9">N8/N8</f>
        <v>1</v>
      </c>
      <c r="S8" s="163">
        <f t="shared" ref="S8:S21" si="10">O8/N8</f>
        <v>1</v>
      </c>
      <c r="T8" s="163">
        <f t="shared" ref="T8:T21" si="11">P8/N8</f>
        <v>1</v>
      </c>
      <c r="W8" s="154">
        <f>FIGURES!EW17</f>
        <v>0.15970188837788224</v>
      </c>
      <c r="X8" s="154">
        <v>0.15970188837788224</v>
      </c>
      <c r="Y8" s="154">
        <v>0.15970188837788224</v>
      </c>
      <c r="Z8" s="154">
        <v>0.15970188837788224</v>
      </c>
      <c r="AB8" s="163">
        <f t="shared" ref="AB8:AB21" si="12">X8/X8</f>
        <v>1</v>
      </c>
      <c r="AC8" s="163">
        <f t="shared" ref="AC8:AC21" si="13">Y8/X8</f>
        <v>1</v>
      </c>
      <c r="AD8" s="163">
        <f t="shared" ref="AD8:AD21" si="14">Z8/X8</f>
        <v>1</v>
      </c>
      <c r="AG8" s="154" t="s">
        <v>423</v>
      </c>
      <c r="AH8" s="154" t="s">
        <v>420</v>
      </c>
      <c r="AI8" s="154">
        <v>2023</v>
      </c>
      <c r="AJ8" s="154" t="str">
        <f t="shared" ref="AJ8:AL8" si="15">A13</f>
        <v>Road</v>
      </c>
      <c r="AK8" s="154" t="str">
        <f t="shared" si="15"/>
        <v>Container</v>
      </c>
      <c r="AL8" s="154" t="str">
        <f t="shared" si="15"/>
        <v>Diesel</v>
      </c>
      <c r="AM8" s="164">
        <f t="shared" si="1"/>
        <v>1</v>
      </c>
    </row>
    <row r="9" spans="1:39" x14ac:dyDescent="0.25">
      <c r="A9" s="154" t="s">
        <v>221</v>
      </c>
      <c r="B9" s="154" t="s">
        <v>222</v>
      </c>
      <c r="C9" s="154" t="s">
        <v>103</v>
      </c>
      <c r="D9" s="154">
        <f>FIGURES!AR17</f>
        <v>0.24514866003769331</v>
      </c>
      <c r="E9" s="154">
        <v>0.24514866003769331</v>
      </c>
      <c r="F9" s="154">
        <v>0.24350126702679284</v>
      </c>
      <c r="G9" s="154">
        <v>0.24891004870420008</v>
      </c>
      <c r="I9" s="163">
        <f t="shared" si="6"/>
        <v>1</v>
      </c>
      <c r="J9" s="163">
        <f t="shared" si="7"/>
        <v>0.99328002441193364</v>
      </c>
      <c r="K9" s="163">
        <f t="shared" si="8"/>
        <v>1.0153432968629257</v>
      </c>
      <c r="M9" s="154">
        <f>FIGURES!CU17</f>
        <v>0.19457806694570512</v>
      </c>
      <c r="N9" s="154">
        <v>0.19457806694570512</v>
      </c>
      <c r="O9" s="154">
        <v>0.19270653480404287</v>
      </c>
      <c r="P9" s="154">
        <v>0.19725556359642915</v>
      </c>
      <c r="R9" s="163">
        <f t="shared" si="9"/>
        <v>1</v>
      </c>
      <c r="S9" s="163">
        <f t="shared" si="10"/>
        <v>0.99038158734414561</v>
      </c>
      <c r="T9" s="163">
        <f t="shared" si="11"/>
        <v>1.0137605265215794</v>
      </c>
      <c r="W9" s="154">
        <f>FIGURES!EX17</f>
        <v>0.16864154646639173</v>
      </c>
      <c r="X9" s="154">
        <v>0.16864154646639173</v>
      </c>
      <c r="Y9" s="154">
        <v>0.1667304221005671</v>
      </c>
      <c r="Z9" s="154">
        <v>0.17043322555935234</v>
      </c>
      <c r="AB9" s="163">
        <f t="shared" si="12"/>
        <v>1</v>
      </c>
      <c r="AC9" s="163">
        <f t="shared" si="13"/>
        <v>0.9886675353383011</v>
      </c>
      <c r="AD9" s="163">
        <f t="shared" si="14"/>
        <v>1.0106241856203428</v>
      </c>
      <c r="AG9" s="154" t="s">
        <v>87</v>
      </c>
      <c r="AH9" s="154" t="s">
        <v>420</v>
      </c>
      <c r="AI9" s="154">
        <v>2023</v>
      </c>
      <c r="AJ9" s="154" t="str">
        <f t="shared" ref="AJ9:AL9" si="16">A14</f>
        <v>Road</v>
      </c>
      <c r="AK9" s="154" t="str">
        <f t="shared" si="16"/>
        <v>Container</v>
      </c>
      <c r="AL9" s="154" t="str">
        <f t="shared" si="16"/>
        <v>Battery</v>
      </c>
      <c r="AM9" s="164">
        <f t="shared" si="1"/>
        <v>1</v>
      </c>
    </row>
    <row r="10" spans="1:39" x14ac:dyDescent="0.25">
      <c r="A10" s="154" t="s">
        <v>221</v>
      </c>
      <c r="B10" s="154" t="s">
        <v>223</v>
      </c>
      <c r="C10" s="154" t="s">
        <v>11</v>
      </c>
      <c r="D10" s="154">
        <f>FIGURES!AS17</f>
        <v>8.1266133561074191E-2</v>
      </c>
      <c r="E10" s="154">
        <v>8.1266133561074191E-2</v>
      </c>
      <c r="F10" s="154">
        <v>8.0027147488310843E-2</v>
      </c>
      <c r="G10" s="154">
        <v>8.1692035023586587E-2</v>
      </c>
      <c r="I10" s="163">
        <f t="shared" si="6"/>
        <v>1</v>
      </c>
      <c r="J10" s="163">
        <f t="shared" si="7"/>
        <v>0.98475396800030846</v>
      </c>
      <c r="K10" s="163">
        <f t="shared" si="8"/>
        <v>1.005240823499894</v>
      </c>
      <c r="M10" s="154">
        <f>FIGURES!CV17</f>
        <v>7.8800724107898013E-2</v>
      </c>
      <c r="N10" s="154">
        <v>7.8800724107898013E-2</v>
      </c>
      <c r="O10" s="154">
        <v>7.4903410112360652E-2</v>
      </c>
      <c r="P10" s="154">
        <v>8.0402687529376543E-2</v>
      </c>
      <c r="R10" s="163">
        <f t="shared" si="9"/>
        <v>1</v>
      </c>
      <c r="S10" s="163">
        <f t="shared" si="10"/>
        <v>0.95054215504160899</v>
      </c>
      <c r="T10" s="163">
        <f t="shared" si="11"/>
        <v>1.0203292982344305</v>
      </c>
      <c r="W10" s="154">
        <f>FIGURES!EY17</f>
        <v>7.7685173503754978E-2</v>
      </c>
      <c r="X10" s="154">
        <v>7.7685173503754978E-2</v>
      </c>
      <c r="Y10" s="154">
        <v>7.393658744712471E-2</v>
      </c>
      <c r="Z10" s="154">
        <v>8.014853005525488E-2</v>
      </c>
      <c r="AB10" s="163">
        <f t="shared" si="12"/>
        <v>1</v>
      </c>
      <c r="AC10" s="163">
        <f t="shared" si="13"/>
        <v>0.95174644159803445</v>
      </c>
      <c r="AD10" s="163">
        <f t="shared" si="14"/>
        <v>1.0317094812355776</v>
      </c>
      <c r="AG10" s="154" t="s">
        <v>103</v>
      </c>
      <c r="AH10" s="154" t="s">
        <v>420</v>
      </c>
      <c r="AI10" s="154">
        <v>2023</v>
      </c>
      <c r="AJ10" s="154" t="str">
        <f t="shared" ref="AJ10:AL10" si="17">A15</f>
        <v>Road</v>
      </c>
      <c r="AK10" s="154" t="str">
        <f t="shared" si="17"/>
        <v>Container</v>
      </c>
      <c r="AL10" s="154" t="str">
        <f t="shared" si="17"/>
        <v>Hydrogen</v>
      </c>
      <c r="AM10" s="164">
        <f t="shared" si="1"/>
        <v>1</v>
      </c>
    </row>
    <row r="11" spans="1:39" x14ac:dyDescent="0.25">
      <c r="A11" s="154" t="s">
        <v>221</v>
      </c>
      <c r="B11" s="154" t="s">
        <v>223</v>
      </c>
      <c r="C11" s="154" t="s">
        <v>87</v>
      </c>
      <c r="D11" s="154">
        <f>FIGURES!AT17</f>
        <v>0.10398939898527251</v>
      </c>
      <c r="E11" s="154">
        <v>0.10398939898527251</v>
      </c>
      <c r="F11" s="154">
        <v>0.10341062536549094</v>
      </c>
      <c r="G11" s="154">
        <v>0.10531087632523629</v>
      </c>
      <c r="I11" s="163">
        <f t="shared" si="6"/>
        <v>1</v>
      </c>
      <c r="J11" s="163">
        <f t="shared" si="7"/>
        <v>0.99443430171316261</v>
      </c>
      <c r="K11" s="163">
        <f t="shared" si="8"/>
        <v>1.0127078082271725</v>
      </c>
      <c r="M11" s="154">
        <f>FIGURES!CW17</f>
        <v>8.5196928607980713E-2</v>
      </c>
      <c r="N11" s="154">
        <v>8.5196928607980713E-2</v>
      </c>
      <c r="O11" s="154">
        <v>8.4503796562852188E-2</v>
      </c>
      <c r="P11" s="154">
        <v>8.6186731956471668E-2</v>
      </c>
      <c r="R11" s="163">
        <f t="shared" si="9"/>
        <v>1</v>
      </c>
      <c r="S11" s="163">
        <f t="shared" si="10"/>
        <v>0.99186435407410223</v>
      </c>
      <c r="T11" s="163">
        <f t="shared" si="11"/>
        <v>1.0116178290070217</v>
      </c>
      <c r="W11" s="154">
        <f>FIGURES!EZ17</f>
        <v>7.7653618448074446E-2</v>
      </c>
      <c r="X11" s="154">
        <v>7.7653618448074446E-2</v>
      </c>
      <c r="Y11" s="154">
        <v>7.68609519943146E-2</v>
      </c>
      <c r="Z11" s="154">
        <v>7.8396743248474315E-2</v>
      </c>
      <c r="AB11" s="163">
        <f t="shared" si="12"/>
        <v>1</v>
      </c>
      <c r="AC11" s="163">
        <f t="shared" si="13"/>
        <v>0.98979227923177993</v>
      </c>
      <c r="AD11" s="163">
        <f t="shared" si="14"/>
        <v>1.0095697382202065</v>
      </c>
      <c r="AG11" s="154" t="s">
        <v>423</v>
      </c>
      <c r="AH11" s="154" t="s">
        <v>420</v>
      </c>
      <c r="AI11" s="154">
        <v>2023</v>
      </c>
      <c r="AJ11" s="154" t="str">
        <f t="shared" ref="AJ11:AL11" si="18">A16</f>
        <v>Road</v>
      </c>
      <c r="AK11" s="154" t="str">
        <f t="shared" si="18"/>
        <v>Break bulk</v>
      </c>
      <c r="AL11" s="154" t="str">
        <f t="shared" si="18"/>
        <v>Diesel</v>
      </c>
      <c r="AM11" s="164">
        <f t="shared" si="1"/>
        <v>1</v>
      </c>
    </row>
    <row r="12" spans="1:39" x14ac:dyDescent="0.25">
      <c r="A12" s="154" t="s">
        <v>221</v>
      </c>
      <c r="B12" s="154" t="s">
        <v>223</v>
      </c>
      <c r="C12" s="154" t="s">
        <v>103</v>
      </c>
      <c r="D12" s="154">
        <f>FIGURES!AU17</f>
        <v>0.12688035079230253</v>
      </c>
      <c r="E12" s="154">
        <v>0.12688035079230253</v>
      </c>
      <c r="F12" s="154">
        <v>0.12543303407206524</v>
      </c>
      <c r="G12" s="154">
        <v>0.1301849178703009</v>
      </c>
      <c r="I12" s="163">
        <f t="shared" si="6"/>
        <v>1</v>
      </c>
      <c r="J12" s="163">
        <f t="shared" si="7"/>
        <v>0.98859305864777691</v>
      </c>
      <c r="K12" s="163">
        <f t="shared" si="8"/>
        <v>1.0260447504862893</v>
      </c>
      <c r="M12" s="154">
        <f>FIGURES!CX17</f>
        <v>9.9869671953068617E-2</v>
      </c>
      <c r="N12" s="154">
        <v>9.9869671953068617E-2</v>
      </c>
      <c r="O12" s="154">
        <v>9.8227179605328535E-2</v>
      </c>
      <c r="P12" s="154">
        <v>0.10221949414527944</v>
      </c>
      <c r="R12" s="163">
        <f t="shared" si="9"/>
        <v>1</v>
      </c>
      <c r="S12" s="163">
        <f t="shared" si="10"/>
        <v>0.98355364230582498</v>
      </c>
      <c r="T12" s="163">
        <f t="shared" si="11"/>
        <v>1.0235288866605576</v>
      </c>
      <c r="W12" s="154">
        <f>FIGURES!FA17</f>
        <v>8.4647164209378539E-2</v>
      </c>
      <c r="X12" s="154">
        <v>8.4647164209378539E-2</v>
      </c>
      <c r="Y12" s="154">
        <v>8.2972221969222298E-2</v>
      </c>
      <c r="Z12" s="154">
        <v>8.6217422559525025E-2</v>
      </c>
      <c r="AB12" s="163">
        <f t="shared" si="12"/>
        <v>1</v>
      </c>
      <c r="AC12" s="163">
        <f t="shared" si="13"/>
        <v>0.98021265974116756</v>
      </c>
      <c r="AD12" s="163">
        <f t="shared" si="14"/>
        <v>1.0185506314926556</v>
      </c>
      <c r="AG12" s="154" t="s">
        <v>87</v>
      </c>
      <c r="AH12" s="154" t="s">
        <v>420</v>
      </c>
      <c r="AI12" s="154">
        <v>2023</v>
      </c>
      <c r="AJ12" s="154" t="str">
        <f>A17</f>
        <v>Road</v>
      </c>
      <c r="AK12" s="154" t="str">
        <f>B17</f>
        <v>Break bulk</v>
      </c>
      <c r="AL12" s="154" t="str">
        <f>C17</f>
        <v>Battery</v>
      </c>
      <c r="AM12" s="164">
        <f t="shared" si="1"/>
        <v>1</v>
      </c>
    </row>
    <row r="13" spans="1:39" x14ac:dyDescent="0.25">
      <c r="A13" s="154" t="s">
        <v>221</v>
      </c>
      <c r="B13" s="154" t="s">
        <v>224</v>
      </c>
      <c r="C13" s="154" t="s">
        <v>11</v>
      </c>
      <c r="D13" s="154">
        <f>FIGURES!AV17</f>
        <v>8.5592873760686805E-2</v>
      </c>
      <c r="E13" s="154">
        <v>8.5592873760686805E-2</v>
      </c>
      <c r="F13" s="154">
        <v>8.4300018728238085E-2</v>
      </c>
      <c r="G13" s="154">
        <v>8.6037292678091043E-2</v>
      </c>
      <c r="I13" s="163">
        <f t="shared" si="6"/>
        <v>1</v>
      </c>
      <c r="J13" s="163">
        <f t="shared" si="7"/>
        <v>0.98489529588568936</v>
      </c>
      <c r="K13" s="163">
        <f t="shared" si="8"/>
        <v>1.0051922420392942</v>
      </c>
      <c r="M13" s="154">
        <f>FIGURES!CY17</f>
        <v>8.305711277962885E-2</v>
      </c>
      <c r="N13" s="154">
        <v>8.305711277962885E-2</v>
      </c>
      <c r="O13" s="154">
        <v>7.8990350349502914E-2</v>
      </c>
      <c r="P13" s="154">
        <v>8.472872678464996E-2</v>
      </c>
      <c r="R13" s="163">
        <f t="shared" si="9"/>
        <v>1</v>
      </c>
      <c r="S13" s="163">
        <f t="shared" si="10"/>
        <v>0.95103655431755652</v>
      </c>
      <c r="T13" s="163">
        <f t="shared" si="11"/>
        <v>1.0201260789001456</v>
      </c>
      <c r="W13" s="154">
        <f>FIGURES!FB17</f>
        <v>8.1941270008382638E-2</v>
      </c>
      <c r="X13" s="154">
        <v>8.1941270008382638E-2</v>
      </c>
      <c r="Y13" s="154">
        <v>7.8029701949290181E-2</v>
      </c>
      <c r="Z13" s="154">
        <v>8.45117290186434E-2</v>
      </c>
      <c r="AB13" s="163">
        <f t="shared" si="12"/>
        <v>1</v>
      </c>
      <c r="AC13" s="163">
        <f t="shared" si="13"/>
        <v>0.95226376087785436</v>
      </c>
      <c r="AD13" s="163">
        <f t="shared" si="14"/>
        <v>1.0313695285659814</v>
      </c>
      <c r="AG13" s="154" t="s">
        <v>103</v>
      </c>
      <c r="AH13" s="154" t="s">
        <v>420</v>
      </c>
      <c r="AI13" s="154">
        <v>2023</v>
      </c>
      <c r="AJ13" s="154" t="str">
        <f t="shared" ref="AJ13:AJ16" si="19">A18</f>
        <v>Road</v>
      </c>
      <c r="AK13" s="154" t="str">
        <f t="shared" ref="AK13:AK16" si="20">B18</f>
        <v>Break bulk</v>
      </c>
      <c r="AL13" s="154" t="str">
        <f t="shared" ref="AL13:AL16" si="21">C18</f>
        <v>Hydrogen</v>
      </c>
      <c r="AM13" s="164">
        <f t="shared" si="1"/>
        <v>1</v>
      </c>
    </row>
    <row r="14" spans="1:39" x14ac:dyDescent="0.25">
      <c r="A14" s="154" t="s">
        <v>221</v>
      </c>
      <c r="B14" s="154" t="s">
        <v>224</v>
      </c>
      <c r="C14" s="154" t="s">
        <v>87</v>
      </c>
      <c r="D14" s="154">
        <f>FIGURES!AW17</f>
        <v>0.11005871333542969</v>
      </c>
      <c r="E14" s="154">
        <v>0.11005871333542969</v>
      </c>
      <c r="F14" s="154">
        <v>0.10945643485185198</v>
      </c>
      <c r="G14" s="154">
        <v>0.11143385784995678</v>
      </c>
      <c r="I14" s="163">
        <f t="shared" si="6"/>
        <v>1</v>
      </c>
      <c r="J14" s="163">
        <f t="shared" si="7"/>
        <v>0.99452766196037456</v>
      </c>
      <c r="K14" s="163">
        <f t="shared" si="8"/>
        <v>1.0124946446569481</v>
      </c>
      <c r="M14" s="154">
        <f>FIGURES!CZ17</f>
        <v>8.9729273933051135E-2</v>
      </c>
      <c r="N14" s="154">
        <v>8.9729273933051135E-2</v>
      </c>
      <c r="O14" s="154">
        <v>8.900755390312412E-2</v>
      </c>
      <c r="P14" s="154">
        <v>9.075990136878348E-2</v>
      </c>
      <c r="R14" s="163">
        <f t="shared" si="9"/>
        <v>1</v>
      </c>
      <c r="S14" s="163">
        <f t="shared" si="10"/>
        <v>0.99195669374895978</v>
      </c>
      <c r="T14" s="163">
        <f t="shared" si="11"/>
        <v>1.0114859665141314</v>
      </c>
      <c r="W14" s="154">
        <f>FIGURES!FC17</f>
        <v>8.1706056355476092E-2</v>
      </c>
      <c r="X14" s="154">
        <v>8.1706056355476092E-2</v>
      </c>
      <c r="Y14" s="154">
        <v>8.0880051743567882E-2</v>
      </c>
      <c r="Z14" s="154">
        <v>8.2480435679140041E-2</v>
      </c>
      <c r="AB14" s="163">
        <f t="shared" si="12"/>
        <v>1</v>
      </c>
      <c r="AC14" s="163">
        <f t="shared" si="13"/>
        <v>0.98989053383858672</v>
      </c>
      <c r="AD14" s="163">
        <f t="shared" si="14"/>
        <v>1.0094776245263251</v>
      </c>
      <c r="AG14" s="154" t="s">
        <v>423</v>
      </c>
      <c r="AH14" s="154" t="s">
        <v>420</v>
      </c>
      <c r="AI14" s="154">
        <v>2023</v>
      </c>
      <c r="AJ14" s="154" t="str">
        <f t="shared" si="19"/>
        <v>Road</v>
      </c>
      <c r="AK14" s="154" t="str">
        <f t="shared" si="20"/>
        <v>Neo bulk</v>
      </c>
      <c r="AL14" s="154" t="str">
        <f t="shared" si="21"/>
        <v>Diesel</v>
      </c>
      <c r="AM14" s="164">
        <f t="shared" si="1"/>
        <v>1</v>
      </c>
    </row>
    <row r="15" spans="1:39" x14ac:dyDescent="0.25">
      <c r="A15" s="154" t="s">
        <v>221</v>
      </c>
      <c r="B15" s="154" t="s">
        <v>224</v>
      </c>
      <c r="C15" s="154" t="s">
        <v>103</v>
      </c>
      <c r="D15" s="154">
        <f>FIGURES!AX17</f>
        <v>0.13432269291236781</v>
      </c>
      <c r="E15" s="154">
        <v>0.13432269291236781</v>
      </c>
      <c r="F15" s="154">
        <v>0.13281448340801569</v>
      </c>
      <c r="G15" s="154">
        <v>0.13776629264773832</v>
      </c>
      <c r="I15" s="163">
        <f t="shared" si="6"/>
        <v>1</v>
      </c>
      <c r="J15" s="163">
        <f t="shared" si="7"/>
        <v>0.98877174458275574</v>
      </c>
      <c r="K15" s="163">
        <f t="shared" si="8"/>
        <v>1.0256367681491996</v>
      </c>
      <c r="M15" s="154">
        <f>FIGURES!DA17</f>
        <v>0.10536615030719333</v>
      </c>
      <c r="N15" s="154">
        <v>0.10536615030719333</v>
      </c>
      <c r="O15" s="154">
        <v>0.10365395019608566</v>
      </c>
      <c r="P15" s="154">
        <v>0.10781569950851688</v>
      </c>
      <c r="R15" s="163">
        <f t="shared" si="9"/>
        <v>1</v>
      </c>
      <c r="S15" s="163">
        <f t="shared" si="10"/>
        <v>0.98374999839971577</v>
      </c>
      <c r="T15" s="163">
        <f t="shared" si="11"/>
        <v>1.0232479709487527</v>
      </c>
      <c r="W15" s="154">
        <f>FIGURES!FD17</f>
        <v>8.9187877646247971E-2</v>
      </c>
      <c r="X15" s="154">
        <v>8.9187877646247971E-2</v>
      </c>
      <c r="Y15" s="154">
        <v>8.7441053889583953E-2</v>
      </c>
      <c r="Z15" s="154">
        <v>9.0825524918120487E-2</v>
      </c>
      <c r="AB15" s="163">
        <f t="shared" si="12"/>
        <v>1</v>
      </c>
      <c r="AC15" s="163">
        <f t="shared" si="13"/>
        <v>0.98041411229009656</v>
      </c>
      <c r="AD15" s="163">
        <f t="shared" si="14"/>
        <v>1.0183617697280345</v>
      </c>
      <c r="AG15" s="154" t="s">
        <v>87</v>
      </c>
      <c r="AH15" s="154" t="s">
        <v>420</v>
      </c>
      <c r="AI15" s="154">
        <v>2023</v>
      </c>
      <c r="AJ15" s="154" t="str">
        <f t="shared" si="19"/>
        <v>Road</v>
      </c>
      <c r="AK15" s="154" t="str">
        <f t="shared" si="20"/>
        <v>Neo bulk</v>
      </c>
      <c r="AL15" s="154" t="str">
        <f t="shared" si="21"/>
        <v>Battery</v>
      </c>
      <c r="AM15" s="164">
        <f t="shared" si="1"/>
        <v>1</v>
      </c>
    </row>
    <row r="16" spans="1:39" x14ac:dyDescent="0.25">
      <c r="A16" s="154" t="s">
        <v>221</v>
      </c>
      <c r="B16" s="154" t="s">
        <v>225</v>
      </c>
      <c r="C16" s="154" t="s">
        <v>11</v>
      </c>
      <c r="D16" s="154">
        <f>FIGURES!AY17</f>
        <v>0.10957668678980516</v>
      </c>
      <c r="E16" s="154">
        <v>0.10957668678980516</v>
      </c>
      <c r="F16" s="154">
        <v>0.10828383175735644</v>
      </c>
      <c r="G16" s="154">
        <v>0.1100211057072094</v>
      </c>
      <c r="I16" s="163">
        <f t="shared" si="6"/>
        <v>1</v>
      </c>
      <c r="J16" s="163">
        <f t="shared" si="7"/>
        <v>0.98820136773318645</v>
      </c>
      <c r="K16" s="163">
        <f t="shared" si="8"/>
        <v>1.0040557798417171</v>
      </c>
      <c r="M16" s="154">
        <f>FIGURES!DB17</f>
        <v>0.10732147800566266</v>
      </c>
      <c r="N16" s="154">
        <v>0.10732147800566266</v>
      </c>
      <c r="O16" s="154">
        <v>0.10325471557553673</v>
      </c>
      <c r="P16" s="154">
        <v>0.10899309201068375</v>
      </c>
      <c r="R16" s="163">
        <f t="shared" si="9"/>
        <v>1</v>
      </c>
      <c r="S16" s="163">
        <f t="shared" si="10"/>
        <v>0.96210672359626503</v>
      </c>
      <c r="T16" s="163">
        <f t="shared" si="11"/>
        <v>1.0155757639205536</v>
      </c>
      <c r="W16" s="154">
        <f>FIGURES!FE17</f>
        <v>0.10657277317861766</v>
      </c>
      <c r="X16" s="154">
        <v>0.10657277317861766</v>
      </c>
      <c r="Y16" s="154">
        <v>0.1026612051195252</v>
      </c>
      <c r="Z16" s="154">
        <v>0.10914323218887842</v>
      </c>
      <c r="AB16" s="163">
        <f t="shared" si="12"/>
        <v>1</v>
      </c>
      <c r="AC16" s="163">
        <f t="shared" si="13"/>
        <v>0.9632967413493444</v>
      </c>
      <c r="AD16" s="163">
        <f t="shared" si="14"/>
        <v>1.0241192842561451</v>
      </c>
      <c r="AG16" s="154" t="s">
        <v>103</v>
      </c>
      <c r="AH16" s="154" t="s">
        <v>420</v>
      </c>
      <c r="AI16" s="154">
        <v>2023</v>
      </c>
      <c r="AJ16" s="154" t="str">
        <f t="shared" si="19"/>
        <v>Road</v>
      </c>
      <c r="AK16" s="154" t="str">
        <f t="shared" si="20"/>
        <v>Neo bulk</v>
      </c>
      <c r="AL16" s="154" t="str">
        <f t="shared" si="21"/>
        <v>Hydrogen</v>
      </c>
      <c r="AM16" s="164">
        <f t="shared" si="1"/>
        <v>1</v>
      </c>
    </row>
    <row r="17" spans="1:39" x14ac:dyDescent="0.25">
      <c r="A17" s="154" t="s">
        <v>221</v>
      </c>
      <c r="B17" s="154" t="s">
        <v>225</v>
      </c>
      <c r="C17" s="154" t="s">
        <v>87</v>
      </c>
      <c r="D17" s="154">
        <f>FIGURES!AZ17</f>
        <v>0.14374402520069046</v>
      </c>
      <c r="E17" s="154">
        <v>0.14374402520069046</v>
      </c>
      <c r="F17" s="154">
        <v>0.14314174671711277</v>
      </c>
      <c r="G17" s="154">
        <v>0.14511916971521754</v>
      </c>
      <c r="I17" s="163">
        <f t="shared" si="6"/>
        <v>1</v>
      </c>
      <c r="J17" s="163">
        <f t="shared" si="7"/>
        <v>0.99581006248616732</v>
      </c>
      <c r="K17" s="163">
        <f t="shared" si="8"/>
        <v>1.0095666203350515</v>
      </c>
      <c r="M17" s="154">
        <f>FIGURES!DC17</f>
        <v>0.11671934623015348</v>
      </c>
      <c r="N17" s="154">
        <v>0.11671934623015348</v>
      </c>
      <c r="O17" s="154">
        <v>0.11599762620022647</v>
      </c>
      <c r="P17" s="154">
        <v>0.11774997366588581</v>
      </c>
      <c r="R17" s="163">
        <f t="shared" si="9"/>
        <v>1</v>
      </c>
      <c r="S17" s="163">
        <f t="shared" si="10"/>
        <v>0.9938166203526887</v>
      </c>
      <c r="T17" s="163">
        <f t="shared" si="11"/>
        <v>1.0088299623757324</v>
      </c>
      <c r="W17" s="154">
        <f>FIGURES!FF17</f>
        <v>0.10644312729411544</v>
      </c>
      <c r="X17" s="154">
        <v>0.10644312729411544</v>
      </c>
      <c r="Y17" s="154">
        <v>0.10561712268220722</v>
      </c>
      <c r="Z17" s="154">
        <v>0.10721750661777942</v>
      </c>
      <c r="AB17" s="163">
        <f t="shared" si="12"/>
        <v>1</v>
      </c>
      <c r="AC17" s="163">
        <f t="shared" si="13"/>
        <v>0.99223994415697814</v>
      </c>
      <c r="AD17" s="163">
        <f t="shared" si="14"/>
        <v>1.0072750523528331</v>
      </c>
      <c r="AG17" s="154" t="s">
        <v>423</v>
      </c>
      <c r="AH17" s="154" t="s">
        <v>421</v>
      </c>
      <c r="AI17" s="154">
        <v>2023</v>
      </c>
      <c r="AJ17" s="154" t="str">
        <f>A7</f>
        <v>Road</v>
      </c>
      <c r="AK17" s="154" t="str">
        <f>B7</f>
        <v>Dry bulk</v>
      </c>
      <c r="AL17" s="154" t="str">
        <f>C7</f>
        <v>Diesel</v>
      </c>
      <c r="AM17" s="164">
        <f>J7</f>
        <v>0.99123237747595705</v>
      </c>
    </row>
    <row r="18" spans="1:39" x14ac:dyDescent="0.25">
      <c r="A18" s="154" t="s">
        <v>221</v>
      </c>
      <c r="B18" s="154" t="s">
        <v>225</v>
      </c>
      <c r="C18" s="154" t="s">
        <v>103</v>
      </c>
      <c r="D18" s="154">
        <f>FIGURES!BA17</f>
        <v>0.16908564510755242</v>
      </c>
      <c r="E18" s="154">
        <v>0.16908564510755242</v>
      </c>
      <c r="F18" s="154">
        <v>0.16757743560320026</v>
      </c>
      <c r="G18" s="154">
        <v>0.17252924484292287</v>
      </c>
      <c r="I18" s="163">
        <f t="shared" si="6"/>
        <v>1</v>
      </c>
      <c r="J18" s="163">
        <f t="shared" si="7"/>
        <v>0.99108020374294459</v>
      </c>
      <c r="K18" s="163">
        <f t="shared" si="8"/>
        <v>1.0203660087950106</v>
      </c>
      <c r="M18" s="154">
        <f>FIGURES!DD17</f>
        <v>0.13347194513070246</v>
      </c>
      <c r="N18" s="154">
        <v>0.13347194513070246</v>
      </c>
      <c r="O18" s="154">
        <v>0.13175974501959475</v>
      </c>
      <c r="P18" s="154">
        <v>0.13592149433202599</v>
      </c>
      <c r="R18" s="163">
        <f t="shared" si="9"/>
        <v>1</v>
      </c>
      <c r="S18" s="163">
        <f t="shared" si="10"/>
        <v>0.98717183517906304</v>
      </c>
      <c r="T18" s="163">
        <f t="shared" si="11"/>
        <v>1.0183525399208411</v>
      </c>
      <c r="W18" s="154">
        <f>FIGURES!FG17</f>
        <v>0.11435738052980955</v>
      </c>
      <c r="X18" s="154">
        <v>0.11435738052980955</v>
      </c>
      <c r="Y18" s="154">
        <v>0.11261055677314552</v>
      </c>
      <c r="Z18" s="154">
        <v>0.11599502780168205</v>
      </c>
      <c r="AB18" s="163">
        <f t="shared" si="12"/>
        <v>1</v>
      </c>
      <c r="AC18" s="163">
        <f t="shared" si="13"/>
        <v>0.98472487085161342</v>
      </c>
      <c r="AD18" s="163">
        <f t="shared" si="14"/>
        <v>1.0143204335766123</v>
      </c>
      <c r="AG18" s="154" t="s">
        <v>87</v>
      </c>
      <c r="AH18" s="154" t="s">
        <v>421</v>
      </c>
      <c r="AI18" s="154">
        <v>2023</v>
      </c>
      <c r="AJ18" s="154" t="str">
        <f t="shared" ref="AJ18:AL18" si="22">A8</f>
        <v>Road</v>
      </c>
      <c r="AK18" s="154" t="str">
        <f t="shared" si="22"/>
        <v>Dry bulk</v>
      </c>
      <c r="AL18" s="154" t="str">
        <f t="shared" si="22"/>
        <v>Battery</v>
      </c>
      <c r="AM18" s="164">
        <f t="shared" ref="AM18:AM31" si="23">J8</f>
        <v>0.99694703157228148</v>
      </c>
    </row>
    <row r="19" spans="1:39" x14ac:dyDescent="0.25">
      <c r="A19" s="154" t="s">
        <v>221</v>
      </c>
      <c r="B19" s="154" t="s">
        <v>226</v>
      </c>
      <c r="C19" s="154" t="s">
        <v>11</v>
      </c>
      <c r="D19" s="154">
        <f>FIGURES!BB17</f>
        <v>9.2999629994423322E-2</v>
      </c>
      <c r="E19" s="154">
        <v>9.2999629994423322E-2</v>
      </c>
      <c r="F19" s="154">
        <v>9.1760643921659973E-2</v>
      </c>
      <c r="G19" s="154">
        <v>9.3425531456935718E-2</v>
      </c>
      <c r="I19" s="163">
        <f t="shared" si="6"/>
        <v>1</v>
      </c>
      <c r="J19" s="163">
        <f t="shared" si="7"/>
        <v>0.98667751610584209</v>
      </c>
      <c r="K19" s="163">
        <f t="shared" si="8"/>
        <v>1.0045796038386168</v>
      </c>
      <c r="M19" s="154">
        <f>FIGURES!DE17</f>
        <v>9.069897804633803E-2</v>
      </c>
      <c r="N19" s="154">
        <v>9.069897804633803E-2</v>
      </c>
      <c r="O19" s="154">
        <v>8.680166405080067E-2</v>
      </c>
      <c r="P19" s="154">
        <v>9.2300941467816588E-2</v>
      </c>
      <c r="R19" s="163">
        <f t="shared" si="9"/>
        <v>1</v>
      </c>
      <c r="S19" s="163">
        <f t="shared" si="10"/>
        <v>0.95703023253970709</v>
      </c>
      <c r="T19" s="163">
        <f t="shared" si="11"/>
        <v>1.0176624197536175</v>
      </c>
      <c r="W19" s="154">
        <f>FIGURES!FH17</f>
        <v>8.9799033423455743E-2</v>
      </c>
      <c r="X19" s="154">
        <v>8.9799033423455743E-2</v>
      </c>
      <c r="Y19" s="154">
        <v>8.6050447366825461E-2</v>
      </c>
      <c r="Z19" s="154">
        <v>9.2262389974955644E-2</v>
      </c>
      <c r="AB19" s="163">
        <f t="shared" si="12"/>
        <v>1</v>
      </c>
      <c r="AC19" s="163">
        <f t="shared" si="13"/>
        <v>0.95825583067299314</v>
      </c>
      <c r="AD19" s="163">
        <f t="shared" si="14"/>
        <v>1.0274318827006046</v>
      </c>
      <c r="AG19" s="154" t="s">
        <v>103</v>
      </c>
      <c r="AH19" s="154" t="s">
        <v>421</v>
      </c>
      <c r="AI19" s="154">
        <v>2023</v>
      </c>
      <c r="AJ19" s="154" t="str">
        <f t="shared" ref="AJ19:AL19" si="24">A9</f>
        <v>Road</v>
      </c>
      <c r="AK19" s="154" t="str">
        <f t="shared" si="24"/>
        <v>Dry bulk</v>
      </c>
      <c r="AL19" s="154" t="str">
        <f t="shared" si="24"/>
        <v>Hydrogen</v>
      </c>
      <c r="AM19" s="164">
        <f t="shared" si="23"/>
        <v>0.99328002441193364</v>
      </c>
    </row>
    <row r="20" spans="1:39" x14ac:dyDescent="0.25">
      <c r="A20" s="154" t="s">
        <v>221</v>
      </c>
      <c r="B20" s="154" t="s">
        <v>226</v>
      </c>
      <c r="C20" s="154" t="s">
        <v>87</v>
      </c>
      <c r="D20" s="154">
        <f>FIGURES!BC17</f>
        <v>0.12125411664778149</v>
      </c>
      <c r="E20" s="154">
        <v>0.12125411664778149</v>
      </c>
      <c r="F20" s="154">
        <v>0.1206753430279999</v>
      </c>
      <c r="G20" s="154">
        <v>0.12257559398774524</v>
      </c>
      <c r="I20" s="163">
        <f t="shared" si="6"/>
        <v>1</v>
      </c>
      <c r="J20" s="163">
        <f t="shared" si="7"/>
        <v>0.99522677138077864</v>
      </c>
      <c r="K20" s="163">
        <f t="shared" si="8"/>
        <v>1.0108984121652742</v>
      </c>
      <c r="M20" s="154">
        <f>FIGURES!DF17</f>
        <v>9.8560662971452551E-2</v>
      </c>
      <c r="N20" s="154">
        <v>9.8560662971452551E-2</v>
      </c>
      <c r="O20" s="154">
        <v>9.7867530926324026E-2</v>
      </c>
      <c r="P20" s="154">
        <v>9.9550466319943506E-2</v>
      </c>
      <c r="R20" s="163">
        <f t="shared" si="9"/>
        <v>1</v>
      </c>
      <c r="S20" s="163">
        <f t="shared" si="10"/>
        <v>0.99296745756134686</v>
      </c>
      <c r="T20" s="163">
        <f t="shared" si="11"/>
        <v>1.0100425800583104</v>
      </c>
      <c r="W20" s="154">
        <f>FIGURES!FI17</f>
        <v>8.9743777277312642E-2</v>
      </c>
      <c r="X20" s="154">
        <v>8.9743777277312642E-2</v>
      </c>
      <c r="Y20" s="154">
        <v>8.8951110823552781E-2</v>
      </c>
      <c r="Z20" s="154">
        <v>9.0486902077712511E-2</v>
      </c>
      <c r="AB20" s="163">
        <f t="shared" si="12"/>
        <v>1</v>
      </c>
      <c r="AC20" s="163">
        <f t="shared" si="13"/>
        <v>0.99116744940085943</v>
      </c>
      <c r="AD20" s="163">
        <f t="shared" si="14"/>
        <v>1.0082805161866941</v>
      </c>
      <c r="AG20" s="154" t="s">
        <v>423</v>
      </c>
      <c r="AH20" s="154" t="s">
        <v>421</v>
      </c>
      <c r="AI20" s="154">
        <v>2023</v>
      </c>
      <c r="AJ20" s="154" t="str">
        <f t="shared" ref="AJ20:AL20" si="25">A10</f>
        <v>Road</v>
      </c>
      <c r="AK20" s="154" t="str">
        <f t="shared" si="25"/>
        <v>Liquid bulk</v>
      </c>
      <c r="AL20" s="154" t="str">
        <f t="shared" si="25"/>
        <v>Diesel</v>
      </c>
      <c r="AM20" s="164">
        <f t="shared" si="23"/>
        <v>0.98475396800030846</v>
      </c>
    </row>
    <row r="21" spans="1:39" x14ac:dyDescent="0.25">
      <c r="A21" s="154" t="s">
        <v>221</v>
      </c>
      <c r="B21" s="154" t="s">
        <v>226</v>
      </c>
      <c r="C21" s="154" t="s">
        <v>103</v>
      </c>
      <c r="D21" s="154">
        <f>FIGURES!BD17</f>
        <v>0.14486718387877273</v>
      </c>
      <c r="E21" s="154">
        <v>0.14486718387877273</v>
      </c>
      <c r="F21" s="154">
        <v>0.14341986715853552</v>
      </c>
      <c r="G21" s="154">
        <v>0.14817175095677115</v>
      </c>
      <c r="I21" s="163">
        <f t="shared" si="6"/>
        <v>1</v>
      </c>
      <c r="J21" s="163">
        <f t="shared" si="7"/>
        <v>0.99000935421338521</v>
      </c>
      <c r="K21" s="163">
        <f t="shared" si="8"/>
        <v>1.0228110120561447</v>
      </c>
      <c r="M21" s="154">
        <f>FIGURES!DG17</f>
        <v>0.11396386749411043</v>
      </c>
      <c r="N21" s="154">
        <v>0.11396386749411043</v>
      </c>
      <c r="O21" s="154">
        <v>0.11232137514637038</v>
      </c>
      <c r="P21" s="154">
        <v>0.11631368968632125</v>
      </c>
      <c r="R21" s="163">
        <f t="shared" si="9"/>
        <v>1</v>
      </c>
      <c r="S21" s="163">
        <f t="shared" si="10"/>
        <v>0.98558760435341541</v>
      </c>
      <c r="T21" s="163">
        <f t="shared" si="11"/>
        <v>1.0206190106029198</v>
      </c>
      <c r="W21" s="154">
        <f>FIGURES!FJ17</f>
        <v>9.7043996882390932E-2</v>
      </c>
      <c r="X21" s="154">
        <v>9.7043996882390932E-2</v>
      </c>
      <c r="Y21" s="154">
        <v>9.5369054642234719E-2</v>
      </c>
      <c r="Z21" s="154">
        <v>9.8614255232537446E-2</v>
      </c>
      <c r="AB21" s="163">
        <f t="shared" si="12"/>
        <v>1</v>
      </c>
      <c r="AC21" s="163">
        <f t="shared" si="13"/>
        <v>0.98274038277518494</v>
      </c>
      <c r="AD21" s="163">
        <f t="shared" si="14"/>
        <v>1.0161808911482648</v>
      </c>
      <c r="AG21" s="154" t="s">
        <v>87</v>
      </c>
      <c r="AH21" s="154" t="s">
        <v>421</v>
      </c>
      <c r="AI21" s="154">
        <v>2023</v>
      </c>
      <c r="AJ21" s="154" t="str">
        <f t="shared" ref="AJ21:AL21" si="26">A11</f>
        <v>Road</v>
      </c>
      <c r="AK21" s="154" t="str">
        <f t="shared" si="26"/>
        <v>Liquid bulk</v>
      </c>
      <c r="AL21" s="154" t="str">
        <f t="shared" si="26"/>
        <v>Battery</v>
      </c>
      <c r="AM21" s="164">
        <f t="shared" si="23"/>
        <v>0.99443430171316261</v>
      </c>
    </row>
    <row r="22" spans="1:39" x14ac:dyDescent="0.25">
      <c r="R22" s="163"/>
      <c r="S22" s="163"/>
      <c r="T22" s="163"/>
      <c r="AG22" s="154" t="s">
        <v>103</v>
      </c>
      <c r="AH22" s="154" t="s">
        <v>421</v>
      </c>
      <c r="AI22" s="154">
        <v>2023</v>
      </c>
      <c r="AJ22" s="154" t="str">
        <f t="shared" ref="AJ22:AL22" si="27">A12</f>
        <v>Road</v>
      </c>
      <c r="AK22" s="154" t="str">
        <f t="shared" si="27"/>
        <v>Liquid bulk</v>
      </c>
      <c r="AL22" s="154" t="str">
        <f t="shared" si="27"/>
        <v>Hydrogen</v>
      </c>
      <c r="AM22" s="164">
        <f t="shared" si="23"/>
        <v>0.98859305864777691</v>
      </c>
    </row>
    <row r="23" spans="1:39" x14ac:dyDescent="0.25">
      <c r="A23" s="154" t="s">
        <v>227</v>
      </c>
      <c r="I23" s="197" t="s">
        <v>414</v>
      </c>
      <c r="J23" s="197"/>
      <c r="K23" s="197"/>
      <c r="R23" s="197" t="s">
        <v>414</v>
      </c>
      <c r="S23" s="197"/>
      <c r="T23" s="197"/>
      <c r="AB23" s="197" t="s">
        <v>414</v>
      </c>
      <c r="AC23" s="197"/>
      <c r="AD23" s="197"/>
      <c r="AG23" s="154" t="s">
        <v>423</v>
      </c>
      <c r="AH23" s="154" t="s">
        <v>421</v>
      </c>
      <c r="AI23" s="154">
        <v>2023</v>
      </c>
      <c r="AJ23" s="154" t="str">
        <f t="shared" ref="AJ23:AL23" si="28">A13</f>
        <v>Road</v>
      </c>
      <c r="AK23" s="154" t="str">
        <f t="shared" si="28"/>
        <v>Container</v>
      </c>
      <c r="AL23" s="154" t="str">
        <f t="shared" si="28"/>
        <v>Diesel</v>
      </c>
      <c r="AM23" s="164">
        <f t="shared" si="23"/>
        <v>0.98489529588568936</v>
      </c>
    </row>
    <row r="24" spans="1:39" x14ac:dyDescent="0.25">
      <c r="D24" s="161" t="s">
        <v>413</v>
      </c>
      <c r="E24" s="154" t="s">
        <v>420</v>
      </c>
      <c r="F24" s="154" t="s">
        <v>421</v>
      </c>
      <c r="G24" s="154" t="s">
        <v>422</v>
      </c>
      <c r="I24" s="154" t="s">
        <v>410</v>
      </c>
      <c r="J24" s="154" t="s">
        <v>325</v>
      </c>
      <c r="K24" s="154" t="s">
        <v>326</v>
      </c>
      <c r="M24" s="161" t="s">
        <v>413</v>
      </c>
      <c r="N24" s="154" t="s">
        <v>420</v>
      </c>
      <c r="O24" s="154" t="s">
        <v>421</v>
      </c>
      <c r="P24" s="154" t="s">
        <v>422</v>
      </c>
      <c r="R24" s="154" t="s">
        <v>420</v>
      </c>
      <c r="S24" s="154" t="s">
        <v>421</v>
      </c>
      <c r="T24" s="154" t="s">
        <v>422</v>
      </c>
      <c r="W24" s="161" t="s">
        <v>413</v>
      </c>
      <c r="X24" s="154" t="s">
        <v>420</v>
      </c>
      <c r="Y24" s="154" t="s">
        <v>421</v>
      </c>
      <c r="Z24" s="154" t="s">
        <v>422</v>
      </c>
      <c r="AB24" s="154" t="s">
        <v>420</v>
      </c>
      <c r="AC24" s="154" t="s">
        <v>421</v>
      </c>
      <c r="AD24" s="154" t="s">
        <v>422</v>
      </c>
      <c r="AG24" s="154" t="s">
        <v>87</v>
      </c>
      <c r="AH24" s="154" t="s">
        <v>421</v>
      </c>
      <c r="AI24" s="154">
        <v>2023</v>
      </c>
      <c r="AJ24" s="154" t="str">
        <f t="shared" ref="AJ24:AL24" si="29">A14</f>
        <v>Road</v>
      </c>
      <c r="AK24" s="154" t="str">
        <f t="shared" si="29"/>
        <v>Container</v>
      </c>
      <c r="AL24" s="154" t="str">
        <f t="shared" si="29"/>
        <v>Battery</v>
      </c>
      <c r="AM24" s="164">
        <f t="shared" si="23"/>
        <v>0.99452766196037456</v>
      </c>
    </row>
    <row r="25" spans="1:39" x14ac:dyDescent="0.25">
      <c r="A25" s="154" t="s">
        <v>227</v>
      </c>
      <c r="B25" s="154" t="s">
        <v>222</v>
      </c>
      <c r="C25" s="154" t="s">
        <v>11</v>
      </c>
      <c r="D25" s="154">
        <f>FIGURES!V17</f>
        <v>1.504014858290743E-2</v>
      </c>
      <c r="E25" s="154">
        <v>1.504014858290743E-2</v>
      </c>
      <c r="F25" s="154">
        <v>1.4673217391859582E-2</v>
      </c>
      <c r="G25" s="154">
        <v>1.5166281179830127E-2</v>
      </c>
      <c r="I25" s="163">
        <f>E25/E25</f>
        <v>1</v>
      </c>
      <c r="J25" s="163">
        <f>F25/E25</f>
        <v>0.97560322033887004</v>
      </c>
      <c r="K25" s="163">
        <f>G25/E25</f>
        <v>1.0083863930085133</v>
      </c>
      <c r="M25" s="154">
        <f>FIGURES!BY17</f>
        <v>1.4341852600912312E-2</v>
      </c>
      <c r="N25" s="154">
        <v>1.4341852600912312E-2</v>
      </c>
      <c r="O25" s="154">
        <v>1.3095815431312328E-2</v>
      </c>
      <c r="P25" s="154">
        <v>1.4854027388416598E-2</v>
      </c>
      <c r="R25" s="163">
        <f>N25/N25</f>
        <v>1</v>
      </c>
      <c r="S25" s="163">
        <f>O25/N25</f>
        <v>0.91311881356800995</v>
      </c>
      <c r="T25" s="163">
        <f>P25/N25</f>
        <v>1.0357118987174436</v>
      </c>
      <c r="W25" s="154">
        <f>FIGURES!EB17</f>
        <v>1.3980316656105102E-2</v>
      </c>
      <c r="X25" s="154">
        <v>1.3980316656105102E-2</v>
      </c>
      <c r="Y25" s="154">
        <v>1.2642546688743159E-2</v>
      </c>
      <c r="Z25" s="154">
        <v>1.4859422634657239E-2</v>
      </c>
      <c r="AB25" s="163">
        <f>X25/X25</f>
        <v>1</v>
      </c>
      <c r="AC25" s="163">
        <f>Y25/X25</f>
        <v>0.90431046733281617</v>
      </c>
      <c r="AD25" s="163">
        <f>Z25/X25</f>
        <v>1.0628816928955782</v>
      </c>
      <c r="AG25" s="154" t="s">
        <v>103</v>
      </c>
      <c r="AH25" s="154" t="s">
        <v>421</v>
      </c>
      <c r="AI25" s="154">
        <v>2023</v>
      </c>
      <c r="AJ25" s="154" t="str">
        <f t="shared" ref="AJ25:AL25" si="30">A15</f>
        <v>Road</v>
      </c>
      <c r="AK25" s="154" t="str">
        <f t="shared" si="30"/>
        <v>Container</v>
      </c>
      <c r="AL25" s="154" t="str">
        <f t="shared" si="30"/>
        <v>Hydrogen</v>
      </c>
      <c r="AM25" s="164">
        <f t="shared" si="23"/>
        <v>0.98877174458275574</v>
      </c>
    </row>
    <row r="26" spans="1:39" x14ac:dyDescent="0.25">
      <c r="A26" s="154" t="s">
        <v>227</v>
      </c>
      <c r="B26" s="154" t="s">
        <v>222</v>
      </c>
      <c r="C26" s="154" t="s">
        <v>136</v>
      </c>
      <c r="D26" s="154">
        <f>FIGURES!W17</f>
        <v>1.222552871882062E-2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1.2407828455492606E-2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1.2166722352152239E-2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423</v>
      </c>
      <c r="AH26" s="154" t="s">
        <v>421</v>
      </c>
      <c r="AI26" s="154">
        <v>2023</v>
      </c>
      <c r="AJ26" s="154" t="str">
        <f t="shared" ref="AJ26:AL26" si="40">A16</f>
        <v>Road</v>
      </c>
      <c r="AK26" s="154" t="str">
        <f t="shared" si="40"/>
        <v>Break bulk</v>
      </c>
      <c r="AL26" s="154" t="str">
        <f t="shared" si="40"/>
        <v>Diesel</v>
      </c>
      <c r="AM26" s="164">
        <f t="shared" si="23"/>
        <v>0.98820136773318645</v>
      </c>
    </row>
    <row r="27" spans="1:39" x14ac:dyDescent="0.25">
      <c r="A27" s="154" t="s">
        <v>227</v>
      </c>
      <c r="B27" s="154" t="s">
        <v>222</v>
      </c>
      <c r="C27" s="154" t="s">
        <v>87</v>
      </c>
      <c r="D27" s="154">
        <f>FIGURES!X17</f>
        <v>1.7015042906868429E-2</v>
      </c>
      <c r="E27" s="154">
        <v>1.7015042906868429E-2</v>
      </c>
      <c r="F27" s="154">
        <v>1.6876745241349807E-2</v>
      </c>
      <c r="G27" s="154">
        <v>1.733080925299478E-2</v>
      </c>
      <c r="I27" s="163">
        <f t="shared" si="31"/>
        <v>1</v>
      </c>
      <c r="J27" s="163">
        <f t="shared" si="32"/>
        <v>0.99187203545265257</v>
      </c>
      <c r="K27" s="163">
        <f t="shared" si="33"/>
        <v>1.0185580693422105</v>
      </c>
      <c r="M27" s="154">
        <f>FIGURES!CA17</f>
        <v>1.5678518738614936E-2</v>
      </c>
      <c r="N27" s="154">
        <v>1.5678518738614936E-2</v>
      </c>
      <c r="O27" s="154">
        <v>1.5474114142511137E-2</v>
      </c>
      <c r="P27" s="154">
        <v>1.5970411683245658E-2</v>
      </c>
      <c r="R27" s="163">
        <f t="shared" si="34"/>
        <v>1</v>
      </c>
      <c r="S27" s="163">
        <f t="shared" si="35"/>
        <v>0.98696276099091129</v>
      </c>
      <c r="T27" s="163">
        <f t="shared" si="36"/>
        <v>1.0186173802192049</v>
      </c>
      <c r="W27" s="154">
        <f>FIGURES!ED17</f>
        <v>1.3434877631593524E-2</v>
      </c>
      <c r="X27" s="154">
        <v>1.3434877631593524E-2</v>
      </c>
      <c r="Y27" s="154">
        <v>1.3182035740478514E-2</v>
      </c>
      <c r="Z27" s="154">
        <v>1.3671916904513842E-2</v>
      </c>
      <c r="AB27" s="163">
        <f t="shared" si="37"/>
        <v>1</v>
      </c>
      <c r="AC27" s="163">
        <f t="shared" si="38"/>
        <v>0.98118018652284367</v>
      </c>
      <c r="AD27" s="163">
        <f t="shared" si="39"/>
        <v>1.0176435751348338</v>
      </c>
      <c r="AG27" s="154" t="s">
        <v>87</v>
      </c>
      <c r="AH27" s="154" t="s">
        <v>421</v>
      </c>
      <c r="AI27" s="154">
        <v>2023</v>
      </c>
      <c r="AJ27" s="154" t="str">
        <f t="shared" ref="AJ27:AL27" si="41">A17</f>
        <v>Road</v>
      </c>
      <c r="AK27" s="154" t="str">
        <f t="shared" si="41"/>
        <v>Break bulk</v>
      </c>
      <c r="AL27" s="154" t="str">
        <f t="shared" si="41"/>
        <v>Battery</v>
      </c>
      <c r="AM27" s="164">
        <f t="shared" si="23"/>
        <v>0.99581006248616732</v>
      </c>
    </row>
    <row r="28" spans="1:39" x14ac:dyDescent="0.25">
      <c r="A28" s="154" t="s">
        <v>227</v>
      </c>
      <c r="B28" s="154" t="s">
        <v>222</v>
      </c>
      <c r="C28" s="154" t="s">
        <v>103</v>
      </c>
      <c r="D28" s="154">
        <f>FIGURES!Y17</f>
        <v>2.133769640797668E-2</v>
      </c>
      <c r="E28" s="154">
        <v>2.133769640797668E-2</v>
      </c>
      <c r="F28" s="154">
        <v>2.1029498679895606E-2</v>
      </c>
      <c r="G28" s="154">
        <v>2.2041384862265825E-2</v>
      </c>
      <c r="I28" s="163">
        <f t="shared" si="31"/>
        <v>1</v>
      </c>
      <c r="J28" s="163">
        <f t="shared" si="32"/>
        <v>0.98555618553248037</v>
      </c>
      <c r="K28" s="163">
        <f t="shared" si="33"/>
        <v>1.0329786515298851</v>
      </c>
      <c r="M28" s="154">
        <f>FIGURES!CB17</f>
        <v>1.7772633240648497E-2</v>
      </c>
      <c r="N28" s="154">
        <v>1.7772633240648497E-2</v>
      </c>
      <c r="O28" s="154">
        <v>1.736035287116159E-2</v>
      </c>
      <c r="P28" s="154">
        <v>1.8362459770413571E-2</v>
      </c>
      <c r="R28" s="163">
        <f t="shared" si="34"/>
        <v>1</v>
      </c>
      <c r="S28" s="163">
        <f t="shared" si="35"/>
        <v>0.97680251632358206</v>
      </c>
      <c r="T28" s="163">
        <f t="shared" si="36"/>
        <v>1.0331873460605747</v>
      </c>
      <c r="W28" s="154">
        <f>FIGURES!EE17</f>
        <v>1.2975657245638596E-2</v>
      </c>
      <c r="X28" s="154">
        <v>1.2975657245638596E-2</v>
      </c>
      <c r="Y28" s="154">
        <v>1.2544482963784907E-2</v>
      </c>
      <c r="Z28" s="154">
        <v>1.3379883134876433E-2</v>
      </c>
      <c r="AB28" s="163">
        <f t="shared" si="37"/>
        <v>1</v>
      </c>
      <c r="AC28" s="163">
        <f t="shared" si="38"/>
        <v>0.9667705247070536</v>
      </c>
      <c r="AD28" s="163">
        <f t="shared" si="39"/>
        <v>1.0311526330871377</v>
      </c>
      <c r="AG28" s="154" t="s">
        <v>103</v>
      </c>
      <c r="AH28" s="154" t="s">
        <v>421</v>
      </c>
      <c r="AI28" s="154">
        <v>2023</v>
      </c>
      <c r="AJ28" s="154" t="str">
        <f t="shared" ref="AJ28:AL28" si="42">A18</f>
        <v>Road</v>
      </c>
      <c r="AK28" s="154" t="str">
        <f t="shared" si="42"/>
        <v>Break bulk</v>
      </c>
      <c r="AL28" s="154" t="str">
        <f t="shared" si="42"/>
        <v>Hydrogen</v>
      </c>
      <c r="AM28" s="164">
        <f t="shared" si="23"/>
        <v>0.99108020374294459</v>
      </c>
    </row>
    <row r="29" spans="1:39" x14ac:dyDescent="0.25">
      <c r="A29" s="154" t="s">
        <v>227</v>
      </c>
      <c r="B29" s="154" t="s">
        <v>223</v>
      </c>
      <c r="C29" s="154" t="s">
        <v>11</v>
      </c>
      <c r="D29" s="154">
        <f>FIGURES!Z17</f>
        <v>2.2729999851833028E-2</v>
      </c>
      <c r="E29" s="154">
        <v>2.2729999851833028E-2</v>
      </c>
      <c r="F29" s="154">
        <v>2.2179603065261261E-2</v>
      </c>
      <c r="G29" s="154">
        <v>2.2919198747217075E-2</v>
      </c>
      <c r="I29" s="163">
        <f t="shared" si="31"/>
        <v>1</v>
      </c>
      <c r="J29" s="163">
        <f t="shared" si="32"/>
        <v>0.97578544697934166</v>
      </c>
      <c r="K29" s="163">
        <f t="shared" si="33"/>
        <v>1.0083237526008513</v>
      </c>
      <c r="M29" s="154">
        <f>FIGURES!CC17</f>
        <v>2.168255587884035E-2</v>
      </c>
      <c r="N29" s="154">
        <v>2.168255587884035E-2</v>
      </c>
      <c r="O29" s="154">
        <v>1.9813500124440376E-2</v>
      </c>
      <c r="P29" s="154">
        <v>2.2450818060096783E-2</v>
      </c>
      <c r="R29" s="163">
        <f t="shared" si="34"/>
        <v>1</v>
      </c>
      <c r="S29" s="163">
        <f t="shared" si="35"/>
        <v>0.91379910353539295</v>
      </c>
      <c r="T29" s="163">
        <f t="shared" si="36"/>
        <v>1.0354322703259429</v>
      </c>
      <c r="W29" s="154">
        <f>FIGURES!EF17</f>
        <v>2.1140251961629539E-2</v>
      </c>
      <c r="X29" s="154">
        <v>2.1140251961629539E-2</v>
      </c>
      <c r="Y29" s="154">
        <v>1.9133597010586624E-2</v>
      </c>
      <c r="Z29" s="154">
        <v>2.2458910929457742E-2</v>
      </c>
      <c r="AB29" s="163">
        <f t="shared" si="37"/>
        <v>1</v>
      </c>
      <c r="AC29" s="163">
        <f t="shared" si="38"/>
        <v>0.90507894822232582</v>
      </c>
      <c r="AD29" s="163">
        <f t="shared" si="39"/>
        <v>1.062376691168186</v>
      </c>
      <c r="AG29" s="154" t="s">
        <v>423</v>
      </c>
      <c r="AH29" s="154" t="s">
        <v>421</v>
      </c>
      <c r="AI29" s="154">
        <v>2023</v>
      </c>
      <c r="AJ29" s="154" t="str">
        <f t="shared" ref="AJ29:AL29" si="43">A19</f>
        <v>Road</v>
      </c>
      <c r="AK29" s="154" t="str">
        <f t="shared" si="43"/>
        <v>Neo bulk</v>
      </c>
      <c r="AL29" s="154" t="str">
        <f t="shared" si="43"/>
        <v>Diesel</v>
      </c>
      <c r="AM29" s="164">
        <f t="shared" si="23"/>
        <v>0.98667751610584209</v>
      </c>
    </row>
    <row r="30" spans="1:39" x14ac:dyDescent="0.25">
      <c r="A30" s="154" t="s">
        <v>227</v>
      </c>
      <c r="B30" s="154" t="s">
        <v>223</v>
      </c>
      <c r="C30" s="154" t="s">
        <v>136</v>
      </c>
      <c r="D30" s="154">
        <f>FIGURES!AA17</f>
        <v>1.8508070055702812E-2</v>
      </c>
      <c r="E30" s="154">
        <v>1.8508070055702812E-2</v>
      </c>
      <c r="F30" s="154">
        <v>1.831731690382225E-2</v>
      </c>
      <c r="G30" s="154">
        <v>1.8943604708840517E-2</v>
      </c>
      <c r="I30" s="163">
        <f t="shared" si="31"/>
        <v>1</v>
      </c>
      <c r="J30" s="163">
        <f t="shared" si="32"/>
        <v>0.98969351470431755</v>
      </c>
      <c r="K30" s="163">
        <f t="shared" si="33"/>
        <v>1.0235321485074833</v>
      </c>
      <c r="M30" s="154">
        <f>FIGURES!CD17</f>
        <v>1.8781519660710795E-2</v>
      </c>
      <c r="N30" s="154">
        <v>1.8781519660710795E-2</v>
      </c>
      <c r="O30" s="154">
        <v>1.8498146481327523E-2</v>
      </c>
      <c r="P30" s="154">
        <v>1.9186180971347597E-2</v>
      </c>
      <c r="R30" s="163">
        <f t="shared" si="34"/>
        <v>1</v>
      </c>
      <c r="S30" s="163">
        <f t="shared" si="35"/>
        <v>0.98491212721321675</v>
      </c>
      <c r="T30" s="163">
        <f t="shared" si="36"/>
        <v>1.0215457171702307</v>
      </c>
      <c r="W30" s="154">
        <f>FIGURES!EG17</f>
        <v>1.8419860505700242E-2</v>
      </c>
      <c r="X30" s="154">
        <v>1.8419860505700242E-2</v>
      </c>
      <c r="Y30" s="154">
        <v>1.8067022305689948E-2</v>
      </c>
      <c r="Z30" s="154">
        <v>1.8750646318209892E-2</v>
      </c>
      <c r="AB30" s="163">
        <f t="shared" si="37"/>
        <v>1</v>
      </c>
      <c r="AC30" s="163">
        <f t="shared" si="38"/>
        <v>0.98084468664129654</v>
      </c>
      <c r="AD30" s="163">
        <f t="shared" si="39"/>
        <v>1.0179581062737844</v>
      </c>
      <c r="AG30" s="154" t="s">
        <v>87</v>
      </c>
      <c r="AH30" s="154" t="s">
        <v>421</v>
      </c>
      <c r="AI30" s="154">
        <v>2023</v>
      </c>
      <c r="AJ30" s="154" t="str">
        <f t="shared" ref="AJ30:AL30" si="44">A20</f>
        <v>Road</v>
      </c>
      <c r="AK30" s="154" t="str">
        <f t="shared" si="44"/>
        <v>Neo bulk</v>
      </c>
      <c r="AL30" s="154" t="str">
        <f t="shared" si="44"/>
        <v>Battery</v>
      </c>
      <c r="AM30" s="164">
        <f t="shared" si="23"/>
        <v>0.99522677138077864</v>
      </c>
    </row>
    <row r="31" spans="1:39" x14ac:dyDescent="0.25">
      <c r="A31" s="154" t="s">
        <v>227</v>
      </c>
      <c r="B31" s="154" t="s">
        <v>223</v>
      </c>
      <c r="C31" s="154" t="s">
        <v>87</v>
      </c>
      <c r="D31" s="154">
        <f>FIGURES!AB17</f>
        <v>2.5498255477549962E-2</v>
      </c>
      <c r="E31" s="154">
        <v>2.5498255477549962E-2</v>
      </c>
      <c r="F31" s="154">
        <v>2.5292399404073643E-2</v>
      </c>
      <c r="G31" s="154">
        <v>2.5968273679995914E-2</v>
      </c>
      <c r="I31" s="163">
        <f t="shared" si="31"/>
        <v>1</v>
      </c>
      <c r="J31" s="163">
        <f t="shared" si="32"/>
        <v>0.99192666048633926</v>
      </c>
      <c r="K31" s="163">
        <f t="shared" si="33"/>
        <v>1.0184333474444862</v>
      </c>
      <c r="M31" s="154">
        <f>FIGURES!CE17</f>
        <v>2.3547580340845191E-2</v>
      </c>
      <c r="N31" s="154">
        <v>2.3547580340845191E-2</v>
      </c>
      <c r="O31" s="154">
        <v>2.3242814410376483E-2</v>
      </c>
      <c r="P31" s="154">
        <v>2.3982790832993116E-2</v>
      </c>
      <c r="R31" s="163">
        <f t="shared" si="34"/>
        <v>1</v>
      </c>
      <c r="S31" s="163">
        <f t="shared" si="35"/>
        <v>0.98705744173892607</v>
      </c>
      <c r="T31" s="163">
        <f t="shared" si="36"/>
        <v>1.0184821746374093</v>
      </c>
      <c r="W31" s="154">
        <f>FIGURES!EH17</f>
        <v>2.0245434172372331E-2</v>
      </c>
      <c r="X31" s="154">
        <v>2.0245434172372331E-2</v>
      </c>
      <c r="Y31" s="154">
        <v>1.9867628752087009E-2</v>
      </c>
      <c r="Z31" s="154">
        <v>2.0599626753889825E-2</v>
      </c>
      <c r="AB31" s="163">
        <f t="shared" si="37"/>
        <v>1</v>
      </c>
      <c r="AC31" s="163">
        <f t="shared" si="38"/>
        <v>0.98133873459721155</v>
      </c>
      <c r="AD31" s="163">
        <f t="shared" si="39"/>
        <v>1.0174949363151145</v>
      </c>
      <c r="AG31" s="154" t="s">
        <v>103</v>
      </c>
      <c r="AH31" s="154" t="s">
        <v>421</v>
      </c>
      <c r="AI31" s="154">
        <v>2023</v>
      </c>
      <c r="AJ31" s="154" t="str">
        <f t="shared" ref="AJ31:AL31" si="45">A21</f>
        <v>Road</v>
      </c>
      <c r="AK31" s="154" t="str">
        <f t="shared" si="45"/>
        <v>Neo bulk</v>
      </c>
      <c r="AL31" s="154" t="str">
        <f t="shared" si="45"/>
        <v>Hydrogen</v>
      </c>
      <c r="AM31" s="164">
        <f t="shared" si="23"/>
        <v>0.99000935421338521</v>
      </c>
    </row>
    <row r="32" spans="1:39" x14ac:dyDescent="0.25">
      <c r="A32" s="154" t="s">
        <v>227</v>
      </c>
      <c r="B32" s="154" t="s">
        <v>223</v>
      </c>
      <c r="C32" s="154" t="s">
        <v>103</v>
      </c>
      <c r="D32" s="154">
        <f>FIGURES!AC17</f>
        <v>3.2054382492967229E-2</v>
      </c>
      <c r="E32" s="154">
        <v>3.2054382492967229E-2</v>
      </c>
      <c r="F32" s="154">
        <v>3.1593858425521863E-2</v>
      </c>
      <c r="G32" s="154">
        <v>3.3105868080487003E-2</v>
      </c>
      <c r="I32" s="163">
        <f t="shared" si="31"/>
        <v>1</v>
      </c>
      <c r="J32" s="163">
        <f t="shared" si="32"/>
        <v>0.98563303886617049</v>
      </c>
      <c r="K32" s="163">
        <f t="shared" si="33"/>
        <v>1.0328031771552757</v>
      </c>
      <c r="M32" s="154">
        <f>FIGURES!CF17</f>
        <v>2.6727291340349239E-2</v>
      </c>
      <c r="N32" s="154">
        <v>2.6727291340349239E-2</v>
      </c>
      <c r="O32" s="154">
        <v>2.6111241916928297E-2</v>
      </c>
      <c r="P32" s="154">
        <v>2.7608638890397191E-2</v>
      </c>
      <c r="R32" s="163">
        <f t="shared" si="34"/>
        <v>1</v>
      </c>
      <c r="S32" s="163">
        <f t="shared" si="35"/>
        <v>0.97695054782858171</v>
      </c>
      <c r="T32" s="163">
        <f t="shared" si="36"/>
        <v>1.032975565642801</v>
      </c>
      <c r="W32" s="154">
        <f>FIGURES!EI17</f>
        <v>1.9559415994822228E-2</v>
      </c>
      <c r="X32" s="154">
        <v>1.9559415994822228E-2</v>
      </c>
      <c r="Y32" s="154">
        <v>1.8915134366617417E-2</v>
      </c>
      <c r="Z32" s="154">
        <v>2.0163430021264243E-2</v>
      </c>
      <c r="AB32" s="163">
        <f t="shared" si="37"/>
        <v>1</v>
      </c>
      <c r="AC32" s="163">
        <f t="shared" si="38"/>
        <v>0.96706028296676316</v>
      </c>
      <c r="AD32" s="163">
        <f t="shared" si="39"/>
        <v>1.0308809847186597</v>
      </c>
      <c r="AG32" s="154" t="s">
        <v>423</v>
      </c>
      <c r="AH32" s="154" t="s">
        <v>422</v>
      </c>
      <c r="AI32" s="154">
        <v>2023</v>
      </c>
      <c r="AJ32" s="154" t="str">
        <f>A7</f>
        <v>Road</v>
      </c>
      <c r="AK32" s="154" t="str">
        <f>B7</f>
        <v>Dry bulk</v>
      </c>
      <c r="AL32" s="154" t="str">
        <f>C7</f>
        <v>Diesel</v>
      </c>
      <c r="AM32" s="164">
        <f>K7</f>
        <v>1.0030138702426397</v>
      </c>
    </row>
    <row r="33" spans="1:39" x14ac:dyDescent="0.25">
      <c r="A33" s="154" t="s">
        <v>227</v>
      </c>
      <c r="B33" s="154" t="s">
        <v>224</v>
      </c>
      <c r="C33" s="154" t="s">
        <v>11</v>
      </c>
      <c r="D33" s="154">
        <f>FIGURES!AD17</f>
        <v>2.1470265431767766E-2</v>
      </c>
      <c r="E33" s="154">
        <v>2.1470265431767766E-2</v>
      </c>
      <c r="F33" s="154">
        <v>2.0919868645195999E-2</v>
      </c>
      <c r="G33" s="154">
        <v>2.1659464327151809E-2</v>
      </c>
      <c r="I33" s="163">
        <f t="shared" si="31"/>
        <v>1</v>
      </c>
      <c r="J33" s="163">
        <f t="shared" si="32"/>
        <v>0.9743646957546509</v>
      </c>
      <c r="K33" s="163">
        <f t="shared" si="33"/>
        <v>1.0088121358343387</v>
      </c>
      <c r="M33" s="154">
        <f>FIGURES!CG17</f>
        <v>2.0422821458775088E-2</v>
      </c>
      <c r="N33" s="154">
        <v>2.0422821458775088E-2</v>
      </c>
      <c r="O33" s="154">
        <v>1.8553765704375114E-2</v>
      </c>
      <c r="P33" s="154">
        <v>2.119108364003152E-2</v>
      </c>
      <c r="R33" s="163">
        <f t="shared" si="34"/>
        <v>1</v>
      </c>
      <c r="S33" s="163">
        <f t="shared" si="35"/>
        <v>0.90848200097264742</v>
      </c>
      <c r="T33" s="163">
        <f t="shared" si="36"/>
        <v>1.037617827821059</v>
      </c>
      <c r="W33" s="154">
        <f>FIGURES!EJ17</f>
        <v>1.9880517541564273E-2</v>
      </c>
      <c r="X33" s="154">
        <v>1.9880517541564273E-2</v>
      </c>
      <c r="Y33" s="154">
        <v>1.7873862590521362E-2</v>
      </c>
      <c r="Z33" s="154">
        <v>2.119917650939248E-2</v>
      </c>
      <c r="AB33" s="163">
        <f t="shared" si="37"/>
        <v>1</v>
      </c>
      <c r="AC33" s="163">
        <f t="shared" si="38"/>
        <v>0.89906424986937139</v>
      </c>
      <c r="AD33" s="163">
        <f t="shared" si="39"/>
        <v>1.0663292072286992</v>
      </c>
      <c r="AG33" s="154" t="s">
        <v>87</v>
      </c>
      <c r="AH33" s="154" t="s">
        <v>422</v>
      </c>
      <c r="AI33" s="154">
        <v>2023</v>
      </c>
      <c r="AJ33" s="154" t="str">
        <f t="shared" ref="AJ33:AL33" si="46">A8</f>
        <v>Road</v>
      </c>
      <c r="AK33" s="154" t="str">
        <f t="shared" si="46"/>
        <v>Dry bulk</v>
      </c>
      <c r="AL33" s="154" t="str">
        <f t="shared" si="46"/>
        <v>Battery</v>
      </c>
      <c r="AM33" s="164">
        <f t="shared" ref="AM33:AM46" si="47">K8</f>
        <v>1.0069706504563516</v>
      </c>
    </row>
    <row r="34" spans="1:39" x14ac:dyDescent="0.25">
      <c r="A34" s="154" t="s">
        <v>227</v>
      </c>
      <c r="B34" s="154" t="s">
        <v>224</v>
      </c>
      <c r="C34" s="154" t="s">
        <v>136</v>
      </c>
      <c r="D34" s="154">
        <f>FIGURES!AE17</f>
        <v>1.7248335635637553E-2</v>
      </c>
      <c r="E34" s="154">
        <v>1.7248335635637553E-2</v>
      </c>
      <c r="F34" s="154">
        <v>1.7057582483756988E-2</v>
      </c>
      <c r="G34" s="154">
        <v>1.7683870288775261E-2</v>
      </c>
      <c r="I34" s="163">
        <f t="shared" si="31"/>
        <v>1</v>
      </c>
      <c r="J34" s="163">
        <f t="shared" si="32"/>
        <v>0.9889407792200865</v>
      </c>
      <c r="K34" s="163">
        <f t="shared" si="33"/>
        <v>1.0252508220119414</v>
      </c>
      <c r="M34" s="154">
        <f>FIGURES!CH17</f>
        <v>1.7521785240645533E-2</v>
      </c>
      <c r="N34" s="154">
        <v>1.7521785240645533E-2</v>
      </c>
      <c r="O34" s="154">
        <v>1.7238412061262268E-2</v>
      </c>
      <c r="P34" s="154">
        <v>1.7926446551282338E-2</v>
      </c>
      <c r="R34" s="163">
        <f t="shared" si="34"/>
        <v>1</v>
      </c>
      <c r="S34" s="163">
        <f t="shared" si="35"/>
        <v>0.98382737971665579</v>
      </c>
      <c r="T34" s="163">
        <f t="shared" si="36"/>
        <v>1.0230947534785499</v>
      </c>
      <c r="W34" s="154">
        <f>FIGURES!EK17</f>
        <v>1.716012608563498E-2</v>
      </c>
      <c r="X34" s="154">
        <v>1.716012608563498E-2</v>
      </c>
      <c r="Y34" s="154">
        <v>1.6807287885624685E-2</v>
      </c>
      <c r="Z34" s="154">
        <v>1.7490911898144633E-2</v>
      </c>
      <c r="AB34" s="163">
        <f t="shared" si="37"/>
        <v>1</v>
      </c>
      <c r="AC34" s="163">
        <f t="shared" si="38"/>
        <v>0.97943848441150672</v>
      </c>
      <c r="AD34" s="163">
        <f t="shared" si="39"/>
        <v>1.0192764208642127</v>
      </c>
      <c r="AG34" s="154" t="s">
        <v>103</v>
      </c>
      <c r="AH34" s="154" t="s">
        <v>422</v>
      </c>
      <c r="AI34" s="154">
        <v>2023</v>
      </c>
      <c r="AJ34" s="154" t="str">
        <f t="shared" ref="AJ34:AL34" si="48">A9</f>
        <v>Road</v>
      </c>
      <c r="AK34" s="154" t="str">
        <f t="shared" si="48"/>
        <v>Dry bulk</v>
      </c>
      <c r="AL34" s="154" t="str">
        <f t="shared" si="48"/>
        <v>Hydrogen</v>
      </c>
      <c r="AM34" s="164">
        <f t="shared" si="47"/>
        <v>1.0153432968629257</v>
      </c>
    </row>
    <row r="35" spans="1:39" x14ac:dyDescent="0.25">
      <c r="A35" s="154" t="s">
        <v>227</v>
      </c>
      <c r="B35" s="154" t="s">
        <v>224</v>
      </c>
      <c r="C35" s="154" t="s">
        <v>87</v>
      </c>
      <c r="D35" s="154">
        <f>FIGURES!AF17</f>
        <v>2.4217951941717931E-2</v>
      </c>
      <c r="E35" s="154">
        <v>2.4217951941717931E-2</v>
      </c>
      <c r="F35" s="154">
        <v>2.4012095868241601E-2</v>
      </c>
      <c r="G35" s="154">
        <v>2.4687970144163886E-2</v>
      </c>
      <c r="I35" s="163">
        <f t="shared" si="31"/>
        <v>1</v>
      </c>
      <c r="J35" s="163">
        <f t="shared" si="32"/>
        <v>0.99149985622352643</v>
      </c>
      <c r="K35" s="163">
        <f t="shared" si="33"/>
        <v>1.0194078427266304</v>
      </c>
      <c r="M35" s="154">
        <f>FIGURES!CI17</f>
        <v>2.2271818609021943E-2</v>
      </c>
      <c r="N35" s="154">
        <v>2.2271818609021943E-2</v>
      </c>
      <c r="O35" s="154">
        <v>2.1967052678553235E-2</v>
      </c>
      <c r="P35" s="154">
        <v>2.2707029101169868E-2</v>
      </c>
      <c r="R35" s="163">
        <f t="shared" si="34"/>
        <v>1</v>
      </c>
      <c r="S35" s="163">
        <f t="shared" si="35"/>
        <v>0.98631607342809213</v>
      </c>
      <c r="T35" s="163">
        <f t="shared" si="36"/>
        <v>1.0195408601240865</v>
      </c>
      <c r="W35" s="154">
        <f>FIGURES!EL17</f>
        <v>1.8975509562907757E-2</v>
      </c>
      <c r="X35" s="154">
        <v>1.8975509562907757E-2</v>
      </c>
      <c r="Y35" s="154">
        <v>1.8597704142622438E-2</v>
      </c>
      <c r="Z35" s="154">
        <v>1.9329702144425247E-2</v>
      </c>
      <c r="AB35" s="163">
        <f t="shared" si="37"/>
        <v>1</v>
      </c>
      <c r="AC35" s="163">
        <f t="shared" si="38"/>
        <v>0.98008984058990267</v>
      </c>
      <c r="AD35" s="163">
        <f t="shared" si="39"/>
        <v>1.0186657744469665</v>
      </c>
      <c r="AG35" s="154" t="s">
        <v>423</v>
      </c>
      <c r="AH35" s="154" t="s">
        <v>422</v>
      </c>
      <c r="AI35" s="154">
        <v>2023</v>
      </c>
      <c r="AJ35" s="154" t="str">
        <f t="shared" ref="AJ35:AL35" si="49">A10</f>
        <v>Road</v>
      </c>
      <c r="AK35" s="154" t="str">
        <f t="shared" si="49"/>
        <v>Liquid bulk</v>
      </c>
      <c r="AL35" s="154" t="str">
        <f t="shared" si="49"/>
        <v>Diesel</v>
      </c>
      <c r="AM35" s="164">
        <f t="shared" si="47"/>
        <v>1.005240823499894</v>
      </c>
    </row>
    <row r="36" spans="1:39" x14ac:dyDescent="0.25">
      <c r="A36" s="154" t="s">
        <v>227</v>
      </c>
      <c r="B36" s="154" t="s">
        <v>224</v>
      </c>
      <c r="C36" s="154" t="s">
        <v>103</v>
      </c>
      <c r="D36" s="154">
        <f>FIGURES!AG17</f>
        <v>3.0784480924234296E-2</v>
      </c>
      <c r="E36" s="154">
        <v>3.0784480924234296E-2</v>
      </c>
      <c r="F36" s="154">
        <v>3.0323956856788927E-2</v>
      </c>
      <c r="G36" s="154">
        <v>3.1835966511754063E-2</v>
      </c>
      <c r="I36" s="163">
        <f t="shared" si="31"/>
        <v>1</v>
      </c>
      <c r="J36" s="163">
        <f t="shared" si="32"/>
        <v>0.98504038224393664</v>
      </c>
      <c r="K36" s="163">
        <f t="shared" si="33"/>
        <v>1.0341563526800288</v>
      </c>
      <c r="M36" s="154">
        <f>FIGURES!CJ17</f>
        <v>2.5457389771616303E-2</v>
      </c>
      <c r="N36" s="154">
        <v>2.5457389771616303E-2</v>
      </c>
      <c r="O36" s="154">
        <v>2.4841340348195354E-2</v>
      </c>
      <c r="P36" s="154">
        <v>2.6338737321664259E-2</v>
      </c>
      <c r="R36" s="163">
        <f t="shared" si="34"/>
        <v>1</v>
      </c>
      <c r="S36" s="163">
        <f t="shared" si="35"/>
        <v>0.97580076241328517</v>
      </c>
      <c r="T36" s="163">
        <f t="shared" si="36"/>
        <v>1.0346204995074009</v>
      </c>
      <c r="W36" s="154">
        <f>FIGURES!EM17</f>
        <v>1.8289514426089285E-2</v>
      </c>
      <c r="X36" s="154">
        <v>1.8289514426089285E-2</v>
      </c>
      <c r="Y36" s="154">
        <v>1.7645232797884478E-2</v>
      </c>
      <c r="Z36" s="154">
        <v>1.8893528452531304E-2</v>
      </c>
      <c r="AB36" s="163">
        <f t="shared" si="37"/>
        <v>1</v>
      </c>
      <c r="AC36" s="163">
        <f t="shared" si="38"/>
        <v>0.96477316930373147</v>
      </c>
      <c r="AD36" s="163">
        <f t="shared" si="39"/>
        <v>1.0330251537777524</v>
      </c>
      <c r="AG36" s="154" t="s">
        <v>87</v>
      </c>
      <c r="AH36" s="154" t="s">
        <v>422</v>
      </c>
      <c r="AI36" s="154">
        <v>2023</v>
      </c>
      <c r="AJ36" s="154" t="str">
        <f t="shared" ref="AJ36:AL36" si="50">A11</f>
        <v>Road</v>
      </c>
      <c r="AK36" s="154" t="str">
        <f t="shared" si="50"/>
        <v>Liquid bulk</v>
      </c>
      <c r="AL36" s="154" t="str">
        <f t="shared" si="50"/>
        <v>Battery</v>
      </c>
      <c r="AM36" s="164">
        <f t="shared" si="47"/>
        <v>1.0127078082271725</v>
      </c>
    </row>
    <row r="37" spans="1:39" x14ac:dyDescent="0.25">
      <c r="A37" s="154" t="s">
        <v>227</v>
      </c>
      <c r="B37" s="154" t="s">
        <v>225</v>
      </c>
      <c r="C37" s="154" t="s">
        <v>11</v>
      </c>
      <c r="D37" s="154">
        <f>FIGURES!AH17</f>
        <v>1.9265681698315947E-2</v>
      </c>
      <c r="E37" s="154">
        <v>1.9265681698315947E-2</v>
      </c>
      <c r="F37" s="154">
        <v>1.8939520639606751E-2</v>
      </c>
      <c r="G37" s="154">
        <v>1.9377799562247236E-2</v>
      </c>
      <c r="I37" s="163">
        <f t="shared" si="31"/>
        <v>1</v>
      </c>
      <c r="J37" s="163">
        <f t="shared" si="32"/>
        <v>0.98307035983379165</v>
      </c>
      <c r="K37" s="163">
        <f t="shared" si="33"/>
        <v>1.0058195638071343</v>
      </c>
      <c r="M37" s="154">
        <f>FIGURES!CK17</f>
        <v>1.8644974158764732E-2</v>
      </c>
      <c r="N37" s="154">
        <v>1.8644974158764732E-2</v>
      </c>
      <c r="O37" s="154">
        <v>1.7537385563564746E-2</v>
      </c>
      <c r="P37" s="154">
        <v>1.910024063654632E-2</v>
      </c>
      <c r="R37" s="163">
        <f t="shared" si="34"/>
        <v>1</v>
      </c>
      <c r="S37" s="163">
        <f t="shared" si="35"/>
        <v>0.94059586321929411</v>
      </c>
      <c r="T37" s="163">
        <f t="shared" si="36"/>
        <v>1.0244176513147685</v>
      </c>
      <c r="W37" s="154">
        <f>FIGURES!EN17</f>
        <v>1.8323608874491658E-2</v>
      </c>
      <c r="X37" s="154">
        <v>1.8323608874491658E-2</v>
      </c>
      <c r="Y37" s="154">
        <v>1.7134480014614373E-2</v>
      </c>
      <c r="Z37" s="154">
        <v>1.9105036410982441E-2</v>
      </c>
      <c r="AB37" s="163">
        <f t="shared" si="37"/>
        <v>1</v>
      </c>
      <c r="AC37" s="163">
        <f t="shared" si="38"/>
        <v>0.9351040033640603</v>
      </c>
      <c r="AD37" s="163">
        <f t="shared" si="39"/>
        <v>1.0426459406464745</v>
      </c>
      <c r="AG37" s="154" t="s">
        <v>103</v>
      </c>
      <c r="AH37" s="154" t="s">
        <v>422</v>
      </c>
      <c r="AI37" s="154">
        <v>2023</v>
      </c>
      <c r="AJ37" s="154" t="str">
        <f t="shared" ref="AJ37:AL37" si="51">A12</f>
        <v>Road</v>
      </c>
      <c r="AK37" s="154" t="str">
        <f t="shared" si="51"/>
        <v>Liquid bulk</v>
      </c>
      <c r="AL37" s="154" t="str">
        <f t="shared" si="51"/>
        <v>Hydrogen</v>
      </c>
      <c r="AM37" s="164">
        <f t="shared" si="47"/>
        <v>1.0260447504862893</v>
      </c>
    </row>
    <row r="38" spans="1:39" x14ac:dyDescent="0.25">
      <c r="A38" s="154" t="s">
        <v>227</v>
      </c>
      <c r="B38" s="154" t="s">
        <v>225</v>
      </c>
      <c r="C38" s="154" t="s">
        <v>136</v>
      </c>
      <c r="D38" s="154">
        <f>FIGURES!AI17</f>
        <v>1.6763797374683229E-2</v>
      </c>
      <c r="E38" s="154">
        <v>1.6763797374683229E-2</v>
      </c>
      <c r="F38" s="154">
        <v>1.6650758469865117E-2</v>
      </c>
      <c r="G38" s="154">
        <v>1.7021891983950016E-2</v>
      </c>
      <c r="I38" s="163">
        <f t="shared" si="31"/>
        <v>1</v>
      </c>
      <c r="J38" s="163">
        <f t="shared" si="32"/>
        <v>0.99325696306799649</v>
      </c>
      <c r="K38" s="163">
        <f t="shared" si="33"/>
        <v>1.0153959513765396</v>
      </c>
      <c r="M38" s="154">
        <f>FIGURES!CL17</f>
        <v>1.6925841585058325E-2</v>
      </c>
      <c r="N38" s="154">
        <v>1.6925841585058325E-2</v>
      </c>
      <c r="O38" s="154">
        <v>1.6757916738016389E-2</v>
      </c>
      <c r="P38" s="154">
        <v>1.7165640880250507E-2</v>
      </c>
      <c r="R38" s="163">
        <f t="shared" si="34"/>
        <v>1</v>
      </c>
      <c r="S38" s="163">
        <f t="shared" si="35"/>
        <v>0.99007878892177648</v>
      </c>
      <c r="T38" s="163">
        <f t="shared" si="36"/>
        <v>1.0141676438354399</v>
      </c>
      <c r="W38" s="154">
        <f>FIGURES!EO17</f>
        <v>1.6711525048755775E-2</v>
      </c>
      <c r="X38" s="154">
        <v>1.6711525048755775E-2</v>
      </c>
      <c r="Y38" s="154">
        <v>1.6502435745045972E-2</v>
      </c>
      <c r="Z38" s="154">
        <v>1.6907546270983717E-2</v>
      </c>
      <c r="AB38" s="163">
        <f t="shared" si="37"/>
        <v>1</v>
      </c>
      <c r="AC38" s="163">
        <f t="shared" si="38"/>
        <v>0.9874883170087837</v>
      </c>
      <c r="AD38" s="163">
        <f t="shared" si="39"/>
        <v>1.0117297028042653</v>
      </c>
      <c r="AG38" s="154" t="s">
        <v>423</v>
      </c>
      <c r="AH38" s="154" t="s">
        <v>422</v>
      </c>
      <c r="AI38" s="154">
        <v>2023</v>
      </c>
      <c r="AJ38" s="154" t="str">
        <f t="shared" ref="AJ38:AL38" si="52">A13</f>
        <v>Road</v>
      </c>
      <c r="AK38" s="154" t="str">
        <f t="shared" si="52"/>
        <v>Container</v>
      </c>
      <c r="AL38" s="154" t="str">
        <f t="shared" si="52"/>
        <v>Diesel</v>
      </c>
      <c r="AM38" s="164">
        <f t="shared" si="47"/>
        <v>1.0051922420392942</v>
      </c>
    </row>
    <row r="39" spans="1:39" x14ac:dyDescent="0.25">
      <c r="A39" s="154" t="s">
        <v>227</v>
      </c>
      <c r="B39" s="154" t="s">
        <v>225</v>
      </c>
      <c r="C39" s="154" t="s">
        <v>87</v>
      </c>
      <c r="D39" s="154">
        <f>FIGURES!AJ17</f>
        <v>2.1221213958628901E-2</v>
      </c>
      <c r="E39" s="154">
        <v>2.1221213958628901E-2</v>
      </c>
      <c r="F39" s="154">
        <v>2.1097929272656427E-2</v>
      </c>
      <c r="G39" s="154">
        <v>2.1502702114462001E-2</v>
      </c>
      <c r="I39" s="163">
        <f t="shared" si="31"/>
        <v>1</v>
      </c>
      <c r="J39" s="163">
        <f t="shared" si="32"/>
        <v>0.99419049795111536</v>
      </c>
      <c r="K39" s="163">
        <f t="shared" si="33"/>
        <v>1.0132644699960081</v>
      </c>
      <c r="M39" s="154">
        <f>FIGURES!CM17</f>
        <v>1.9986514239513552E-2</v>
      </c>
      <c r="N39" s="154">
        <v>1.9986514239513552E-2</v>
      </c>
      <c r="O39" s="154">
        <v>1.9804412162157507E-2</v>
      </c>
      <c r="P39" s="154">
        <v>2.0246558840251564E-2</v>
      </c>
      <c r="R39" s="163">
        <f t="shared" si="34"/>
        <v>1</v>
      </c>
      <c r="S39" s="163">
        <f t="shared" si="35"/>
        <v>0.99088875252714015</v>
      </c>
      <c r="T39" s="163">
        <f t="shared" si="36"/>
        <v>1.0130110032005433</v>
      </c>
      <c r="W39" s="154">
        <f>FIGURES!EP17</f>
        <v>1.7933559776614191E-2</v>
      </c>
      <c r="X39" s="154">
        <v>1.7933559776614191E-2</v>
      </c>
      <c r="Y39" s="154">
        <v>1.7708487558648144E-2</v>
      </c>
      <c r="Z39" s="154">
        <v>1.8144564980957366E-2</v>
      </c>
      <c r="AB39" s="163">
        <f t="shared" si="37"/>
        <v>1</v>
      </c>
      <c r="AC39" s="163">
        <f t="shared" si="38"/>
        <v>0.98744966304684545</v>
      </c>
      <c r="AD39" s="163">
        <f t="shared" si="39"/>
        <v>1.0117659408935826</v>
      </c>
      <c r="AG39" s="154" t="s">
        <v>87</v>
      </c>
      <c r="AH39" s="154" t="s">
        <v>422</v>
      </c>
      <c r="AI39" s="154">
        <v>2023</v>
      </c>
      <c r="AJ39" s="154" t="str">
        <f t="shared" ref="AJ39:AL39" si="53">A14</f>
        <v>Road</v>
      </c>
      <c r="AK39" s="154" t="str">
        <f t="shared" si="53"/>
        <v>Container</v>
      </c>
      <c r="AL39" s="154" t="str">
        <f t="shared" si="53"/>
        <v>Battery</v>
      </c>
      <c r="AM39" s="164">
        <f t="shared" si="47"/>
        <v>1.0124946446569481</v>
      </c>
    </row>
    <row r="40" spans="1:39" x14ac:dyDescent="0.25">
      <c r="A40" s="154" t="s">
        <v>227</v>
      </c>
      <c r="B40" s="154" t="s">
        <v>225</v>
      </c>
      <c r="C40" s="154" t="s">
        <v>103</v>
      </c>
      <c r="D40" s="154">
        <f>FIGURES!AK17</f>
        <v>2.4968173966746804E-2</v>
      </c>
      <c r="E40" s="154">
        <v>2.4968173966746804E-2</v>
      </c>
      <c r="F40" s="154">
        <v>2.4693826536302244E-2</v>
      </c>
      <c r="G40" s="154">
        <v>2.5594574169206932E-2</v>
      </c>
      <c r="I40" s="163">
        <f>E40/E40</f>
        <v>1</v>
      </c>
      <c r="J40" s="163">
        <f>F40/E40</f>
        <v>0.98901211475016382</v>
      </c>
      <c r="K40" s="163">
        <f>G40/E40</f>
        <v>1.0250879460906666</v>
      </c>
      <c r="M40" s="154">
        <f>FIGURES!CN17</f>
        <v>2.1794672573927469E-2</v>
      </c>
      <c r="N40" s="154">
        <v>2.1794672573927469E-2</v>
      </c>
      <c r="O40" s="154">
        <v>2.1427674216425909E-2</v>
      </c>
      <c r="P40" s="154">
        <v>2.2319716654740793E-2</v>
      </c>
      <c r="R40" s="163">
        <f>N40/N40</f>
        <v>1</v>
      </c>
      <c r="S40" s="163">
        <f>O40/N40</f>
        <v>0.98316109791249662</v>
      </c>
      <c r="T40" s="163">
        <f>P40/N40</f>
        <v>1.0240904780300037</v>
      </c>
      <c r="W40" s="154">
        <f>FIGURES!EQ17</f>
        <v>1.7524563101254713E-2</v>
      </c>
      <c r="X40" s="154">
        <v>1.7524563101254713E-2</v>
      </c>
      <c r="Y40" s="154">
        <v>1.7140746007479047E-2</v>
      </c>
      <c r="Z40" s="154">
        <v>1.7884391626669393E-2</v>
      </c>
      <c r="AB40" s="163">
        <f>X40/X40</f>
        <v>1</v>
      </c>
      <c r="AC40" s="163">
        <f>Y40/X40</f>
        <v>0.97809833594378248</v>
      </c>
      <c r="AD40" s="163">
        <f>Z40/X40</f>
        <v>1.0205328100527036</v>
      </c>
      <c r="AG40" s="154" t="s">
        <v>103</v>
      </c>
      <c r="AH40" s="154" t="s">
        <v>422</v>
      </c>
      <c r="AI40" s="154">
        <v>2023</v>
      </c>
      <c r="AJ40" s="154" t="str">
        <f t="shared" ref="AJ40:AL40" si="54">A15</f>
        <v>Road</v>
      </c>
      <c r="AK40" s="154" t="str">
        <f t="shared" si="54"/>
        <v>Container</v>
      </c>
      <c r="AL40" s="154" t="str">
        <f t="shared" si="54"/>
        <v>Hydrogen</v>
      </c>
      <c r="AM40" s="164">
        <f t="shared" si="47"/>
        <v>1.0256367681491996</v>
      </c>
    </row>
    <row r="41" spans="1:39" x14ac:dyDescent="0.25">
      <c r="A41" s="154" t="s">
        <v>227</v>
      </c>
      <c r="B41" s="154" t="s">
        <v>226</v>
      </c>
      <c r="C41" s="154" t="s">
        <v>11</v>
      </c>
      <c r="D41" s="154">
        <f>FIGURES!AL17</f>
        <v>2.2310818156442702E-2</v>
      </c>
      <c r="E41" s="154">
        <v>2.2310818156442702E-2</v>
      </c>
      <c r="F41" s="154">
        <v>2.1760421369870931E-2</v>
      </c>
      <c r="G41" s="154">
        <v>2.2500017051826748E-2</v>
      </c>
      <c r="I41" s="163">
        <f t="shared" ref="I41:I44" si="55">E41/E41</f>
        <v>1</v>
      </c>
      <c r="J41" s="163">
        <f t="shared" ref="J41:J44" si="56">F41/E41</f>
        <v>0.97533049739761191</v>
      </c>
      <c r="K41" s="163">
        <f t="shared" ref="K41:K44" si="57">G41/E41</f>
        <v>1.008480141519571</v>
      </c>
      <c r="M41" s="154">
        <f>FIGURES!CO17</f>
        <v>2.1263374183450028E-2</v>
      </c>
      <c r="N41" s="154">
        <v>2.1263374183450028E-2</v>
      </c>
      <c r="O41" s="154">
        <v>1.939431842905005E-2</v>
      </c>
      <c r="P41" s="154">
        <v>2.2031636364706456E-2</v>
      </c>
      <c r="R41" s="163">
        <f t="shared" ref="R41:R44" si="58">N41/N41</f>
        <v>1</v>
      </c>
      <c r="S41" s="163">
        <f t="shared" ref="S41:S44" si="59">O41/N41</f>
        <v>0.91209975715638192</v>
      </c>
      <c r="T41" s="163">
        <f t="shared" ref="T41:T44" si="60">P41/N41</f>
        <v>1.0361307746657815</v>
      </c>
      <c r="W41" s="154">
        <f>FIGURES!ER17</f>
        <v>2.0721070266239212E-2</v>
      </c>
      <c r="X41" s="154">
        <v>2.0721070266239212E-2</v>
      </c>
      <c r="Y41" s="154">
        <v>1.8714415315196298E-2</v>
      </c>
      <c r="Z41" s="154">
        <v>2.2039729234067412E-2</v>
      </c>
      <c r="AB41" s="163">
        <f t="shared" ref="AB41:AB44" si="61">X41/X41</f>
        <v>1</v>
      </c>
      <c r="AC41" s="163">
        <f t="shared" ref="AC41:AC44" si="62">Y41/X41</f>
        <v>0.90315872079675574</v>
      </c>
      <c r="AD41" s="163">
        <f t="shared" ref="AD41:AD44" si="63">Z41/X41</f>
        <v>1.0636385549049889</v>
      </c>
      <c r="AG41" s="154" t="s">
        <v>423</v>
      </c>
      <c r="AH41" s="154" t="s">
        <v>422</v>
      </c>
      <c r="AI41" s="154">
        <v>2023</v>
      </c>
      <c r="AJ41" s="154" t="str">
        <f t="shared" ref="AJ41:AL41" si="64">A16</f>
        <v>Road</v>
      </c>
      <c r="AK41" s="154" t="str">
        <f t="shared" si="64"/>
        <v>Break bulk</v>
      </c>
      <c r="AL41" s="154" t="str">
        <f t="shared" si="64"/>
        <v>Diesel</v>
      </c>
      <c r="AM41" s="164">
        <f t="shared" si="47"/>
        <v>1.0040557798417171</v>
      </c>
    </row>
    <row r="42" spans="1:39" x14ac:dyDescent="0.25">
      <c r="A42" s="154" t="s">
        <v>227</v>
      </c>
      <c r="B42" s="154" t="s">
        <v>226</v>
      </c>
      <c r="C42" s="154" t="s">
        <v>136</v>
      </c>
      <c r="D42" s="154">
        <f>FIGURES!AM17</f>
        <v>1.8088888360312493E-2</v>
      </c>
      <c r="E42" s="154">
        <v>1.8088888360312493E-2</v>
      </c>
      <c r="F42" s="154">
        <v>1.7898135208431927E-2</v>
      </c>
      <c r="G42" s="154">
        <v>1.8524423013450197E-2</v>
      </c>
      <c r="I42" s="163">
        <f t="shared" si="55"/>
        <v>1</v>
      </c>
      <c r="J42" s="163">
        <f t="shared" si="56"/>
        <v>0.9894546780276956</v>
      </c>
      <c r="K42" s="163">
        <f t="shared" si="57"/>
        <v>1.0240774692431227</v>
      </c>
      <c r="M42" s="154">
        <f>FIGURES!CP17</f>
        <v>1.8362337965320469E-2</v>
      </c>
      <c r="N42" s="154">
        <v>1.8362337965320469E-2</v>
      </c>
      <c r="O42" s="154">
        <v>1.8078964785937204E-2</v>
      </c>
      <c r="P42" s="154">
        <v>1.8766999275957274E-2</v>
      </c>
      <c r="R42" s="163">
        <f t="shared" si="58"/>
        <v>1</v>
      </c>
      <c r="S42" s="163">
        <f t="shared" si="59"/>
        <v>0.98456769612244088</v>
      </c>
      <c r="T42" s="163">
        <f t="shared" si="60"/>
        <v>1.0220375701286546</v>
      </c>
      <c r="W42" s="154">
        <f>FIGURES!ES17</f>
        <v>1.8000678810309916E-2</v>
      </c>
      <c r="X42" s="154">
        <v>1.8000678810309916E-2</v>
      </c>
      <c r="Y42" s="154">
        <v>1.7647840610299621E-2</v>
      </c>
      <c r="Z42" s="154">
        <v>1.8331464622819565E-2</v>
      </c>
      <c r="AB42" s="163">
        <f t="shared" si="61"/>
        <v>1</v>
      </c>
      <c r="AC42" s="163">
        <f t="shared" si="62"/>
        <v>0.98039861697836606</v>
      </c>
      <c r="AD42" s="163">
        <f t="shared" si="63"/>
        <v>1.0183762965827818</v>
      </c>
      <c r="AG42" s="154" t="s">
        <v>87</v>
      </c>
      <c r="AH42" s="154" t="s">
        <v>422</v>
      </c>
      <c r="AI42" s="154">
        <v>2023</v>
      </c>
      <c r="AJ42" s="154" t="str">
        <f t="shared" ref="AJ42:AL42" si="65">A17</f>
        <v>Road</v>
      </c>
      <c r="AK42" s="154" t="str">
        <f t="shared" si="65"/>
        <v>Break bulk</v>
      </c>
      <c r="AL42" s="154" t="str">
        <f t="shared" si="65"/>
        <v>Battery</v>
      </c>
      <c r="AM42" s="164">
        <f t="shared" si="47"/>
        <v>1.0095666203350515</v>
      </c>
    </row>
    <row r="43" spans="1:39" x14ac:dyDescent="0.25">
      <c r="A43" s="154" t="s">
        <v>227</v>
      </c>
      <c r="B43" s="154" t="s">
        <v>226</v>
      </c>
      <c r="C43" s="154" t="s">
        <v>87</v>
      </c>
      <c r="D43" s="154">
        <f>FIGURES!AN17</f>
        <v>2.49301340667612E-2</v>
      </c>
      <c r="E43" s="154">
        <v>2.49301340667612E-2</v>
      </c>
      <c r="F43" s="154">
        <v>2.4725437966150184E-2</v>
      </c>
      <c r="G43" s="154">
        <v>2.5397503776248789E-2</v>
      </c>
      <c r="I43" s="163">
        <f t="shared" si="55"/>
        <v>1</v>
      </c>
      <c r="J43" s="163">
        <f t="shared" si="56"/>
        <v>0.99178920979474661</v>
      </c>
      <c r="K43" s="163">
        <f t="shared" si="57"/>
        <v>1.0187471799484111</v>
      </c>
      <c r="M43" s="154">
        <f>FIGURES!CQ17</f>
        <v>2.302084239242996E-2</v>
      </c>
      <c r="N43" s="154">
        <v>2.302084239242996E-2</v>
      </c>
      <c r="O43" s="154">
        <v>2.2717415386607508E-2</v>
      </c>
      <c r="P43" s="154">
        <v>2.3454140879343735E-2</v>
      </c>
      <c r="R43" s="163">
        <f t="shared" si="58"/>
        <v>1</v>
      </c>
      <c r="S43" s="163">
        <f t="shared" si="59"/>
        <v>0.9868194655673318</v>
      </c>
      <c r="T43" s="163">
        <f t="shared" si="60"/>
        <v>1.0188220083143551</v>
      </c>
      <c r="W43" s="154">
        <f>FIGURES!ET17</f>
        <v>1.976704357882381E-2</v>
      </c>
      <c r="X43" s="154">
        <v>1.976704357882381E-2</v>
      </c>
      <c r="Y43" s="154">
        <v>1.9390294272631441E-2</v>
      </c>
      <c r="Z43" s="154">
        <v>2.0120246053379153E-2</v>
      </c>
      <c r="AB43" s="163">
        <f t="shared" si="61"/>
        <v>1</v>
      </c>
      <c r="AC43" s="163">
        <f t="shared" si="62"/>
        <v>0.98094053343434851</v>
      </c>
      <c r="AD43" s="163">
        <f t="shared" si="63"/>
        <v>1.0178682499052982</v>
      </c>
      <c r="AG43" s="154" t="s">
        <v>103</v>
      </c>
      <c r="AH43" s="154" t="s">
        <v>422</v>
      </c>
      <c r="AI43" s="154">
        <v>2023</v>
      </c>
      <c r="AJ43" s="154" t="str">
        <f t="shared" ref="AJ43:AL43" si="66">A18</f>
        <v>Road</v>
      </c>
      <c r="AK43" s="154" t="str">
        <f t="shared" si="66"/>
        <v>Break bulk</v>
      </c>
      <c r="AL43" s="154" t="str">
        <f t="shared" si="66"/>
        <v>Hydrogen</v>
      </c>
      <c r="AM43" s="164">
        <f t="shared" si="47"/>
        <v>1.0203660087950106</v>
      </c>
    </row>
    <row r="44" spans="1:39" x14ac:dyDescent="0.25">
      <c r="A44" s="154" t="s">
        <v>227</v>
      </c>
      <c r="B44" s="154" t="s">
        <v>226</v>
      </c>
      <c r="C44" s="154" t="s">
        <v>103</v>
      </c>
      <c r="D44" s="154">
        <f>FIGURES!AO17</f>
        <v>3.1543189491869697E-2</v>
      </c>
      <c r="E44" s="154">
        <v>3.1543189491869697E-2</v>
      </c>
      <c r="F44" s="154">
        <v>3.1083949862595519E-2</v>
      </c>
      <c r="G44" s="154">
        <v>3.259174240264022E-2</v>
      </c>
      <c r="I44" s="163">
        <f t="shared" si="55"/>
        <v>1</v>
      </c>
      <c r="J44" s="163">
        <f t="shared" si="56"/>
        <v>0.98544092602326894</v>
      </c>
      <c r="K44" s="163">
        <f t="shared" si="57"/>
        <v>1.033241816305253</v>
      </c>
      <c r="M44" s="154">
        <f>FIGURES!CR17</f>
        <v>2.6230956019233066E-2</v>
      </c>
      <c r="N44" s="154">
        <v>2.6230956019233066E-2</v>
      </c>
      <c r="O44" s="154">
        <v>2.5616624806543579E-2</v>
      </c>
      <c r="P44" s="154">
        <v>2.7109845421020403E-2</v>
      </c>
      <c r="R44" s="163">
        <f t="shared" si="58"/>
        <v>1</v>
      </c>
      <c r="S44" s="163">
        <f t="shared" si="59"/>
        <v>0.97657991526351362</v>
      </c>
      <c r="T44" s="163">
        <f t="shared" si="60"/>
        <v>1.0335058089816824</v>
      </c>
      <c r="W44" s="154">
        <f>FIGURES!EU17</f>
        <v>1.9083072446885646E-2</v>
      </c>
      <c r="X44" s="154">
        <v>1.9083072446885646E-2</v>
      </c>
      <c r="Y44" s="154">
        <v>1.8440587771271937E-2</v>
      </c>
      <c r="Z44" s="154">
        <v>1.9685401830273497E-2</v>
      </c>
      <c r="AB44" s="163">
        <f t="shared" si="61"/>
        <v>1</v>
      </c>
      <c r="AC44" s="163">
        <f t="shared" si="62"/>
        <v>0.96633222048483269</v>
      </c>
      <c r="AD44" s="163">
        <f t="shared" si="63"/>
        <v>1.0315635432954693</v>
      </c>
      <c r="AG44" s="154" t="s">
        <v>423</v>
      </c>
      <c r="AH44" s="154" t="s">
        <v>422</v>
      </c>
      <c r="AI44" s="154">
        <v>2023</v>
      </c>
      <c r="AJ44" s="154" t="str">
        <f t="shared" ref="AJ44:AL44" si="67">A19</f>
        <v>Road</v>
      </c>
      <c r="AK44" s="154" t="str">
        <f t="shared" si="67"/>
        <v>Neo bulk</v>
      </c>
      <c r="AL44" s="154" t="str">
        <f t="shared" si="67"/>
        <v>Diesel</v>
      </c>
      <c r="AM44" s="164">
        <f t="shared" si="47"/>
        <v>1.0045796038386168</v>
      </c>
    </row>
    <row r="45" spans="1:39" x14ac:dyDescent="0.25">
      <c r="AG45" s="154" t="s">
        <v>87</v>
      </c>
      <c r="AH45" s="154" t="s">
        <v>422</v>
      </c>
      <c r="AI45" s="154">
        <v>2023</v>
      </c>
      <c r="AJ45" s="154" t="str">
        <f t="shared" ref="AJ45:AL45" si="68">A20</f>
        <v>Road</v>
      </c>
      <c r="AK45" s="154" t="str">
        <f t="shared" si="68"/>
        <v>Neo bulk</v>
      </c>
      <c r="AL45" s="154" t="str">
        <f t="shared" si="68"/>
        <v>Battery</v>
      </c>
      <c r="AM45" s="164">
        <f t="shared" si="47"/>
        <v>1.0108984121652742</v>
      </c>
    </row>
    <row r="46" spans="1:39" x14ac:dyDescent="0.25">
      <c r="A46" s="154" t="s">
        <v>412</v>
      </c>
      <c r="I46" s="197" t="s">
        <v>414</v>
      </c>
      <c r="J46" s="197"/>
      <c r="K46" s="197"/>
      <c r="S46" s="197" t="s">
        <v>414</v>
      </c>
      <c r="T46" s="197"/>
      <c r="U46" s="197"/>
      <c r="AB46" s="197" t="s">
        <v>414</v>
      </c>
      <c r="AC46" s="197"/>
      <c r="AD46" s="197"/>
      <c r="AG46" s="154" t="s">
        <v>103</v>
      </c>
      <c r="AH46" s="154" t="s">
        <v>422</v>
      </c>
      <c r="AI46" s="154">
        <v>2023</v>
      </c>
      <c r="AJ46" s="154" t="str">
        <f t="shared" ref="AJ46:AL46" si="69">A21</f>
        <v>Road</v>
      </c>
      <c r="AK46" s="154" t="str">
        <f t="shared" si="69"/>
        <v>Neo bulk</v>
      </c>
      <c r="AL46" s="154" t="str">
        <f t="shared" si="69"/>
        <v>Hydrogen</v>
      </c>
      <c r="AM46" s="164">
        <f t="shared" si="47"/>
        <v>1.0228110120561447</v>
      </c>
    </row>
    <row r="47" spans="1:39" x14ac:dyDescent="0.25">
      <c r="D47" s="161" t="s">
        <v>413</v>
      </c>
      <c r="E47" s="154" t="s">
        <v>420</v>
      </c>
      <c r="F47" s="154" t="s">
        <v>421</v>
      </c>
      <c r="G47" s="154" t="s">
        <v>422</v>
      </c>
      <c r="I47" s="154" t="s">
        <v>420</v>
      </c>
      <c r="J47" s="154" t="s">
        <v>421</v>
      </c>
      <c r="K47" s="154" t="s">
        <v>422</v>
      </c>
      <c r="N47" s="161" t="s">
        <v>413</v>
      </c>
      <c r="O47" s="154" t="s">
        <v>420</v>
      </c>
      <c r="P47" s="154" t="s">
        <v>421</v>
      </c>
      <c r="Q47" s="154" t="s">
        <v>422</v>
      </c>
      <c r="S47" s="154" t="s">
        <v>420</v>
      </c>
      <c r="T47" s="154" t="s">
        <v>421</v>
      </c>
      <c r="U47" s="154" t="s">
        <v>422</v>
      </c>
      <c r="W47" s="161" t="s">
        <v>413</v>
      </c>
      <c r="X47" s="154" t="s">
        <v>420</v>
      </c>
      <c r="Y47" s="154" t="s">
        <v>421</v>
      </c>
      <c r="Z47" s="154" t="s">
        <v>422</v>
      </c>
      <c r="AB47" s="154" t="s">
        <v>420</v>
      </c>
      <c r="AC47" s="154" t="s">
        <v>421</v>
      </c>
      <c r="AD47" s="154" t="s">
        <v>422</v>
      </c>
      <c r="AG47" s="154" t="s">
        <v>423</v>
      </c>
      <c r="AH47" s="154" t="s">
        <v>420</v>
      </c>
      <c r="AI47" s="154">
        <v>2034</v>
      </c>
      <c r="AJ47" s="154" t="str">
        <f>A7</f>
        <v>Road</v>
      </c>
      <c r="AK47" s="154" t="str">
        <f>B7</f>
        <v>Dry bulk</v>
      </c>
      <c r="AL47" s="154" t="str">
        <f>C7</f>
        <v>Diesel</v>
      </c>
      <c r="AM47" s="164">
        <f>R7</f>
        <v>1</v>
      </c>
    </row>
    <row r="48" spans="1:39" x14ac:dyDescent="0.25">
      <c r="A48" s="154" t="s">
        <v>168</v>
      </c>
      <c r="B48" s="154" t="s">
        <v>222</v>
      </c>
      <c r="C48" s="154" t="s">
        <v>280</v>
      </c>
      <c r="D48" s="154">
        <f>FIGURES!B17</f>
        <v>6.723447093602411E-3</v>
      </c>
      <c r="E48" s="154">
        <v>6.723447093602411E-3</v>
      </c>
      <c r="F48" s="154">
        <v>6.4142656974671992E-3</v>
      </c>
      <c r="G48" s="154">
        <v>6.8297281985238902E-3</v>
      </c>
      <c r="I48" s="163">
        <f>E48/E48</f>
        <v>1</v>
      </c>
      <c r="J48" s="163">
        <f>F48/E48</f>
        <v>0.9540144524332751</v>
      </c>
      <c r="K48" s="163">
        <f>G48/E48</f>
        <v>1.0158075319760618</v>
      </c>
      <c r="N48" s="154">
        <f>FIGURES!BE17</f>
        <v>6.0827461416992253E-3</v>
      </c>
      <c r="O48" s="154">
        <v>6.0827461416992253E-3</v>
      </c>
      <c r="P48" s="154">
        <v>5.0407860100282875E-3</v>
      </c>
      <c r="Q48" s="154">
        <v>6.5110365025701023E-3</v>
      </c>
      <c r="S48" s="163">
        <f>O48/O48</f>
        <v>1</v>
      </c>
      <c r="T48" s="163">
        <f>P48/O48</f>
        <v>0.82870234801877418</v>
      </c>
      <c r="U48" s="163">
        <f>Q48/O48</f>
        <v>1.0704106913051665</v>
      </c>
      <c r="W48" s="154">
        <f>FIGURES!DH17</f>
        <v>5.6683610640826379E-3</v>
      </c>
      <c r="X48" s="154">
        <v>5.6683610640826379E-3</v>
      </c>
      <c r="Y48" s="154">
        <v>4.6215283757355171E-3</v>
      </c>
      <c r="Z48" s="154">
        <v>6.3562796878536042E-3</v>
      </c>
      <c r="AB48" s="163">
        <f>X48/X48</f>
        <v>1</v>
      </c>
      <c r="AC48" s="163">
        <f>Y48/X48</f>
        <v>0.81532004109965084</v>
      </c>
      <c r="AD48" s="163">
        <f>Z48/X48</f>
        <v>1.121361115848801</v>
      </c>
      <c r="AG48" s="154" t="s">
        <v>87</v>
      </c>
      <c r="AH48" s="154" t="s">
        <v>420</v>
      </c>
      <c r="AI48" s="154">
        <v>2034</v>
      </c>
      <c r="AJ48" s="154" t="str">
        <f t="shared" ref="AJ48:AL48" si="70">A8</f>
        <v>Road</v>
      </c>
      <c r="AK48" s="154" t="str">
        <f t="shared" si="70"/>
        <v>Dry bulk</v>
      </c>
      <c r="AL48" s="154" t="str">
        <f t="shared" si="70"/>
        <v>Battery</v>
      </c>
      <c r="AM48" s="164">
        <f t="shared" ref="AM48:AM61" si="71">R8</f>
        <v>1</v>
      </c>
    </row>
    <row r="49" spans="1:39" x14ac:dyDescent="0.25">
      <c r="A49" s="154" t="s">
        <v>168</v>
      </c>
      <c r="B49" s="154" t="s">
        <v>222</v>
      </c>
      <c r="C49" s="154" t="s">
        <v>279</v>
      </c>
      <c r="D49" s="154">
        <f>FIGURES!C17</f>
        <v>1.032270109405839E-2</v>
      </c>
      <c r="E49" s="154">
        <v>1.032270109405839E-2</v>
      </c>
      <c r="F49" s="154">
        <v>9.6329818300335598E-3</v>
      </c>
      <c r="G49" s="154">
        <v>1.0559792091066927E-2</v>
      </c>
      <c r="I49" s="163">
        <f t="shared" ref="I49:I62" si="72">E49/E49</f>
        <v>1</v>
      </c>
      <c r="J49" s="163">
        <f t="shared" ref="J49:J62" si="73">F49/E49</f>
        <v>0.93318422593657946</v>
      </c>
      <c r="K49" s="163">
        <f t="shared" ref="K49:K62" si="74">G49/E49</f>
        <v>1.0229679223343009</v>
      </c>
      <c r="N49" s="154">
        <f>FIGURES!BF17</f>
        <v>8.8836488411069524E-3</v>
      </c>
      <c r="O49" s="154">
        <v>8.8836488411069524E-3</v>
      </c>
      <c r="P49" s="154">
        <v>6.5592529229094422E-3</v>
      </c>
      <c r="Q49" s="154">
        <v>9.8390753841697334E-3</v>
      </c>
      <c r="S49" s="163">
        <f t="shared" ref="S49:S62" si="75">O49/O49</f>
        <v>1</v>
      </c>
      <c r="T49" s="163">
        <f t="shared" ref="T49:T62" si="76">P49/O49</f>
        <v>0.73835121583803198</v>
      </c>
      <c r="U49" s="163">
        <f t="shared" ref="U49:U62" si="77">Q49/O49</f>
        <v>1.1075488867414225</v>
      </c>
      <c r="W49" s="154">
        <f>FIGURES!DI17</f>
        <v>7.8771031584756231E-3</v>
      </c>
      <c r="X49" s="154">
        <v>7.8771031584756231E-3</v>
      </c>
      <c r="Y49" s="154">
        <v>5.5418375817325935E-3</v>
      </c>
      <c r="Z49" s="154">
        <v>9.4117062517638985E-3</v>
      </c>
      <c r="AB49" s="163">
        <f t="shared" ref="AB49:AB62" si="78">X49/X49</f>
        <v>1</v>
      </c>
      <c r="AC49" s="163">
        <f t="shared" ref="AC49:AC62" si="79">Y49/X49</f>
        <v>0.70353751502792938</v>
      </c>
      <c r="AD49" s="163">
        <f t="shared" ref="AD49:AD62" si="80">Z49/X49</f>
        <v>1.1948182044102178</v>
      </c>
      <c r="AG49" s="154" t="s">
        <v>103</v>
      </c>
      <c r="AH49" s="154" t="s">
        <v>420</v>
      </c>
      <c r="AI49" s="154">
        <v>2034</v>
      </c>
      <c r="AJ49" s="154" t="str">
        <f t="shared" ref="AJ49:AL49" si="81">A9</f>
        <v>Road</v>
      </c>
      <c r="AK49" s="154" t="str">
        <f t="shared" si="81"/>
        <v>Dry bulk</v>
      </c>
      <c r="AL49" s="154" t="str">
        <f t="shared" si="81"/>
        <v>Hydrogen</v>
      </c>
      <c r="AM49" s="164">
        <f t="shared" si="71"/>
        <v>1</v>
      </c>
    </row>
    <row r="50" spans="1:39" x14ac:dyDescent="0.25">
      <c r="A50" s="154" t="s">
        <v>168</v>
      </c>
      <c r="B50" s="154" t="s">
        <v>222</v>
      </c>
      <c r="C50" s="154" t="s">
        <v>103</v>
      </c>
      <c r="D50" s="154">
        <f>FIGURES!D17</f>
        <v>2.2908180703883885E-2</v>
      </c>
      <c r="E50" s="154">
        <v>2.2908180703883885E-2</v>
      </c>
      <c r="F50" s="154">
        <v>2.2025395067982276E-2</v>
      </c>
      <c r="G50" s="154">
        <v>2.4923789525740158E-2</v>
      </c>
      <c r="I50" s="163">
        <f t="shared" si="72"/>
        <v>1</v>
      </c>
      <c r="J50" s="163">
        <f t="shared" si="73"/>
        <v>0.96146417529559902</v>
      </c>
      <c r="K50" s="163">
        <f t="shared" si="74"/>
        <v>1.0879864205678518</v>
      </c>
      <c r="N50" s="154">
        <f>FIGURES!BG17</f>
        <v>1.995234937158101E-2</v>
      </c>
      <c r="O50" s="154">
        <v>1.995234937158101E-2</v>
      </c>
      <c r="P50" s="154">
        <v>1.8706058797618295E-2</v>
      </c>
      <c r="Q50" s="154">
        <v>2.1735347784127789E-2</v>
      </c>
      <c r="S50" s="163">
        <f t="shared" si="75"/>
        <v>1</v>
      </c>
      <c r="T50" s="163">
        <f t="shared" si="76"/>
        <v>0.93753665040880552</v>
      </c>
      <c r="U50" s="163">
        <f t="shared" si="77"/>
        <v>1.0893628303785809</v>
      </c>
      <c r="W50" s="154">
        <f>FIGURES!DJ17</f>
        <v>1.3237758655356561E-2</v>
      </c>
      <c r="X50" s="154">
        <v>1.3237758655356561E-2</v>
      </c>
      <c r="Y50" s="154">
        <v>1.1970916927807121E-2</v>
      </c>
      <c r="Z50" s="154">
        <v>1.4425422774934169E-2</v>
      </c>
      <c r="AB50" s="163">
        <f t="shared" si="78"/>
        <v>1</v>
      </c>
      <c r="AC50" s="163">
        <f t="shared" si="79"/>
        <v>0.90430088955906274</v>
      </c>
      <c r="AD50" s="163">
        <f t="shared" si="80"/>
        <v>1.0897179160383792</v>
      </c>
      <c r="AG50" s="154" t="s">
        <v>423</v>
      </c>
      <c r="AH50" s="154" t="s">
        <v>420</v>
      </c>
      <c r="AI50" s="154">
        <v>2034</v>
      </c>
      <c r="AJ50" s="154" t="str">
        <f t="shared" ref="AJ50:AL50" si="82">A10</f>
        <v>Road</v>
      </c>
      <c r="AK50" s="154" t="str">
        <f t="shared" si="82"/>
        <v>Liquid bulk</v>
      </c>
      <c r="AL50" s="154" t="str">
        <f t="shared" si="82"/>
        <v>Diesel</v>
      </c>
      <c r="AM50" s="164">
        <f t="shared" si="71"/>
        <v>1</v>
      </c>
    </row>
    <row r="51" spans="1:39" x14ac:dyDescent="0.25">
      <c r="A51" s="154" t="s">
        <v>168</v>
      </c>
      <c r="B51" s="154" t="s">
        <v>222</v>
      </c>
      <c r="C51" s="154" t="s">
        <v>186</v>
      </c>
      <c r="D51" s="154">
        <f>FIGURES!E17</f>
        <v>2.0758202356560212E-2</v>
      </c>
      <c r="E51" s="154">
        <v>2.0758202356560212E-2</v>
      </c>
      <c r="F51" s="154">
        <v>1.9777089481023791E-2</v>
      </c>
      <c r="G51" s="154">
        <v>2.2998315569490169E-2</v>
      </c>
      <c r="I51" s="163">
        <f t="shared" si="72"/>
        <v>1</v>
      </c>
      <c r="J51" s="163">
        <f t="shared" si="73"/>
        <v>0.95273613491746512</v>
      </c>
      <c r="K51" s="163">
        <f t="shared" si="74"/>
        <v>1.1079146052462492</v>
      </c>
      <c r="N51" s="154">
        <f>FIGURES!BH17</f>
        <v>1.9266716721993031E-2</v>
      </c>
      <c r="O51" s="154">
        <v>1.9266716721993031E-2</v>
      </c>
      <c r="P51" s="154">
        <v>1.7880451741358844E-2</v>
      </c>
      <c r="Q51" s="154">
        <v>2.1249968711118561E-2</v>
      </c>
      <c r="S51" s="163">
        <f t="shared" si="75"/>
        <v>1</v>
      </c>
      <c r="T51" s="163">
        <f t="shared" si="76"/>
        <v>0.92804871734830874</v>
      </c>
      <c r="U51" s="163">
        <f t="shared" si="77"/>
        <v>1.102936687020557</v>
      </c>
      <c r="W51" s="154">
        <f>FIGURES!DK17</f>
        <v>1.3348446874230126E-2</v>
      </c>
      <c r="X51" s="154">
        <v>1.3348446874230126E-2</v>
      </c>
      <c r="Y51" s="154">
        <v>1.1929596894917977E-2</v>
      </c>
      <c r="Z51" s="154">
        <v>1.467861872983527E-2</v>
      </c>
      <c r="AB51" s="163">
        <f t="shared" si="78"/>
        <v>1</v>
      </c>
      <c r="AC51" s="163">
        <f t="shared" si="79"/>
        <v>0.89370673662032452</v>
      </c>
      <c r="AD51" s="163">
        <f t="shared" si="80"/>
        <v>1.0996499344184461</v>
      </c>
      <c r="AG51" s="154" t="s">
        <v>87</v>
      </c>
      <c r="AH51" s="154" t="s">
        <v>420</v>
      </c>
      <c r="AI51" s="154">
        <v>2034</v>
      </c>
      <c r="AJ51" s="154" t="str">
        <f t="shared" ref="AJ51:AL51" si="83">A11</f>
        <v>Road</v>
      </c>
      <c r="AK51" s="154" t="str">
        <f t="shared" si="83"/>
        <v>Liquid bulk</v>
      </c>
      <c r="AL51" s="154" t="str">
        <f t="shared" si="83"/>
        <v>Battery</v>
      </c>
      <c r="AM51" s="164">
        <f t="shared" si="71"/>
        <v>1</v>
      </c>
    </row>
    <row r="52" spans="1:39" x14ac:dyDescent="0.25">
      <c r="A52" s="154" t="s">
        <v>168</v>
      </c>
      <c r="B52" s="154" t="s">
        <v>222</v>
      </c>
      <c r="C52" s="154" t="s">
        <v>187</v>
      </c>
      <c r="D52" s="154">
        <f>FIGURES!F17</f>
        <v>3.9483224205403566E-2</v>
      </c>
      <c r="E52" s="154">
        <v>3.9483224205403566E-2</v>
      </c>
      <c r="F52" s="154">
        <v>3.8324141861914254E-2</v>
      </c>
      <c r="G52" s="154">
        <v>4.2129683891405201E-2</v>
      </c>
      <c r="I52" s="163">
        <f t="shared" si="72"/>
        <v>1</v>
      </c>
      <c r="J52" s="163">
        <f t="shared" si="73"/>
        <v>0.97064367546430808</v>
      </c>
      <c r="K52" s="163">
        <f t="shared" si="74"/>
        <v>1.0670274461942104</v>
      </c>
      <c r="N52" s="154">
        <f>FIGURES!BI17</f>
        <v>2.7073941845428998E-2</v>
      </c>
      <c r="O52" s="154">
        <v>2.7073941845428998E-2</v>
      </c>
      <c r="P52" s="154">
        <v>2.5426904200969786E-2</v>
      </c>
      <c r="Q52" s="154">
        <v>2.9430266740142881E-2</v>
      </c>
      <c r="S52" s="163">
        <f t="shared" si="75"/>
        <v>1</v>
      </c>
      <c r="T52" s="163">
        <f t="shared" si="76"/>
        <v>0.93916520712563734</v>
      </c>
      <c r="U52" s="163">
        <f t="shared" si="77"/>
        <v>1.0870329451162544</v>
      </c>
      <c r="W52" s="154">
        <f>FIGURES!DL17</f>
        <v>1.699467323046517E-2</v>
      </c>
      <c r="X52" s="154">
        <v>1.699467323046517E-2</v>
      </c>
      <c r="Y52" s="154">
        <v>1.5219270902673993E-2</v>
      </c>
      <c r="Z52" s="154">
        <v>1.86591129127694E-2</v>
      </c>
      <c r="AB52" s="163">
        <f t="shared" si="78"/>
        <v>1</v>
      </c>
      <c r="AC52" s="163">
        <f t="shared" si="79"/>
        <v>0.89553183496293787</v>
      </c>
      <c r="AD52" s="163">
        <f t="shared" si="80"/>
        <v>1.0979389047222459</v>
      </c>
      <c r="AG52" s="154" t="s">
        <v>103</v>
      </c>
      <c r="AH52" s="154" t="s">
        <v>420</v>
      </c>
      <c r="AI52" s="154">
        <v>2034</v>
      </c>
      <c r="AJ52" s="154" t="str">
        <f t="shared" ref="AJ52:AL52" si="84">A12</f>
        <v>Road</v>
      </c>
      <c r="AK52" s="154" t="str">
        <f t="shared" si="84"/>
        <v>Liquid bulk</v>
      </c>
      <c r="AL52" s="154" t="str">
        <f t="shared" si="84"/>
        <v>Hydrogen</v>
      </c>
      <c r="AM52" s="164">
        <f t="shared" si="71"/>
        <v>1</v>
      </c>
    </row>
    <row r="53" spans="1:39" x14ac:dyDescent="0.25">
      <c r="A53" s="154" t="s">
        <v>168</v>
      </c>
      <c r="B53" s="154" t="s">
        <v>224</v>
      </c>
      <c r="C53" s="154" t="s">
        <v>280</v>
      </c>
      <c r="D53" s="154">
        <f>FIGURES!G17</f>
        <v>8.6066774264767394E-3</v>
      </c>
      <c r="E53" s="154">
        <v>8.6066774264767394E-3</v>
      </c>
      <c r="F53" s="154">
        <v>8.2399739101303247E-3</v>
      </c>
      <c r="G53" s="154">
        <v>8.7327317602208191E-3</v>
      </c>
      <c r="I53" s="163">
        <f t="shared" si="72"/>
        <v>1</v>
      </c>
      <c r="J53" s="163">
        <f t="shared" si="73"/>
        <v>0.95739313812106819</v>
      </c>
      <c r="K53" s="163">
        <f t="shared" si="74"/>
        <v>1.0146461087708827</v>
      </c>
      <c r="N53" s="154">
        <f>FIGURES!BJ17</f>
        <v>7.8467762974752837E-3</v>
      </c>
      <c r="O53" s="154">
        <v>7.8467762974752837E-3</v>
      </c>
      <c r="P53" s="154">
        <v>6.6109631180516146E-3</v>
      </c>
      <c r="Q53" s="154">
        <v>8.3547485859500458E-3</v>
      </c>
      <c r="S53" s="163">
        <f t="shared" si="75"/>
        <v>1</v>
      </c>
      <c r="T53" s="163">
        <f t="shared" si="76"/>
        <v>0.84250689294898151</v>
      </c>
      <c r="U53" s="163">
        <f t="shared" si="77"/>
        <v>1.0647364305056337</v>
      </c>
      <c r="W53" s="154">
        <f>FIGURES!DM17</f>
        <v>7.3552963216974732E-3</v>
      </c>
      <c r="X53" s="154">
        <v>7.3552963216974732E-3</v>
      </c>
      <c r="Y53" s="154">
        <v>6.1137040634253043E-3</v>
      </c>
      <c r="Z53" s="154">
        <v>8.1711998057048957E-3</v>
      </c>
      <c r="AB53" s="163">
        <f t="shared" si="78"/>
        <v>1</v>
      </c>
      <c r="AC53" s="163">
        <f t="shared" si="79"/>
        <v>0.83119752026718741</v>
      </c>
      <c r="AD53" s="163">
        <f t="shared" si="80"/>
        <v>1.1109273438244194</v>
      </c>
      <c r="AG53" s="154" t="s">
        <v>423</v>
      </c>
      <c r="AH53" s="154" t="s">
        <v>420</v>
      </c>
      <c r="AI53" s="154">
        <v>2034</v>
      </c>
      <c r="AJ53" s="154" t="str">
        <f t="shared" ref="AJ53:AL53" si="85">A13</f>
        <v>Road</v>
      </c>
      <c r="AK53" s="154" t="str">
        <f t="shared" si="85"/>
        <v>Container</v>
      </c>
      <c r="AL53" s="154" t="str">
        <f t="shared" si="85"/>
        <v>Diesel</v>
      </c>
      <c r="AM53" s="164">
        <f t="shared" si="71"/>
        <v>1</v>
      </c>
    </row>
    <row r="54" spans="1:39" x14ac:dyDescent="0.25">
      <c r="A54" s="154" t="s">
        <v>168</v>
      </c>
      <c r="B54" s="154" t="s">
        <v>224</v>
      </c>
      <c r="C54" s="154" t="s">
        <v>279</v>
      </c>
      <c r="D54" s="154">
        <f>FIGURES!H17</f>
        <v>1.2875560078180342E-2</v>
      </c>
      <c r="E54" s="154">
        <v>1.2875560078180342E-2</v>
      </c>
      <c r="F54" s="154">
        <v>1.2057520951081122E-2</v>
      </c>
      <c r="G54" s="154">
        <v>1.3156761028120696E-2</v>
      </c>
      <c r="I54" s="163">
        <f t="shared" si="72"/>
        <v>1</v>
      </c>
      <c r="J54" s="163">
        <f t="shared" si="73"/>
        <v>0.93646574423698159</v>
      </c>
      <c r="K54" s="163">
        <f t="shared" si="74"/>
        <v>1.0218399004185375</v>
      </c>
      <c r="N54" s="154">
        <f>FIGURES!BK17</f>
        <v>1.1168777173517009E-2</v>
      </c>
      <c r="O54" s="154">
        <v>1.1168777173517009E-2</v>
      </c>
      <c r="P54" s="154">
        <v>8.4119355030967055E-3</v>
      </c>
      <c r="Q54" s="154">
        <v>1.230195749203333E-2</v>
      </c>
      <c r="S54" s="163">
        <f t="shared" si="75"/>
        <v>1</v>
      </c>
      <c r="T54" s="163">
        <f t="shared" si="76"/>
        <v>0.75316530828842887</v>
      </c>
      <c r="U54" s="163">
        <f t="shared" si="77"/>
        <v>1.1014596585562899</v>
      </c>
      <c r="W54" s="154">
        <f>FIGURES!DN17</f>
        <v>9.9749671778379886E-3</v>
      </c>
      <c r="X54" s="154">
        <v>9.9749671778379886E-3</v>
      </c>
      <c r="Y54" s="154">
        <v>7.205233586817187E-3</v>
      </c>
      <c r="Z54" s="154">
        <v>1.1795077823365946E-2</v>
      </c>
      <c r="AB54" s="163">
        <f t="shared" si="78"/>
        <v>1</v>
      </c>
      <c r="AC54" s="163">
        <f t="shared" si="79"/>
        <v>0.72233155842612773</v>
      </c>
      <c r="AD54" s="163">
        <f t="shared" si="80"/>
        <v>1.1824678330342591</v>
      </c>
      <c r="AG54" s="154" t="s">
        <v>87</v>
      </c>
      <c r="AH54" s="154" t="s">
        <v>420</v>
      </c>
      <c r="AI54" s="154">
        <v>2034</v>
      </c>
      <c r="AJ54" s="154" t="str">
        <f t="shared" ref="AJ54:AL54" si="86">A14</f>
        <v>Road</v>
      </c>
      <c r="AK54" s="154" t="str">
        <f t="shared" si="86"/>
        <v>Container</v>
      </c>
      <c r="AL54" s="154" t="str">
        <f t="shared" si="86"/>
        <v>Battery</v>
      </c>
      <c r="AM54" s="164">
        <f t="shared" si="71"/>
        <v>1</v>
      </c>
    </row>
    <row r="55" spans="1:39" x14ac:dyDescent="0.25">
      <c r="A55" s="154" t="s">
        <v>168</v>
      </c>
      <c r="B55" s="154" t="s">
        <v>224</v>
      </c>
      <c r="C55" s="154" t="s">
        <v>103</v>
      </c>
      <c r="D55" s="154">
        <f>FIGURES!I17</f>
        <v>2.7546698317471741E-2</v>
      </c>
      <c r="E55" s="154">
        <v>2.7546698317471741E-2</v>
      </c>
      <c r="F55" s="154">
        <v>2.6511205721823139E-2</v>
      </c>
      <c r="G55" s="154">
        <v>2.9910973319097162E-2</v>
      </c>
      <c r="I55" s="163">
        <f t="shared" si="72"/>
        <v>1</v>
      </c>
      <c r="J55" s="163">
        <f t="shared" si="73"/>
        <v>0.96240955690171293</v>
      </c>
      <c r="K55" s="163">
        <f t="shared" si="74"/>
        <v>1.0858278903111178</v>
      </c>
      <c r="N55" s="154">
        <f>FIGURES!BL17</f>
        <v>2.4084175556206774E-2</v>
      </c>
      <c r="O55" s="154">
        <v>2.4084175556206774E-2</v>
      </c>
      <c r="P55" s="154">
        <v>2.2621946538673263E-2</v>
      </c>
      <c r="Q55" s="154">
        <v>2.6176105056044334E-2</v>
      </c>
      <c r="S55" s="163">
        <f t="shared" si="75"/>
        <v>1</v>
      </c>
      <c r="T55" s="163">
        <f t="shared" si="76"/>
        <v>0.93928673148387354</v>
      </c>
      <c r="U55" s="163">
        <f t="shared" si="77"/>
        <v>1.0868590869949228</v>
      </c>
      <c r="W55" s="154">
        <f>FIGURES!DO17</f>
        <v>1.6229039938022057E-2</v>
      </c>
      <c r="X55" s="154">
        <v>1.6229039938022057E-2</v>
      </c>
      <c r="Y55" s="154">
        <v>1.4739719905271268E-2</v>
      </c>
      <c r="Z55" s="154">
        <v>1.7625277468725924E-2</v>
      </c>
      <c r="AB55" s="163">
        <f t="shared" si="78"/>
        <v>1</v>
      </c>
      <c r="AC55" s="163">
        <f t="shared" si="79"/>
        <v>0.9082311684216422</v>
      </c>
      <c r="AD55" s="163">
        <f t="shared" si="80"/>
        <v>1.0860332796047107</v>
      </c>
      <c r="AG55" s="154" t="s">
        <v>103</v>
      </c>
      <c r="AH55" s="154" t="s">
        <v>420</v>
      </c>
      <c r="AI55" s="154">
        <v>2034</v>
      </c>
      <c r="AJ55" s="154" t="str">
        <f t="shared" ref="AJ55:AL55" si="87">A15</f>
        <v>Road</v>
      </c>
      <c r="AK55" s="154" t="str">
        <f t="shared" si="87"/>
        <v>Container</v>
      </c>
      <c r="AL55" s="154" t="str">
        <f t="shared" si="87"/>
        <v>Hydrogen</v>
      </c>
      <c r="AM55" s="164">
        <f t="shared" si="71"/>
        <v>1</v>
      </c>
    </row>
    <row r="56" spans="1:39" x14ac:dyDescent="0.25">
      <c r="A56" s="154" t="s">
        <v>168</v>
      </c>
      <c r="B56" s="154" t="s">
        <v>224</v>
      </c>
      <c r="C56" s="154" t="s">
        <v>186</v>
      </c>
      <c r="D56" s="154">
        <f>FIGURES!J17</f>
        <v>2.5070994787644955E-2</v>
      </c>
      <c r="E56" s="154">
        <v>2.5070994787644955E-2</v>
      </c>
      <c r="F56" s="154">
        <v>2.3917537068712261E-2</v>
      </c>
      <c r="G56" s="154">
        <v>2.7704612122780282E-2</v>
      </c>
      <c r="I56" s="163">
        <f t="shared" si="72"/>
        <v>1</v>
      </c>
      <c r="J56" s="163">
        <f t="shared" si="73"/>
        <v>0.9539923433951204</v>
      </c>
      <c r="K56" s="163">
        <f t="shared" si="74"/>
        <v>1.1050463835776145</v>
      </c>
      <c r="N56" s="154">
        <f>FIGURES!BM17</f>
        <v>2.3319709455922558E-2</v>
      </c>
      <c r="O56" s="154">
        <v>2.3319709455922558E-2</v>
      </c>
      <c r="P56" s="154">
        <v>2.168973667505382E-2</v>
      </c>
      <c r="Q56" s="154">
        <v>2.5651620602087057E-2</v>
      </c>
      <c r="S56" s="163">
        <f t="shared" si="75"/>
        <v>1</v>
      </c>
      <c r="T56" s="163">
        <f t="shared" si="76"/>
        <v>0.93010321230847193</v>
      </c>
      <c r="U56" s="163">
        <f t="shared" si="77"/>
        <v>1.0999974356701199</v>
      </c>
      <c r="W56" s="154">
        <f>FIGURES!DP17</f>
        <v>1.637253687147959E-2</v>
      </c>
      <c r="X56" s="154">
        <v>1.637253687147959E-2</v>
      </c>
      <c r="Y56" s="154">
        <v>1.470259821400554E-2</v>
      </c>
      <c r="Z56" s="154">
        <v>1.7938104362861515E-2</v>
      </c>
      <c r="AB56" s="163">
        <f t="shared" si="78"/>
        <v>1</v>
      </c>
      <c r="AC56" s="163">
        <f t="shared" si="79"/>
        <v>0.89800367098986189</v>
      </c>
      <c r="AD56" s="163">
        <f t="shared" si="80"/>
        <v>1.0956215584470046</v>
      </c>
      <c r="AG56" s="154" t="s">
        <v>423</v>
      </c>
      <c r="AH56" s="154" t="s">
        <v>420</v>
      </c>
      <c r="AI56" s="154">
        <v>2034</v>
      </c>
      <c r="AJ56" s="154" t="str">
        <f t="shared" ref="AJ56:AL56" si="88">A16</f>
        <v>Road</v>
      </c>
      <c r="AK56" s="154" t="str">
        <f t="shared" si="88"/>
        <v>Break bulk</v>
      </c>
      <c r="AL56" s="154" t="str">
        <f t="shared" si="88"/>
        <v>Diesel</v>
      </c>
      <c r="AM56" s="164">
        <f t="shared" si="71"/>
        <v>1</v>
      </c>
    </row>
    <row r="57" spans="1:39" x14ac:dyDescent="0.25">
      <c r="A57" s="154" t="s">
        <v>168</v>
      </c>
      <c r="B57" s="154" t="s">
        <v>224</v>
      </c>
      <c r="C57" s="154" t="s">
        <v>187</v>
      </c>
      <c r="D57" s="154">
        <f>FIGURES!K17</f>
        <v>4.727519526221427E-2</v>
      </c>
      <c r="E57" s="154">
        <v>4.727519526221427E-2</v>
      </c>
      <c r="F57" s="154">
        <v>4.5906411239604358E-2</v>
      </c>
      <c r="G57" s="154">
        <v>5.0400453579734043E-2</v>
      </c>
      <c r="I57" s="163">
        <f t="shared" si="72"/>
        <v>1</v>
      </c>
      <c r="J57" s="163">
        <f t="shared" si="73"/>
        <v>0.97104646495867697</v>
      </c>
      <c r="K57" s="163">
        <f t="shared" si="74"/>
        <v>1.0661077823197846</v>
      </c>
      <c r="N57" s="154">
        <f>FIGURES!BN17</f>
        <v>3.2620820168159648E-2</v>
      </c>
      <c r="O57" s="154">
        <v>3.2620820168159648E-2</v>
      </c>
      <c r="P57" s="154">
        <v>3.0675799760389429E-2</v>
      </c>
      <c r="Q57" s="154">
        <v>3.5403452382410175E-2</v>
      </c>
      <c r="S57" s="163">
        <f t="shared" si="75"/>
        <v>1</v>
      </c>
      <c r="T57" s="163">
        <f t="shared" si="76"/>
        <v>0.94037487721817903</v>
      </c>
      <c r="U57" s="163">
        <f t="shared" si="77"/>
        <v>1.0853023375839761</v>
      </c>
      <c r="W57" s="154">
        <f>FIGURES!DQ17</f>
        <v>2.0718005914063236E-2</v>
      </c>
      <c r="X57" s="154">
        <v>2.0718005914063236E-2</v>
      </c>
      <c r="Y57" s="154">
        <v>1.8621397028909064E-2</v>
      </c>
      <c r="Z57" s="154">
        <v>2.2683576743895276E-2</v>
      </c>
      <c r="AB57" s="163">
        <f t="shared" si="78"/>
        <v>1</v>
      </c>
      <c r="AC57" s="163">
        <f t="shared" si="79"/>
        <v>0.89880257328573265</v>
      </c>
      <c r="AD57" s="163">
        <f t="shared" si="80"/>
        <v>1.0948725875446259</v>
      </c>
      <c r="AG57" s="154" t="s">
        <v>87</v>
      </c>
      <c r="AH57" s="154" t="s">
        <v>420</v>
      </c>
      <c r="AI57" s="154">
        <v>2034</v>
      </c>
      <c r="AJ57" s="154" t="str">
        <f t="shared" ref="AJ57:AL57" si="89">A17</f>
        <v>Road</v>
      </c>
      <c r="AK57" s="154" t="str">
        <f t="shared" si="89"/>
        <v>Break bulk</v>
      </c>
      <c r="AL57" s="154" t="str">
        <f t="shared" si="89"/>
        <v>Battery</v>
      </c>
      <c r="AM57" s="164">
        <f t="shared" si="71"/>
        <v>1</v>
      </c>
    </row>
    <row r="58" spans="1:39" x14ac:dyDescent="0.25">
      <c r="A58" s="154" t="s">
        <v>168</v>
      </c>
      <c r="B58" s="154" t="s">
        <v>225</v>
      </c>
      <c r="C58" s="154" t="s">
        <v>280</v>
      </c>
      <c r="D58" s="154">
        <f>FIGURES!L17</f>
        <v>8.7897304253544608E-3</v>
      </c>
      <c r="E58" s="154">
        <v>8.7897304253544608E-3</v>
      </c>
      <c r="F58" s="154">
        <v>8.3854162919468761E-3</v>
      </c>
      <c r="G58" s="154">
        <v>8.928713408713318E-3</v>
      </c>
      <c r="I58" s="163">
        <f t="shared" si="72"/>
        <v>1</v>
      </c>
      <c r="J58" s="163">
        <f t="shared" si="73"/>
        <v>0.95400153203318749</v>
      </c>
      <c r="K58" s="163">
        <f t="shared" si="74"/>
        <v>1.0158119733635917</v>
      </c>
      <c r="N58" s="154">
        <f>FIGURES!BO17</f>
        <v>7.9518907190195276E-3</v>
      </c>
      <c r="O58" s="154">
        <v>7.9518907190195276E-3</v>
      </c>
      <c r="P58" s="154">
        <v>6.5893274699113762E-3</v>
      </c>
      <c r="Q58" s="154">
        <v>8.5119627293891338E-3</v>
      </c>
      <c r="S58" s="163">
        <f t="shared" si="75"/>
        <v>1</v>
      </c>
      <c r="T58" s="163">
        <f t="shared" si="76"/>
        <v>0.82864914807630097</v>
      </c>
      <c r="U58" s="163">
        <f t="shared" si="77"/>
        <v>1.0704325587661827</v>
      </c>
      <c r="W58" s="154">
        <f>FIGURES!DR17</f>
        <v>7.4100025405978345E-3</v>
      </c>
      <c r="X58" s="154">
        <v>7.4100025405978345E-3</v>
      </c>
      <c r="Y58" s="154">
        <v>6.0410674866054441E-3</v>
      </c>
      <c r="Z58" s="154">
        <v>8.3095884332214046E-3</v>
      </c>
      <c r="AB58" s="163">
        <f t="shared" si="78"/>
        <v>1</v>
      </c>
      <c r="AC58" s="163">
        <f t="shared" si="79"/>
        <v>0.81525849060209021</v>
      </c>
      <c r="AD58" s="163">
        <f t="shared" si="80"/>
        <v>1.1214015633186263</v>
      </c>
      <c r="AG58" s="154" t="s">
        <v>103</v>
      </c>
      <c r="AH58" s="154" t="s">
        <v>420</v>
      </c>
      <c r="AI58" s="154">
        <v>2034</v>
      </c>
      <c r="AJ58" s="154" t="str">
        <f t="shared" ref="AJ58:AL58" si="90">A18</f>
        <v>Road</v>
      </c>
      <c r="AK58" s="154" t="str">
        <f t="shared" si="90"/>
        <v>Break bulk</v>
      </c>
      <c r="AL58" s="154" t="str">
        <f t="shared" si="90"/>
        <v>Hydrogen</v>
      </c>
      <c r="AM58" s="164">
        <f t="shared" si="71"/>
        <v>1</v>
      </c>
    </row>
    <row r="59" spans="1:39" x14ac:dyDescent="0.25">
      <c r="A59" s="154" t="s">
        <v>168</v>
      </c>
      <c r="B59" s="154" t="s">
        <v>225</v>
      </c>
      <c r="C59" s="154" t="s">
        <v>279</v>
      </c>
      <c r="D59" s="154">
        <f>FIGURES!M17</f>
        <v>1.3496447195181512E-2</v>
      </c>
      <c r="E59" s="154">
        <v>1.3496447195181512E-2</v>
      </c>
      <c r="F59" s="154">
        <v>1.2594506619149039E-2</v>
      </c>
      <c r="G59" s="154">
        <v>1.3806489268192671E-2</v>
      </c>
      <c r="I59" s="163">
        <f t="shared" si="72"/>
        <v>1</v>
      </c>
      <c r="J59" s="163">
        <f t="shared" si="73"/>
        <v>0.93317199978713794</v>
      </c>
      <c r="K59" s="163">
        <f t="shared" si="74"/>
        <v>1.0229721250731711</v>
      </c>
      <c r="N59" s="154">
        <f>FIGURES!BP17</f>
        <v>1.1614609633629631E-2</v>
      </c>
      <c r="O59" s="154">
        <v>1.1614609633629631E-2</v>
      </c>
      <c r="P59" s="154">
        <v>8.5750149713713468E-3</v>
      </c>
      <c r="Q59" s="154">
        <v>1.2864013574557883E-2</v>
      </c>
      <c r="S59" s="163">
        <f t="shared" si="75"/>
        <v>1</v>
      </c>
      <c r="T59" s="163">
        <f t="shared" si="76"/>
        <v>0.73829558132911666</v>
      </c>
      <c r="U59" s="163">
        <f t="shared" si="77"/>
        <v>1.1075717549137987</v>
      </c>
      <c r="W59" s="154">
        <f>FIGURES!DS17</f>
        <v>1.0298357587111739E-2</v>
      </c>
      <c r="X59" s="154">
        <v>1.0298357587111739E-2</v>
      </c>
      <c r="Y59" s="154">
        <v>7.2445487559862371E-3</v>
      </c>
      <c r="Z59" s="154">
        <v>1.2305146247565638E-2</v>
      </c>
      <c r="AB59" s="163">
        <f t="shared" si="78"/>
        <v>1</v>
      </c>
      <c r="AC59" s="163">
        <f t="shared" si="79"/>
        <v>0.70346642119445302</v>
      </c>
      <c r="AD59" s="163">
        <f t="shared" si="80"/>
        <v>1.1948649232150734</v>
      </c>
      <c r="AG59" s="154" t="s">
        <v>423</v>
      </c>
      <c r="AH59" s="154" t="s">
        <v>420</v>
      </c>
      <c r="AI59" s="154">
        <v>2034</v>
      </c>
      <c r="AJ59" s="154" t="str">
        <f t="shared" ref="AJ59:AL59" si="91">A19</f>
        <v>Road</v>
      </c>
      <c r="AK59" s="154" t="str">
        <f t="shared" si="91"/>
        <v>Neo bulk</v>
      </c>
      <c r="AL59" s="154" t="str">
        <f t="shared" si="91"/>
        <v>Diesel</v>
      </c>
      <c r="AM59" s="164">
        <f t="shared" si="71"/>
        <v>1</v>
      </c>
    </row>
    <row r="60" spans="1:39" x14ac:dyDescent="0.25">
      <c r="A60" s="154" t="s">
        <v>168</v>
      </c>
      <c r="B60" s="154" t="s">
        <v>225</v>
      </c>
      <c r="C60" s="154" t="s">
        <v>103</v>
      </c>
      <c r="D60" s="154">
        <f>FIGURES!N17</f>
        <v>2.9458766332593509E-2</v>
      </c>
      <c r="E60" s="154">
        <v>2.9458766332593509E-2</v>
      </c>
      <c r="F60" s="154">
        <v>2.8323426878648798E-2</v>
      </c>
      <c r="G60" s="154">
        <v>3.2051015374837219E-2</v>
      </c>
      <c r="I60" s="163">
        <f t="shared" si="72"/>
        <v>1</v>
      </c>
      <c r="J60" s="163">
        <f t="shared" si="73"/>
        <v>0.96146004754148318</v>
      </c>
      <c r="K60" s="163">
        <f t="shared" si="74"/>
        <v>1.0879958452087526</v>
      </c>
      <c r="N60" s="154">
        <f>FIGURES!BQ17</f>
        <v>2.5666625479707848E-2</v>
      </c>
      <c r="O60" s="154">
        <v>2.5666625479707848E-2</v>
      </c>
      <c r="P60" s="154">
        <v>2.4063205941378039E-2</v>
      </c>
      <c r="Q60" s="154">
        <v>2.7960548382774002E-2</v>
      </c>
      <c r="S60" s="163">
        <f t="shared" si="75"/>
        <v>1</v>
      </c>
      <c r="T60" s="163">
        <f t="shared" si="76"/>
        <v>0.93752900864987176</v>
      </c>
      <c r="U60" s="163">
        <f t="shared" si="77"/>
        <v>1.0893737630168694</v>
      </c>
      <c r="W60" s="154">
        <f>FIGURES!DT17</f>
        <v>1.7079556011347096E-2</v>
      </c>
      <c r="X60" s="154">
        <v>1.7079556011347096E-2</v>
      </c>
      <c r="Y60" s="154">
        <v>1.544476939442619E-2</v>
      </c>
      <c r="Z60" s="154">
        <v>1.8612168464710442E-2</v>
      </c>
      <c r="AB60" s="163">
        <f t="shared" si="78"/>
        <v>1</v>
      </c>
      <c r="AC60" s="163">
        <f t="shared" si="79"/>
        <v>0.90428400973451495</v>
      </c>
      <c r="AD60" s="163">
        <f t="shared" si="80"/>
        <v>1.0897337408738921</v>
      </c>
      <c r="AG60" s="154" t="s">
        <v>87</v>
      </c>
      <c r="AH60" s="154" t="s">
        <v>420</v>
      </c>
      <c r="AI60" s="154">
        <v>2034</v>
      </c>
      <c r="AJ60" s="154" t="str">
        <f t="shared" ref="AJ60:AL60" si="92">A20</f>
        <v>Road</v>
      </c>
      <c r="AK60" s="154" t="str">
        <f t="shared" si="92"/>
        <v>Neo bulk</v>
      </c>
      <c r="AL60" s="154" t="str">
        <f t="shared" si="92"/>
        <v>Battery</v>
      </c>
      <c r="AM60" s="164">
        <f t="shared" si="71"/>
        <v>1</v>
      </c>
    </row>
    <row r="61" spans="1:39" x14ac:dyDescent="0.25">
      <c r="A61" s="154" t="s">
        <v>168</v>
      </c>
      <c r="B61" s="154" t="s">
        <v>225</v>
      </c>
      <c r="C61" s="154" t="s">
        <v>186</v>
      </c>
      <c r="D61" s="154">
        <f>FIGURES!O17</f>
        <v>2.6785842871702544E-2</v>
      </c>
      <c r="E61" s="154">
        <v>2.6785842871702544E-2</v>
      </c>
      <c r="F61" s="154">
        <v>2.5519698139779973E-2</v>
      </c>
      <c r="G61" s="154">
        <v>2.9676751363664457E-2</v>
      </c>
      <c r="I61" s="163">
        <f t="shared" si="72"/>
        <v>1</v>
      </c>
      <c r="J61" s="163">
        <f t="shared" si="73"/>
        <v>0.95273082359263117</v>
      </c>
      <c r="K61" s="163">
        <f t="shared" si="74"/>
        <v>1.1079267322595985</v>
      </c>
      <c r="N61" s="154">
        <f>FIGURES!BR17</f>
        <v>2.4865493446802132E-2</v>
      </c>
      <c r="O61" s="154">
        <v>2.4865493446802132E-2</v>
      </c>
      <c r="P61" s="154">
        <v>2.307617325808773E-2</v>
      </c>
      <c r="Q61" s="154">
        <v>2.7425374041799809E-2</v>
      </c>
      <c r="S61" s="163">
        <f t="shared" si="75"/>
        <v>1</v>
      </c>
      <c r="T61" s="163">
        <f t="shared" si="76"/>
        <v>0.92804002894442783</v>
      </c>
      <c r="U61" s="163">
        <f t="shared" si="77"/>
        <v>1.1029491170353949</v>
      </c>
      <c r="W61" s="154">
        <f>FIGURES!DU17</f>
        <v>1.7252264483677938E-2</v>
      </c>
      <c r="X61" s="154">
        <v>1.7252264483677938E-2</v>
      </c>
      <c r="Y61" s="154">
        <v>1.5418152459713414E-2</v>
      </c>
      <c r="Z61" s="154">
        <v>1.897174450614468E-2</v>
      </c>
      <c r="AB61" s="163">
        <f t="shared" si="78"/>
        <v>1</v>
      </c>
      <c r="AC61" s="163">
        <f t="shared" si="79"/>
        <v>0.89368862124159154</v>
      </c>
      <c r="AD61" s="163">
        <f t="shared" si="80"/>
        <v>1.0996669175860081</v>
      </c>
      <c r="AG61" s="154" t="s">
        <v>103</v>
      </c>
      <c r="AH61" s="154" t="s">
        <v>420</v>
      </c>
      <c r="AI61" s="154">
        <v>2034</v>
      </c>
      <c r="AJ61" s="154" t="str">
        <f t="shared" ref="AJ61:AL61" si="93">A21</f>
        <v>Road</v>
      </c>
      <c r="AK61" s="154" t="str">
        <f t="shared" si="93"/>
        <v>Neo bulk</v>
      </c>
      <c r="AL61" s="154" t="str">
        <f t="shared" si="93"/>
        <v>Hydrogen</v>
      </c>
      <c r="AM61" s="164">
        <f t="shared" si="71"/>
        <v>1</v>
      </c>
    </row>
    <row r="62" spans="1:39" x14ac:dyDescent="0.25">
      <c r="A62" s="154" t="s">
        <v>168</v>
      </c>
      <c r="B62" s="154" t="s">
        <v>225</v>
      </c>
      <c r="C62" s="154" t="s">
        <v>187</v>
      </c>
      <c r="D62" s="154">
        <f>FIGURES!P17</f>
        <v>5.1294447763546691E-2</v>
      </c>
      <c r="E62" s="154">
        <v>5.1294447763546691E-2</v>
      </c>
      <c r="F62" s="154">
        <v>4.9788551104588685E-2</v>
      </c>
      <c r="G62" s="154">
        <v>5.47327667247514E-2</v>
      </c>
      <c r="I62" s="163">
        <f t="shared" si="72"/>
        <v>1</v>
      </c>
      <c r="J62" s="163">
        <f t="shared" si="73"/>
        <v>0.97064211187339855</v>
      </c>
      <c r="K62" s="163">
        <f t="shared" si="74"/>
        <v>1.0670310162428187</v>
      </c>
      <c r="N62" s="154">
        <f>FIGURES!BS17</f>
        <v>3.5172127420285873E-2</v>
      </c>
      <c r="O62" s="154">
        <v>3.5172127420285873E-2</v>
      </c>
      <c r="P62" s="154">
        <v>3.3032272128812309E-2</v>
      </c>
      <c r="Q62" s="154">
        <v>3.823349903577189E-2</v>
      </c>
      <c r="S62" s="163">
        <f t="shared" si="75"/>
        <v>1</v>
      </c>
      <c r="T62" s="163">
        <f t="shared" si="76"/>
        <v>0.93916048165345323</v>
      </c>
      <c r="U62" s="163">
        <f t="shared" si="77"/>
        <v>1.0870397055857457</v>
      </c>
      <c r="W62" s="154">
        <f>FIGURES!DV17</f>
        <v>2.20769948636797E-2</v>
      </c>
      <c r="X62" s="154">
        <v>2.20769948636797E-2</v>
      </c>
      <c r="Y62" s="154">
        <v>1.9770366306403567E-2</v>
      </c>
      <c r="Z62" s="154">
        <v>2.4239459136126077E-2</v>
      </c>
      <c r="AB62" s="163">
        <f t="shared" si="78"/>
        <v>1</v>
      </c>
      <c r="AC62" s="163">
        <f t="shared" si="79"/>
        <v>0.89551890682952884</v>
      </c>
      <c r="AD62" s="163">
        <f t="shared" si="80"/>
        <v>1.0979510248473168</v>
      </c>
      <c r="AG62" s="154" t="s">
        <v>423</v>
      </c>
      <c r="AH62" s="154" t="s">
        <v>421</v>
      </c>
      <c r="AI62" s="154">
        <v>2034</v>
      </c>
      <c r="AJ62" s="154" t="str">
        <f>A7</f>
        <v>Road</v>
      </c>
      <c r="AK62" s="154" t="str">
        <f>B7</f>
        <v>Dry bulk</v>
      </c>
      <c r="AL62" s="154" t="str">
        <f>C7</f>
        <v>Diesel</v>
      </c>
      <c r="AM62" s="164">
        <f>S7</f>
        <v>0.97208023823636724</v>
      </c>
    </row>
    <row r="63" spans="1:39" x14ac:dyDescent="0.25">
      <c r="A63" s="154" t="s">
        <v>168</v>
      </c>
      <c r="B63" s="154" t="s">
        <v>226</v>
      </c>
      <c r="C63" s="154" t="s">
        <v>280</v>
      </c>
      <c r="D63" s="154">
        <f>FIGURES!Q17</f>
        <v>6.7183123018988286E-3</v>
      </c>
      <c r="E63" s="154">
        <v>6.7183123018988286E-3</v>
      </c>
      <c r="F63" s="154">
        <v>6.4091309057636167E-3</v>
      </c>
      <c r="G63" s="154">
        <v>6.8245934068203087E-3</v>
      </c>
      <c r="I63" s="163">
        <f>E63/E63</f>
        <v>1</v>
      </c>
      <c r="J63" s="163">
        <f>F63/E63</f>
        <v>0.95397930577775814</v>
      </c>
      <c r="K63" s="163">
        <f>G63/E63</f>
        <v>1.0158196136388957</v>
      </c>
      <c r="N63" s="154">
        <f>FIGURES!BT17</f>
        <v>6.0776113499956437E-3</v>
      </c>
      <c r="O63" s="154">
        <v>6.0776113499956437E-3</v>
      </c>
      <c r="P63" s="154">
        <v>5.035651218324705E-3</v>
      </c>
      <c r="Q63" s="154">
        <v>6.505901710866519E-3</v>
      </c>
      <c r="S63" s="163">
        <f>O63/O63</f>
        <v>1</v>
      </c>
      <c r="T63" s="163">
        <f>P63/O63</f>
        <v>0.82855762376584252</v>
      </c>
      <c r="U63" s="163">
        <f>Q63/O63</f>
        <v>1.0704701791882731</v>
      </c>
      <c r="W63" s="154">
        <f>FIGURES!DW17</f>
        <v>5.6632262723790554E-3</v>
      </c>
      <c r="X63" s="154">
        <v>5.6632262723790554E-3</v>
      </c>
      <c r="Y63" s="154">
        <v>4.6163935840319338E-3</v>
      </c>
      <c r="Z63" s="154">
        <v>6.3511448961500218E-3</v>
      </c>
      <c r="AB63" s="163">
        <f>X63/X63</f>
        <v>1</v>
      </c>
      <c r="AC63" s="163">
        <f>Y63/X63</f>
        <v>0.81515259359266967</v>
      </c>
      <c r="AD63" s="163">
        <f>Z63/X63</f>
        <v>1.1214711527819601</v>
      </c>
      <c r="AG63" s="154" t="s">
        <v>87</v>
      </c>
      <c r="AH63" s="154" t="s">
        <v>421</v>
      </c>
      <c r="AI63" s="154">
        <v>2034</v>
      </c>
      <c r="AJ63" s="154" t="str">
        <f t="shared" ref="AJ63:AL63" si="94">A8</f>
        <v>Road</v>
      </c>
      <c r="AK63" s="154" t="str">
        <f t="shared" si="94"/>
        <v>Dry bulk</v>
      </c>
      <c r="AL63" s="154" t="str">
        <f t="shared" si="94"/>
        <v>Battery</v>
      </c>
      <c r="AM63" s="164">
        <f t="shared" ref="AM63:AM76" si="95">S8</f>
        <v>1</v>
      </c>
    </row>
    <row r="64" spans="1:39" x14ac:dyDescent="0.25">
      <c r="A64" s="154" t="s">
        <v>168</v>
      </c>
      <c r="B64" s="154" t="s">
        <v>226</v>
      </c>
      <c r="C64" s="154" t="s">
        <v>279</v>
      </c>
      <c r="D64" s="154">
        <f>FIGURES!R17</f>
        <v>1.0317566302354808E-2</v>
      </c>
      <c r="E64" s="154">
        <v>1.0317566302354808E-2</v>
      </c>
      <c r="F64" s="154">
        <v>9.6278470383299765E-3</v>
      </c>
      <c r="G64" s="154">
        <v>1.0554657299363342E-2</v>
      </c>
      <c r="I64" s="163">
        <f t="shared" ref="I64:I67" si="96">E64/E64</f>
        <v>1</v>
      </c>
      <c r="J64" s="163">
        <f t="shared" ref="J64:J67" si="97">F64/E64</f>
        <v>0.93315097341633613</v>
      </c>
      <c r="K64" s="163">
        <f t="shared" ref="K64:K67" si="98">G64/E64</f>
        <v>1.0229793528881344</v>
      </c>
      <c r="N64" s="154">
        <f>FIGURES!BU17</f>
        <v>8.8785140494033708E-3</v>
      </c>
      <c r="O64" s="154">
        <v>8.8785140494033708E-3</v>
      </c>
      <c r="P64" s="154">
        <v>6.5541181312058598E-3</v>
      </c>
      <c r="Q64" s="154">
        <v>9.8339405924661501E-3</v>
      </c>
      <c r="S64" s="163">
        <f t="shared" ref="S64:S67" si="99">O64/O64</f>
        <v>1</v>
      </c>
      <c r="T64" s="163">
        <f t="shared" ref="T64:T67" si="100">P64/O64</f>
        <v>0.73819989411925202</v>
      </c>
      <c r="U64" s="163">
        <f t="shared" ref="U64:U67" si="101">Q64/O64</f>
        <v>1.1076110864663196</v>
      </c>
      <c r="W64" s="154">
        <f>FIGURES!DX17</f>
        <v>7.8719683667720398E-3</v>
      </c>
      <c r="X64" s="154">
        <v>7.8719683667720398E-3</v>
      </c>
      <c r="Y64" s="154">
        <v>5.5367027900290119E-3</v>
      </c>
      <c r="Z64" s="154">
        <v>9.406571460060317E-3</v>
      </c>
      <c r="AB64" s="163">
        <f t="shared" ref="AB64:AB67" si="102">X64/X64</f>
        <v>1</v>
      </c>
      <c r="AC64" s="163">
        <f t="shared" ref="AC64:AC67" si="103">Y64/X64</f>
        <v>0.70334413606128077</v>
      </c>
      <c r="AD64" s="163">
        <f t="shared" ref="AD64:AD67" si="104">Z64/X64</f>
        <v>1.1949452820168729</v>
      </c>
      <c r="AG64" s="154" t="s">
        <v>103</v>
      </c>
      <c r="AH64" s="154" t="s">
        <v>421</v>
      </c>
      <c r="AI64" s="154">
        <v>2034</v>
      </c>
      <c r="AJ64" s="154" t="str">
        <f t="shared" ref="AJ64:AL64" si="105">A9</f>
        <v>Road</v>
      </c>
      <c r="AK64" s="154" t="str">
        <f t="shared" si="105"/>
        <v>Dry bulk</v>
      </c>
      <c r="AL64" s="154" t="str">
        <f t="shared" si="105"/>
        <v>Hydrogen</v>
      </c>
      <c r="AM64" s="164">
        <f t="shared" si="95"/>
        <v>0.99038158734414561</v>
      </c>
    </row>
    <row r="65" spans="1:39" x14ac:dyDescent="0.25">
      <c r="A65" s="154" t="s">
        <v>168</v>
      </c>
      <c r="B65" s="154" t="s">
        <v>226</v>
      </c>
      <c r="C65" s="154" t="s">
        <v>103</v>
      </c>
      <c r="D65" s="154">
        <f>FIGURES!S17</f>
        <v>2.2902658139478661E-2</v>
      </c>
      <c r="E65" s="154">
        <v>2.2902658139478661E-2</v>
      </c>
      <c r="F65" s="154">
        <v>2.2019872503577051E-2</v>
      </c>
      <c r="G65" s="154">
        <v>2.4918266961334933E-2</v>
      </c>
      <c r="I65" s="163">
        <f t="shared" si="96"/>
        <v>1</v>
      </c>
      <c r="J65" s="163">
        <f t="shared" si="97"/>
        <v>0.96145488307403493</v>
      </c>
      <c r="K65" s="163">
        <f t="shared" si="98"/>
        <v>1.0880076369118854</v>
      </c>
      <c r="N65" s="154">
        <f>FIGURES!BV17</f>
        <v>1.9946835791258326E-2</v>
      </c>
      <c r="O65" s="154">
        <v>1.9946835791258326E-2</v>
      </c>
      <c r="P65" s="154">
        <v>1.8700545217295608E-2</v>
      </c>
      <c r="Q65" s="154">
        <v>2.1729834203805101E-2</v>
      </c>
      <c r="S65" s="163">
        <f t="shared" si="99"/>
        <v>1</v>
      </c>
      <c r="T65" s="163">
        <f t="shared" si="100"/>
        <v>0.93751938467810003</v>
      </c>
      <c r="U65" s="163">
        <f t="shared" si="101"/>
        <v>1.089387531496508</v>
      </c>
      <c r="W65" s="154">
        <f>FIGURES!DY17</f>
        <v>1.3232318903932011E-2</v>
      </c>
      <c r="X65" s="154">
        <v>1.3232318903932011E-2</v>
      </c>
      <c r="Y65" s="154">
        <v>1.1965477176382569E-2</v>
      </c>
      <c r="Z65" s="154">
        <v>1.4419983023509615E-2</v>
      </c>
      <c r="AB65" s="163">
        <f t="shared" si="102"/>
        <v>1</v>
      </c>
      <c r="AC65" s="163">
        <f t="shared" si="103"/>
        <v>0.90426154805164216</v>
      </c>
      <c r="AD65" s="163">
        <f t="shared" si="104"/>
        <v>1.0897547987015856</v>
      </c>
      <c r="AG65" s="154" t="s">
        <v>423</v>
      </c>
      <c r="AH65" s="154" t="s">
        <v>421</v>
      </c>
      <c r="AI65" s="154">
        <v>2034</v>
      </c>
      <c r="AJ65" s="154" t="str">
        <f t="shared" ref="AJ65:AL65" si="106">A10</f>
        <v>Road</v>
      </c>
      <c r="AK65" s="154" t="str">
        <f t="shared" si="106"/>
        <v>Liquid bulk</v>
      </c>
      <c r="AL65" s="154" t="str">
        <f t="shared" si="106"/>
        <v>Diesel</v>
      </c>
      <c r="AM65" s="164">
        <f t="shared" si="95"/>
        <v>0.95054215504160899</v>
      </c>
    </row>
    <row r="66" spans="1:39" x14ac:dyDescent="0.25">
      <c r="A66" s="154" t="s">
        <v>168</v>
      </c>
      <c r="B66" s="154" t="s">
        <v>226</v>
      </c>
      <c r="C66" s="154" t="s">
        <v>186</v>
      </c>
      <c r="D66" s="154">
        <f>FIGURES!T17</f>
        <v>2.0752764032990718E-2</v>
      </c>
      <c r="E66" s="154">
        <v>2.0752764032990718E-2</v>
      </c>
      <c r="F66" s="154">
        <v>1.9771651157454294E-2</v>
      </c>
      <c r="G66" s="154">
        <v>2.2992877245920678E-2</v>
      </c>
      <c r="I66" s="163">
        <f t="shared" si="96"/>
        <v>1</v>
      </c>
      <c r="J66" s="163">
        <f t="shared" si="97"/>
        <v>0.95272374928097547</v>
      </c>
      <c r="K66" s="163">
        <f t="shared" si="98"/>
        <v>1.107942884589679</v>
      </c>
      <c r="N66" s="154">
        <f>FIGURES!BW17</f>
        <v>1.9261282702587999E-2</v>
      </c>
      <c r="O66" s="154">
        <v>1.9261282702587999E-2</v>
      </c>
      <c r="P66" s="154">
        <v>1.7875017721953809E-2</v>
      </c>
      <c r="Q66" s="154">
        <v>2.1244534691713526E-2</v>
      </c>
      <c r="S66" s="163">
        <f t="shared" si="99"/>
        <v>1</v>
      </c>
      <c r="T66" s="163">
        <f t="shared" si="100"/>
        <v>0.928028418354094</v>
      </c>
      <c r="U66" s="163">
        <f t="shared" si="101"/>
        <v>1.1029657276594071</v>
      </c>
      <c r="W66" s="154">
        <f>FIGURES!DZ17</f>
        <v>1.3343048615322588E-2</v>
      </c>
      <c r="X66" s="154">
        <v>1.3343048615322588E-2</v>
      </c>
      <c r="Y66" s="154">
        <v>1.1924198636010437E-2</v>
      </c>
      <c r="Z66" s="154">
        <v>1.4673220470927728E-2</v>
      </c>
      <c r="AB66" s="163">
        <f t="shared" si="102"/>
        <v>1</v>
      </c>
      <c r="AC66" s="163">
        <f t="shared" si="103"/>
        <v>0.89366373306301206</v>
      </c>
      <c r="AD66" s="163">
        <f t="shared" si="104"/>
        <v>1.0996902502534263</v>
      </c>
      <c r="AG66" s="154" t="s">
        <v>87</v>
      </c>
      <c r="AH66" s="154" t="s">
        <v>421</v>
      </c>
      <c r="AI66" s="154">
        <v>2034</v>
      </c>
      <c r="AJ66" s="154" t="str">
        <f t="shared" ref="AJ66:AL66" si="107">A11</f>
        <v>Road</v>
      </c>
      <c r="AK66" s="154" t="str">
        <f t="shared" si="107"/>
        <v>Liquid bulk</v>
      </c>
      <c r="AL66" s="154" t="str">
        <f t="shared" si="107"/>
        <v>Battery</v>
      </c>
      <c r="AM66" s="164">
        <f t="shared" si="95"/>
        <v>0.99186435407410223</v>
      </c>
    </row>
    <row r="67" spans="1:39" x14ac:dyDescent="0.25">
      <c r="A67" s="154" t="s">
        <v>168</v>
      </c>
      <c r="B67" s="154" t="s">
        <v>226</v>
      </c>
      <c r="C67" s="154" t="s">
        <v>187</v>
      </c>
      <c r="D67" s="154">
        <f>FIGURES!U17</f>
        <v>3.947794392793505E-2</v>
      </c>
      <c r="E67" s="154">
        <v>3.947794392793505E-2</v>
      </c>
      <c r="F67" s="154">
        <v>3.8318861584445738E-2</v>
      </c>
      <c r="G67" s="154">
        <v>4.2124403613936684E-2</v>
      </c>
      <c r="I67" s="163">
        <f t="shared" si="96"/>
        <v>1</v>
      </c>
      <c r="J67" s="163">
        <f t="shared" si="97"/>
        <v>0.97063974897970484</v>
      </c>
      <c r="K67" s="163">
        <f t="shared" si="98"/>
        <v>1.067036411289114</v>
      </c>
      <c r="N67" s="154">
        <f>FIGURES!BX17</f>
        <v>2.7068661567960485E-2</v>
      </c>
      <c r="O67" s="154">
        <v>2.7068661567960485E-2</v>
      </c>
      <c r="P67" s="154">
        <v>2.5421623923501273E-2</v>
      </c>
      <c r="Q67" s="154">
        <v>2.9424986462674364E-2</v>
      </c>
      <c r="S67" s="163">
        <f t="shared" si="99"/>
        <v>1</v>
      </c>
      <c r="T67" s="163">
        <f t="shared" si="100"/>
        <v>0.93915334009684803</v>
      </c>
      <c r="U67" s="163">
        <f t="shared" si="101"/>
        <v>1.0870499226124619</v>
      </c>
      <c r="W67" s="154">
        <f>FIGURES!EA17</f>
        <v>1.6989392952996653E-2</v>
      </c>
      <c r="X67" s="154">
        <v>1.6989392952996653E-2</v>
      </c>
      <c r="Y67" s="154">
        <v>1.5213990625205476E-2</v>
      </c>
      <c r="Z67" s="154">
        <v>1.8653832635300887E-2</v>
      </c>
      <c r="AB67" s="163">
        <f t="shared" si="102"/>
        <v>1</v>
      </c>
      <c r="AC67" s="163">
        <f t="shared" si="103"/>
        <v>0.89549936641626593</v>
      </c>
      <c r="AD67" s="163">
        <f t="shared" si="104"/>
        <v>1.0979693439847511</v>
      </c>
      <c r="AG67" s="154" t="s">
        <v>103</v>
      </c>
      <c r="AH67" s="154" t="s">
        <v>421</v>
      </c>
      <c r="AI67" s="154">
        <v>2034</v>
      </c>
      <c r="AJ67" s="154" t="str">
        <f t="shared" ref="AJ67:AL67" si="108">A12</f>
        <v>Road</v>
      </c>
      <c r="AK67" s="154" t="str">
        <f t="shared" si="108"/>
        <v>Liquid bulk</v>
      </c>
      <c r="AL67" s="154" t="str">
        <f t="shared" si="108"/>
        <v>Hydrogen</v>
      </c>
      <c r="AM67" s="164">
        <f t="shared" si="95"/>
        <v>0.98355364230582498</v>
      </c>
    </row>
    <row r="68" spans="1:39" x14ac:dyDescent="0.25">
      <c r="AG68" s="154" t="s">
        <v>423</v>
      </c>
      <c r="AH68" s="154" t="s">
        <v>421</v>
      </c>
      <c r="AI68" s="154">
        <v>2034</v>
      </c>
      <c r="AJ68" s="154" t="str">
        <f t="shared" ref="AJ68:AL68" si="109">A13</f>
        <v>Road</v>
      </c>
      <c r="AK68" s="154" t="str">
        <f t="shared" si="109"/>
        <v>Container</v>
      </c>
      <c r="AL68" s="154" t="str">
        <f t="shared" si="109"/>
        <v>Diesel</v>
      </c>
      <c r="AM68" s="164">
        <f t="shared" si="95"/>
        <v>0.95103655431755652</v>
      </c>
    </row>
    <row r="69" spans="1:39" x14ac:dyDescent="0.25">
      <c r="AG69" s="154" t="s">
        <v>87</v>
      </c>
      <c r="AH69" s="154" t="s">
        <v>421</v>
      </c>
      <c r="AI69" s="154">
        <v>2034</v>
      </c>
      <c r="AJ69" s="154" t="str">
        <f t="shared" ref="AJ69:AL69" si="110">A14</f>
        <v>Road</v>
      </c>
      <c r="AK69" s="154" t="str">
        <f t="shared" si="110"/>
        <v>Container</v>
      </c>
      <c r="AL69" s="154" t="str">
        <f t="shared" si="110"/>
        <v>Battery</v>
      </c>
      <c r="AM69" s="164">
        <f t="shared" si="95"/>
        <v>0.99195669374895978</v>
      </c>
    </row>
    <row r="70" spans="1:39" x14ac:dyDescent="0.25">
      <c r="AG70" s="154" t="s">
        <v>103</v>
      </c>
      <c r="AH70" s="154" t="s">
        <v>421</v>
      </c>
      <c r="AI70" s="154">
        <v>2034</v>
      </c>
      <c r="AJ70" s="154" t="str">
        <f t="shared" ref="AJ70:AL70" si="111">A15</f>
        <v>Road</v>
      </c>
      <c r="AK70" s="154" t="str">
        <f t="shared" si="111"/>
        <v>Container</v>
      </c>
      <c r="AL70" s="154" t="str">
        <f t="shared" si="111"/>
        <v>Hydrogen</v>
      </c>
      <c r="AM70" s="164">
        <f t="shared" si="95"/>
        <v>0.98374999839971577</v>
      </c>
    </row>
    <row r="71" spans="1:39" x14ac:dyDescent="0.25">
      <c r="AG71" s="154" t="s">
        <v>423</v>
      </c>
      <c r="AH71" s="154" t="s">
        <v>421</v>
      </c>
      <c r="AI71" s="154">
        <v>2034</v>
      </c>
      <c r="AJ71" s="154" t="str">
        <f t="shared" ref="AJ71:AL71" si="112">A16</f>
        <v>Road</v>
      </c>
      <c r="AK71" s="154" t="str">
        <f t="shared" si="112"/>
        <v>Break bulk</v>
      </c>
      <c r="AL71" s="154" t="str">
        <f t="shared" si="112"/>
        <v>Diesel</v>
      </c>
      <c r="AM71" s="164">
        <f t="shared" si="95"/>
        <v>0.96210672359626503</v>
      </c>
    </row>
    <row r="72" spans="1:39" x14ac:dyDescent="0.25">
      <c r="AG72" s="154" t="s">
        <v>87</v>
      </c>
      <c r="AH72" s="154" t="s">
        <v>421</v>
      </c>
      <c r="AI72" s="154">
        <v>2034</v>
      </c>
      <c r="AJ72" s="154" t="str">
        <f t="shared" ref="AJ72:AL72" si="113">A17</f>
        <v>Road</v>
      </c>
      <c r="AK72" s="154" t="str">
        <f t="shared" si="113"/>
        <v>Break bulk</v>
      </c>
      <c r="AL72" s="154" t="str">
        <f t="shared" si="113"/>
        <v>Battery</v>
      </c>
      <c r="AM72" s="164">
        <f t="shared" si="95"/>
        <v>0.9938166203526887</v>
      </c>
    </row>
    <row r="73" spans="1:39" x14ac:dyDescent="0.25">
      <c r="AG73" s="154" t="s">
        <v>103</v>
      </c>
      <c r="AH73" s="154" t="s">
        <v>421</v>
      </c>
      <c r="AI73" s="154">
        <v>2034</v>
      </c>
      <c r="AJ73" s="154" t="str">
        <f t="shared" ref="AJ73:AL73" si="114">A18</f>
        <v>Road</v>
      </c>
      <c r="AK73" s="154" t="str">
        <f t="shared" si="114"/>
        <v>Break bulk</v>
      </c>
      <c r="AL73" s="154" t="str">
        <f t="shared" si="114"/>
        <v>Hydrogen</v>
      </c>
      <c r="AM73" s="164">
        <f t="shared" si="95"/>
        <v>0.98717183517906304</v>
      </c>
    </row>
    <row r="74" spans="1:39" x14ac:dyDescent="0.25">
      <c r="AG74" s="154" t="s">
        <v>423</v>
      </c>
      <c r="AH74" s="154" t="s">
        <v>421</v>
      </c>
      <c r="AI74" s="154">
        <v>2034</v>
      </c>
      <c r="AJ74" s="154" t="str">
        <f t="shared" ref="AJ74:AL74" si="115">A19</f>
        <v>Road</v>
      </c>
      <c r="AK74" s="154" t="str">
        <f t="shared" si="115"/>
        <v>Neo bulk</v>
      </c>
      <c r="AL74" s="154" t="str">
        <f t="shared" si="115"/>
        <v>Diesel</v>
      </c>
      <c r="AM74" s="164">
        <f t="shared" si="95"/>
        <v>0.95703023253970709</v>
      </c>
    </row>
    <row r="75" spans="1:39" x14ac:dyDescent="0.25">
      <c r="AG75" s="154" t="s">
        <v>87</v>
      </c>
      <c r="AH75" s="154" t="s">
        <v>421</v>
      </c>
      <c r="AI75" s="154">
        <v>2034</v>
      </c>
      <c r="AJ75" s="154" t="str">
        <f t="shared" ref="AJ75:AL75" si="116">A20</f>
        <v>Road</v>
      </c>
      <c r="AK75" s="154" t="str">
        <f t="shared" si="116"/>
        <v>Neo bulk</v>
      </c>
      <c r="AL75" s="154" t="str">
        <f t="shared" si="116"/>
        <v>Battery</v>
      </c>
      <c r="AM75" s="164">
        <f t="shared" si="95"/>
        <v>0.99296745756134686</v>
      </c>
    </row>
    <row r="76" spans="1:39" x14ac:dyDescent="0.25">
      <c r="AG76" s="154" t="s">
        <v>103</v>
      </c>
      <c r="AH76" s="154" t="s">
        <v>421</v>
      </c>
      <c r="AI76" s="154">
        <v>2034</v>
      </c>
      <c r="AJ76" s="154" t="str">
        <f t="shared" ref="AJ76:AL76" si="117">A21</f>
        <v>Road</v>
      </c>
      <c r="AK76" s="154" t="str">
        <f t="shared" si="117"/>
        <v>Neo bulk</v>
      </c>
      <c r="AL76" s="154" t="str">
        <f t="shared" si="117"/>
        <v>Hydrogen</v>
      </c>
      <c r="AM76" s="164">
        <f t="shared" si="95"/>
        <v>0.98558760435341541</v>
      </c>
    </row>
    <row r="77" spans="1:39" x14ac:dyDescent="0.25">
      <c r="AG77" s="154" t="s">
        <v>423</v>
      </c>
      <c r="AH77" s="154" t="s">
        <v>422</v>
      </c>
      <c r="AI77" s="154">
        <v>2034</v>
      </c>
      <c r="AJ77" s="154" t="str">
        <f>A7</f>
        <v>Road</v>
      </c>
      <c r="AK77" s="154" t="str">
        <f>B7</f>
        <v>Dry bulk</v>
      </c>
      <c r="AL77" s="154" t="str">
        <f>C7</f>
        <v>Diesel</v>
      </c>
      <c r="AM77" s="164">
        <f>T7</f>
        <v>1.0114762210930268</v>
      </c>
    </row>
    <row r="78" spans="1:39" x14ac:dyDescent="0.25">
      <c r="AG78" s="154" t="s">
        <v>87</v>
      </c>
      <c r="AH78" s="154" t="s">
        <v>422</v>
      </c>
      <c r="AI78" s="154">
        <v>2034</v>
      </c>
      <c r="AJ78" s="154" t="str">
        <f t="shared" ref="AJ78:AL78" si="118">A8</f>
        <v>Road</v>
      </c>
      <c r="AK78" s="154" t="str">
        <f t="shared" si="118"/>
        <v>Dry bulk</v>
      </c>
      <c r="AL78" s="154" t="str">
        <f t="shared" si="118"/>
        <v>Battery</v>
      </c>
      <c r="AM78" s="164">
        <f t="shared" ref="AM78:AM91" si="119">T8</f>
        <v>1</v>
      </c>
    </row>
    <row r="79" spans="1:39" x14ac:dyDescent="0.25">
      <c r="AG79" s="154" t="s">
        <v>103</v>
      </c>
      <c r="AH79" s="154" t="s">
        <v>422</v>
      </c>
      <c r="AI79" s="154">
        <v>2034</v>
      </c>
      <c r="AJ79" s="154" t="str">
        <f t="shared" ref="AJ79:AL79" si="120">A9</f>
        <v>Road</v>
      </c>
      <c r="AK79" s="154" t="str">
        <f t="shared" si="120"/>
        <v>Dry bulk</v>
      </c>
      <c r="AL79" s="154" t="str">
        <f t="shared" si="120"/>
        <v>Hydrogen</v>
      </c>
      <c r="AM79" s="164">
        <f t="shared" si="119"/>
        <v>1.0137605265215794</v>
      </c>
    </row>
    <row r="80" spans="1:39" x14ac:dyDescent="0.25">
      <c r="AG80" s="154" t="s">
        <v>423</v>
      </c>
      <c r="AH80" s="154" t="s">
        <v>422</v>
      </c>
      <c r="AI80" s="154">
        <v>2034</v>
      </c>
      <c r="AJ80" s="154" t="str">
        <f t="shared" ref="AJ80:AL80" si="121">A10</f>
        <v>Road</v>
      </c>
      <c r="AK80" s="154" t="str">
        <f t="shared" si="121"/>
        <v>Liquid bulk</v>
      </c>
      <c r="AL80" s="154" t="str">
        <f t="shared" si="121"/>
        <v>Diesel</v>
      </c>
      <c r="AM80" s="164">
        <f t="shared" si="119"/>
        <v>1.0203292982344305</v>
      </c>
    </row>
    <row r="81" spans="33:39" x14ac:dyDescent="0.25">
      <c r="AG81" s="154" t="s">
        <v>87</v>
      </c>
      <c r="AH81" s="154" t="s">
        <v>422</v>
      </c>
      <c r="AI81" s="154">
        <v>2034</v>
      </c>
      <c r="AJ81" s="154" t="str">
        <f t="shared" ref="AJ81:AL81" si="122">A11</f>
        <v>Road</v>
      </c>
      <c r="AK81" s="154" t="str">
        <f t="shared" si="122"/>
        <v>Liquid bulk</v>
      </c>
      <c r="AL81" s="154" t="str">
        <f t="shared" si="122"/>
        <v>Battery</v>
      </c>
      <c r="AM81" s="164">
        <f t="shared" si="119"/>
        <v>1.0116178290070217</v>
      </c>
    </row>
    <row r="82" spans="33:39" x14ac:dyDescent="0.25">
      <c r="AG82" s="154" t="s">
        <v>103</v>
      </c>
      <c r="AH82" s="154" t="s">
        <v>422</v>
      </c>
      <c r="AI82" s="154">
        <v>2034</v>
      </c>
      <c r="AJ82" s="154" t="str">
        <f t="shared" ref="AJ82:AL82" si="123">A12</f>
        <v>Road</v>
      </c>
      <c r="AK82" s="154" t="str">
        <f t="shared" si="123"/>
        <v>Liquid bulk</v>
      </c>
      <c r="AL82" s="154" t="str">
        <f t="shared" si="123"/>
        <v>Hydrogen</v>
      </c>
      <c r="AM82" s="164">
        <f t="shared" si="119"/>
        <v>1.0235288866605576</v>
      </c>
    </row>
    <row r="83" spans="33:39" x14ac:dyDescent="0.25">
      <c r="AG83" s="154" t="s">
        <v>423</v>
      </c>
      <c r="AH83" s="154" t="s">
        <v>422</v>
      </c>
      <c r="AI83" s="154">
        <v>2034</v>
      </c>
      <c r="AJ83" s="154" t="str">
        <f t="shared" ref="AJ83:AL83" si="124">A13</f>
        <v>Road</v>
      </c>
      <c r="AK83" s="154" t="str">
        <f t="shared" si="124"/>
        <v>Container</v>
      </c>
      <c r="AL83" s="154" t="str">
        <f t="shared" si="124"/>
        <v>Diesel</v>
      </c>
      <c r="AM83" s="164">
        <f t="shared" si="119"/>
        <v>1.0201260789001456</v>
      </c>
    </row>
    <row r="84" spans="33:39" x14ac:dyDescent="0.25">
      <c r="AG84" s="154" t="s">
        <v>87</v>
      </c>
      <c r="AH84" s="154" t="s">
        <v>422</v>
      </c>
      <c r="AI84" s="154">
        <v>2034</v>
      </c>
      <c r="AJ84" s="154" t="str">
        <f t="shared" ref="AJ84:AL84" si="125">A14</f>
        <v>Road</v>
      </c>
      <c r="AK84" s="154" t="str">
        <f t="shared" si="125"/>
        <v>Container</v>
      </c>
      <c r="AL84" s="154" t="str">
        <f t="shared" si="125"/>
        <v>Battery</v>
      </c>
      <c r="AM84" s="164">
        <f t="shared" si="119"/>
        <v>1.0114859665141314</v>
      </c>
    </row>
    <row r="85" spans="33:39" x14ac:dyDescent="0.25">
      <c r="AG85" s="154" t="s">
        <v>103</v>
      </c>
      <c r="AH85" s="154" t="s">
        <v>422</v>
      </c>
      <c r="AI85" s="154">
        <v>2034</v>
      </c>
      <c r="AJ85" s="154" t="str">
        <f t="shared" ref="AJ85:AL85" si="126">A15</f>
        <v>Road</v>
      </c>
      <c r="AK85" s="154" t="str">
        <f t="shared" si="126"/>
        <v>Container</v>
      </c>
      <c r="AL85" s="154" t="str">
        <f t="shared" si="126"/>
        <v>Hydrogen</v>
      </c>
      <c r="AM85" s="164">
        <f t="shared" si="119"/>
        <v>1.0232479709487527</v>
      </c>
    </row>
    <row r="86" spans="33:39" x14ac:dyDescent="0.25">
      <c r="AG86" s="154" t="s">
        <v>423</v>
      </c>
      <c r="AH86" s="154" t="s">
        <v>422</v>
      </c>
      <c r="AI86" s="154">
        <v>2034</v>
      </c>
      <c r="AJ86" s="154" t="str">
        <f t="shared" ref="AJ86:AL86" si="127">A16</f>
        <v>Road</v>
      </c>
      <c r="AK86" s="154" t="str">
        <f t="shared" si="127"/>
        <v>Break bulk</v>
      </c>
      <c r="AL86" s="154" t="str">
        <f t="shared" si="127"/>
        <v>Diesel</v>
      </c>
      <c r="AM86" s="164">
        <f t="shared" si="119"/>
        <v>1.0155757639205536</v>
      </c>
    </row>
    <row r="87" spans="33:39" x14ac:dyDescent="0.25">
      <c r="AG87" s="154" t="s">
        <v>87</v>
      </c>
      <c r="AH87" s="154" t="s">
        <v>422</v>
      </c>
      <c r="AI87" s="154">
        <v>2034</v>
      </c>
      <c r="AJ87" s="154" t="str">
        <f t="shared" ref="AJ87:AL87" si="128">A17</f>
        <v>Road</v>
      </c>
      <c r="AK87" s="154" t="str">
        <f t="shared" si="128"/>
        <v>Break bulk</v>
      </c>
      <c r="AL87" s="154" t="str">
        <f t="shared" si="128"/>
        <v>Battery</v>
      </c>
      <c r="AM87" s="164">
        <f t="shared" si="119"/>
        <v>1.0088299623757324</v>
      </c>
    </row>
    <row r="88" spans="33:39" x14ac:dyDescent="0.25">
      <c r="AG88" s="154" t="s">
        <v>103</v>
      </c>
      <c r="AH88" s="154" t="s">
        <v>422</v>
      </c>
      <c r="AI88" s="154">
        <v>2034</v>
      </c>
      <c r="AJ88" s="154" t="str">
        <f t="shared" ref="AJ88:AL88" si="129">A18</f>
        <v>Road</v>
      </c>
      <c r="AK88" s="154" t="str">
        <f t="shared" si="129"/>
        <v>Break bulk</v>
      </c>
      <c r="AL88" s="154" t="str">
        <f t="shared" si="129"/>
        <v>Hydrogen</v>
      </c>
      <c r="AM88" s="164">
        <f t="shared" si="119"/>
        <v>1.0183525399208411</v>
      </c>
    </row>
    <row r="89" spans="33:39" x14ac:dyDescent="0.25">
      <c r="AG89" s="154" t="s">
        <v>423</v>
      </c>
      <c r="AH89" s="154" t="s">
        <v>422</v>
      </c>
      <c r="AI89" s="154">
        <v>2034</v>
      </c>
      <c r="AJ89" s="154" t="str">
        <f t="shared" ref="AJ89:AL89" si="130">A19</f>
        <v>Road</v>
      </c>
      <c r="AK89" s="154" t="str">
        <f t="shared" si="130"/>
        <v>Neo bulk</v>
      </c>
      <c r="AL89" s="154" t="str">
        <f t="shared" si="130"/>
        <v>Diesel</v>
      </c>
      <c r="AM89" s="164">
        <f t="shared" si="119"/>
        <v>1.0176624197536175</v>
      </c>
    </row>
    <row r="90" spans="33:39" x14ac:dyDescent="0.25">
      <c r="AG90" s="154" t="s">
        <v>87</v>
      </c>
      <c r="AH90" s="154" t="s">
        <v>422</v>
      </c>
      <c r="AI90" s="154">
        <v>2034</v>
      </c>
      <c r="AJ90" s="154" t="str">
        <f t="shared" ref="AJ90:AL90" si="131">A20</f>
        <v>Road</v>
      </c>
      <c r="AK90" s="154" t="str">
        <f t="shared" si="131"/>
        <v>Neo bulk</v>
      </c>
      <c r="AL90" s="154" t="str">
        <f t="shared" si="131"/>
        <v>Battery</v>
      </c>
      <c r="AM90" s="164">
        <f t="shared" si="119"/>
        <v>1.0100425800583104</v>
      </c>
    </row>
    <row r="91" spans="33:39" x14ac:dyDescent="0.25">
      <c r="AG91" s="154" t="s">
        <v>103</v>
      </c>
      <c r="AH91" s="154" t="s">
        <v>422</v>
      </c>
      <c r="AI91" s="154">
        <v>2034</v>
      </c>
      <c r="AJ91" s="154" t="str">
        <f t="shared" ref="AJ91:AL91" si="132">A21</f>
        <v>Road</v>
      </c>
      <c r="AK91" s="154" t="str">
        <f t="shared" si="132"/>
        <v>Neo bulk</v>
      </c>
      <c r="AL91" s="154" t="str">
        <f t="shared" si="132"/>
        <v>Hydrogen</v>
      </c>
      <c r="AM91" s="164">
        <f t="shared" si="119"/>
        <v>1.0206190106029198</v>
      </c>
    </row>
    <row r="92" spans="33:39" x14ac:dyDescent="0.25">
      <c r="AG92" s="154" t="s">
        <v>423</v>
      </c>
      <c r="AH92" s="154" t="s">
        <v>420</v>
      </c>
      <c r="AI92" s="154">
        <v>2050</v>
      </c>
      <c r="AJ92" s="154" t="str">
        <f>A7</f>
        <v>Road</v>
      </c>
      <c r="AK92" s="154" t="str">
        <f>B7</f>
        <v>Dry bulk</v>
      </c>
      <c r="AL92" s="154" t="str">
        <f>C7</f>
        <v>Diesel</v>
      </c>
      <c r="AM92" s="164">
        <f>AB7</f>
        <v>1</v>
      </c>
    </row>
    <row r="93" spans="33:39" x14ac:dyDescent="0.25">
      <c r="AG93" s="154" t="s">
        <v>87</v>
      </c>
      <c r="AH93" s="154" t="s">
        <v>420</v>
      </c>
      <c r="AI93" s="154">
        <v>2050</v>
      </c>
      <c r="AJ93" s="154" t="str">
        <f t="shared" ref="AJ93:AL93" si="133">A8</f>
        <v>Road</v>
      </c>
      <c r="AK93" s="154" t="str">
        <f t="shared" si="133"/>
        <v>Dry bulk</v>
      </c>
      <c r="AL93" s="154" t="str">
        <f t="shared" si="133"/>
        <v>Battery</v>
      </c>
      <c r="AM93" s="164">
        <f t="shared" ref="AM93:AM105" si="134">AB8</f>
        <v>1</v>
      </c>
    </row>
    <row r="94" spans="33:39" x14ac:dyDescent="0.25">
      <c r="AG94" s="154" t="s">
        <v>103</v>
      </c>
      <c r="AH94" s="154" t="s">
        <v>420</v>
      </c>
      <c r="AI94" s="154">
        <v>2050</v>
      </c>
      <c r="AJ94" s="154" t="str">
        <f t="shared" ref="AJ94:AL94" si="135">A9</f>
        <v>Road</v>
      </c>
      <c r="AK94" s="154" t="str">
        <f t="shared" si="135"/>
        <v>Dry bulk</v>
      </c>
      <c r="AL94" s="154" t="str">
        <f t="shared" si="135"/>
        <v>Hydrogen</v>
      </c>
      <c r="AM94" s="164">
        <f t="shared" si="134"/>
        <v>1</v>
      </c>
    </row>
    <row r="95" spans="33:39" x14ac:dyDescent="0.25">
      <c r="AG95" s="154" t="s">
        <v>423</v>
      </c>
      <c r="AH95" s="154" t="s">
        <v>420</v>
      </c>
      <c r="AI95" s="154">
        <v>2050</v>
      </c>
      <c r="AJ95" s="154" t="str">
        <f t="shared" ref="AJ95:AL95" si="136">A10</f>
        <v>Road</v>
      </c>
      <c r="AK95" s="154" t="str">
        <f t="shared" si="136"/>
        <v>Liquid bulk</v>
      </c>
      <c r="AL95" s="154" t="str">
        <f t="shared" si="136"/>
        <v>Diesel</v>
      </c>
      <c r="AM95" s="164">
        <f t="shared" si="134"/>
        <v>1</v>
      </c>
    </row>
    <row r="96" spans="33:39" x14ac:dyDescent="0.25">
      <c r="AG96" s="154" t="s">
        <v>87</v>
      </c>
      <c r="AH96" s="154" t="s">
        <v>420</v>
      </c>
      <c r="AI96" s="154">
        <v>2050</v>
      </c>
      <c r="AJ96" s="154" t="str">
        <f t="shared" ref="AJ96:AL96" si="137">A11</f>
        <v>Road</v>
      </c>
      <c r="AK96" s="154" t="str">
        <f t="shared" si="137"/>
        <v>Liquid bulk</v>
      </c>
      <c r="AL96" s="154" t="str">
        <f t="shared" si="137"/>
        <v>Battery</v>
      </c>
      <c r="AM96" s="164">
        <f t="shared" si="134"/>
        <v>1</v>
      </c>
    </row>
    <row r="97" spans="33:39" x14ac:dyDescent="0.25">
      <c r="AG97" s="154" t="s">
        <v>103</v>
      </c>
      <c r="AH97" s="154" t="s">
        <v>420</v>
      </c>
      <c r="AI97" s="154">
        <v>2050</v>
      </c>
      <c r="AJ97" s="154" t="str">
        <f t="shared" ref="AJ97:AL97" si="138">A12</f>
        <v>Road</v>
      </c>
      <c r="AK97" s="154" t="str">
        <f t="shared" si="138"/>
        <v>Liquid bulk</v>
      </c>
      <c r="AL97" s="154" t="str">
        <f t="shared" si="138"/>
        <v>Hydrogen</v>
      </c>
      <c r="AM97" s="164">
        <f t="shared" si="134"/>
        <v>1</v>
      </c>
    </row>
    <row r="98" spans="33:39" x14ac:dyDescent="0.25">
      <c r="AG98" s="154" t="s">
        <v>423</v>
      </c>
      <c r="AH98" s="154" t="s">
        <v>420</v>
      </c>
      <c r="AI98" s="154">
        <v>2050</v>
      </c>
      <c r="AJ98" s="154" t="str">
        <f t="shared" ref="AJ98:AL98" si="139">A13</f>
        <v>Road</v>
      </c>
      <c r="AK98" s="154" t="str">
        <f t="shared" si="139"/>
        <v>Container</v>
      </c>
      <c r="AL98" s="154" t="str">
        <f t="shared" si="139"/>
        <v>Diesel</v>
      </c>
      <c r="AM98" s="164">
        <f t="shared" si="134"/>
        <v>1</v>
      </c>
    </row>
    <row r="99" spans="33:39" x14ac:dyDescent="0.25">
      <c r="AG99" s="154" t="s">
        <v>87</v>
      </c>
      <c r="AH99" s="154" t="s">
        <v>420</v>
      </c>
      <c r="AI99" s="154">
        <v>2050</v>
      </c>
      <c r="AJ99" s="154" t="str">
        <f t="shared" ref="AJ99:AL99" si="140">A14</f>
        <v>Road</v>
      </c>
      <c r="AK99" s="154" t="str">
        <f t="shared" si="140"/>
        <v>Container</v>
      </c>
      <c r="AL99" s="154" t="str">
        <f t="shared" si="140"/>
        <v>Battery</v>
      </c>
      <c r="AM99" s="164">
        <f t="shared" si="134"/>
        <v>1</v>
      </c>
    </row>
    <row r="100" spans="33:39" x14ac:dyDescent="0.25">
      <c r="AG100" s="154" t="s">
        <v>103</v>
      </c>
      <c r="AH100" s="154" t="s">
        <v>420</v>
      </c>
      <c r="AI100" s="154">
        <v>2050</v>
      </c>
      <c r="AJ100" s="154" t="str">
        <f t="shared" ref="AJ100:AL100" si="141">A15</f>
        <v>Road</v>
      </c>
      <c r="AK100" s="154" t="str">
        <f t="shared" si="141"/>
        <v>Container</v>
      </c>
      <c r="AL100" s="154" t="str">
        <f t="shared" si="141"/>
        <v>Hydrogen</v>
      </c>
      <c r="AM100" s="164">
        <f t="shared" si="134"/>
        <v>1</v>
      </c>
    </row>
    <row r="101" spans="33:39" x14ac:dyDescent="0.25">
      <c r="AG101" s="154" t="s">
        <v>423</v>
      </c>
      <c r="AH101" s="154" t="s">
        <v>420</v>
      </c>
      <c r="AI101" s="154">
        <v>2050</v>
      </c>
      <c r="AJ101" s="154" t="str">
        <f t="shared" ref="AJ101:AL101" si="142">A16</f>
        <v>Road</v>
      </c>
      <c r="AK101" s="154" t="str">
        <f t="shared" si="142"/>
        <v>Break bulk</v>
      </c>
      <c r="AL101" s="154" t="str">
        <f t="shared" si="142"/>
        <v>Diesel</v>
      </c>
      <c r="AM101" s="164">
        <f t="shared" si="134"/>
        <v>1</v>
      </c>
    </row>
    <row r="102" spans="33:39" x14ac:dyDescent="0.25">
      <c r="AG102" s="154" t="s">
        <v>87</v>
      </c>
      <c r="AH102" s="154" t="s">
        <v>420</v>
      </c>
      <c r="AI102" s="154">
        <v>2050</v>
      </c>
      <c r="AJ102" s="154" t="str">
        <f t="shared" ref="AJ102:AL102" si="143">A17</f>
        <v>Road</v>
      </c>
      <c r="AK102" s="154" t="str">
        <f t="shared" si="143"/>
        <v>Break bulk</v>
      </c>
      <c r="AL102" s="154" t="str">
        <f t="shared" si="143"/>
        <v>Battery</v>
      </c>
      <c r="AM102" s="164">
        <f t="shared" si="134"/>
        <v>1</v>
      </c>
    </row>
    <row r="103" spans="33:39" x14ac:dyDescent="0.25">
      <c r="AG103" s="154" t="s">
        <v>103</v>
      </c>
      <c r="AH103" s="154" t="s">
        <v>420</v>
      </c>
      <c r="AI103" s="154">
        <v>2050</v>
      </c>
      <c r="AJ103" s="154" t="str">
        <f t="shared" ref="AJ103:AL103" si="144">A18</f>
        <v>Road</v>
      </c>
      <c r="AK103" s="154" t="str">
        <f t="shared" si="144"/>
        <v>Break bulk</v>
      </c>
      <c r="AL103" s="154" t="str">
        <f t="shared" si="144"/>
        <v>Hydrogen</v>
      </c>
      <c r="AM103" s="164">
        <f t="shared" si="134"/>
        <v>1</v>
      </c>
    </row>
    <row r="104" spans="33:39" x14ac:dyDescent="0.25">
      <c r="AG104" s="154" t="s">
        <v>423</v>
      </c>
      <c r="AH104" s="154" t="s">
        <v>420</v>
      </c>
      <c r="AI104" s="154">
        <v>2050</v>
      </c>
      <c r="AJ104" s="154" t="str">
        <f t="shared" ref="AJ104:AL104" si="145">A19</f>
        <v>Road</v>
      </c>
      <c r="AK104" s="154" t="str">
        <f t="shared" si="145"/>
        <v>Neo bulk</v>
      </c>
      <c r="AL104" s="154" t="str">
        <f t="shared" si="145"/>
        <v>Diesel</v>
      </c>
      <c r="AM104" s="164">
        <f t="shared" si="134"/>
        <v>1</v>
      </c>
    </row>
    <row r="105" spans="33:39" x14ac:dyDescent="0.25">
      <c r="AG105" s="154" t="s">
        <v>87</v>
      </c>
      <c r="AH105" s="154" t="s">
        <v>420</v>
      </c>
      <c r="AI105" s="154">
        <v>2050</v>
      </c>
      <c r="AJ105" s="154" t="str">
        <f t="shared" ref="AJ105:AL105" si="146">A20</f>
        <v>Road</v>
      </c>
      <c r="AK105" s="154" t="str">
        <f t="shared" si="146"/>
        <v>Neo bulk</v>
      </c>
      <c r="AL105" s="154" t="str">
        <f t="shared" si="146"/>
        <v>Battery</v>
      </c>
      <c r="AM105" s="164">
        <f t="shared" si="134"/>
        <v>1</v>
      </c>
    </row>
    <row r="106" spans="33:39" x14ac:dyDescent="0.25">
      <c r="AG106" s="154" t="s">
        <v>103</v>
      </c>
      <c r="AH106" s="154" t="s">
        <v>420</v>
      </c>
      <c r="AI106" s="154">
        <v>2050</v>
      </c>
      <c r="AJ106" s="154" t="str">
        <f>A21</f>
        <v>Road</v>
      </c>
      <c r="AK106" s="154" t="str">
        <f>B21</f>
        <v>Neo bulk</v>
      </c>
      <c r="AL106" s="154" t="str">
        <f>C21</f>
        <v>Hydrogen</v>
      </c>
      <c r="AM106" s="164">
        <f>AB21</f>
        <v>1</v>
      </c>
    </row>
    <row r="107" spans="33:39" x14ac:dyDescent="0.25">
      <c r="AG107" s="154" t="s">
        <v>423</v>
      </c>
      <c r="AH107" s="154" t="s">
        <v>421</v>
      </c>
      <c r="AI107" s="154">
        <v>2050</v>
      </c>
      <c r="AJ107" s="154" t="str">
        <f>A7</f>
        <v>Road</v>
      </c>
      <c r="AK107" s="154" t="str">
        <f>B7</f>
        <v>Dry bulk</v>
      </c>
      <c r="AL107" s="154" t="str">
        <f>C7</f>
        <v>Diesel</v>
      </c>
      <c r="AM107" s="164">
        <f>AC7</f>
        <v>0.97311771593843233</v>
      </c>
    </row>
    <row r="108" spans="33:39" x14ac:dyDescent="0.25">
      <c r="AG108" s="154" t="s">
        <v>87</v>
      </c>
      <c r="AH108" s="154" t="s">
        <v>421</v>
      </c>
      <c r="AI108" s="154">
        <v>2050</v>
      </c>
      <c r="AJ108" s="154" t="str">
        <f t="shared" ref="AJ108:AL108" si="147">A8</f>
        <v>Road</v>
      </c>
      <c r="AK108" s="154" t="str">
        <f t="shared" si="147"/>
        <v>Dry bulk</v>
      </c>
      <c r="AL108" s="154" t="str">
        <f t="shared" si="147"/>
        <v>Battery</v>
      </c>
      <c r="AM108" s="164">
        <f t="shared" ref="AM108:AM121" si="148">AC8</f>
        <v>1</v>
      </c>
    </row>
    <row r="109" spans="33:39" x14ac:dyDescent="0.25">
      <c r="AG109" s="154" t="s">
        <v>103</v>
      </c>
      <c r="AH109" s="154" t="s">
        <v>421</v>
      </c>
      <c r="AI109" s="154">
        <v>2050</v>
      </c>
      <c r="AJ109" s="154" t="str">
        <f t="shared" ref="AJ109:AL109" si="149">A9</f>
        <v>Road</v>
      </c>
      <c r="AK109" s="154" t="str">
        <f t="shared" si="149"/>
        <v>Dry bulk</v>
      </c>
      <c r="AL109" s="154" t="str">
        <f t="shared" si="149"/>
        <v>Hydrogen</v>
      </c>
      <c r="AM109" s="164">
        <f t="shared" si="148"/>
        <v>0.9886675353383011</v>
      </c>
    </row>
    <row r="110" spans="33:39" x14ac:dyDescent="0.25">
      <c r="AG110" s="154" t="s">
        <v>423</v>
      </c>
      <c r="AH110" s="154" t="s">
        <v>421</v>
      </c>
      <c r="AI110" s="154">
        <v>2050</v>
      </c>
      <c r="AJ110" s="154" t="str">
        <f t="shared" ref="AJ110:AL110" si="150">A10</f>
        <v>Road</v>
      </c>
      <c r="AK110" s="154" t="str">
        <f t="shared" si="150"/>
        <v>Liquid bulk</v>
      </c>
      <c r="AL110" s="154" t="str">
        <f t="shared" si="150"/>
        <v>Diesel</v>
      </c>
      <c r="AM110" s="164">
        <f t="shared" si="148"/>
        <v>0.95174644159803445</v>
      </c>
    </row>
    <row r="111" spans="33:39" x14ac:dyDescent="0.25">
      <c r="AG111" s="154" t="s">
        <v>87</v>
      </c>
      <c r="AH111" s="154" t="s">
        <v>421</v>
      </c>
      <c r="AI111" s="154">
        <v>2050</v>
      </c>
      <c r="AJ111" s="154" t="str">
        <f t="shared" ref="AJ111:AL111" si="151">A11</f>
        <v>Road</v>
      </c>
      <c r="AK111" s="154" t="str">
        <f t="shared" si="151"/>
        <v>Liquid bulk</v>
      </c>
      <c r="AL111" s="154" t="str">
        <f t="shared" si="151"/>
        <v>Battery</v>
      </c>
      <c r="AM111" s="164">
        <f t="shared" si="148"/>
        <v>0.98979227923177993</v>
      </c>
    </row>
    <row r="112" spans="33:39" x14ac:dyDescent="0.25">
      <c r="AG112" s="154" t="s">
        <v>103</v>
      </c>
      <c r="AH112" s="154" t="s">
        <v>421</v>
      </c>
      <c r="AI112" s="154">
        <v>2050</v>
      </c>
      <c r="AJ112" s="154" t="str">
        <f t="shared" ref="AJ112:AL112" si="152">A12</f>
        <v>Road</v>
      </c>
      <c r="AK112" s="154" t="str">
        <f t="shared" si="152"/>
        <v>Liquid bulk</v>
      </c>
      <c r="AL112" s="154" t="str">
        <f t="shared" si="152"/>
        <v>Hydrogen</v>
      </c>
      <c r="AM112" s="164">
        <f t="shared" si="148"/>
        <v>0.98021265974116756</v>
      </c>
    </row>
    <row r="113" spans="33:39" x14ac:dyDescent="0.25">
      <c r="AG113" s="154" t="s">
        <v>423</v>
      </c>
      <c r="AH113" s="154" t="s">
        <v>421</v>
      </c>
      <c r="AI113" s="154">
        <v>2050</v>
      </c>
      <c r="AJ113" s="154" t="str">
        <f t="shared" ref="AJ113:AL113" si="153">A13</f>
        <v>Road</v>
      </c>
      <c r="AK113" s="154" t="str">
        <f t="shared" si="153"/>
        <v>Container</v>
      </c>
      <c r="AL113" s="154" t="str">
        <f t="shared" si="153"/>
        <v>Diesel</v>
      </c>
      <c r="AM113" s="164">
        <f t="shared" si="148"/>
        <v>0.95226376087785436</v>
      </c>
    </row>
    <row r="114" spans="33:39" x14ac:dyDescent="0.25">
      <c r="AG114" s="154" t="s">
        <v>87</v>
      </c>
      <c r="AH114" s="154" t="s">
        <v>421</v>
      </c>
      <c r="AI114" s="154">
        <v>2050</v>
      </c>
      <c r="AJ114" s="154" t="str">
        <f t="shared" ref="AJ114:AL114" si="154">A14</f>
        <v>Road</v>
      </c>
      <c r="AK114" s="154" t="str">
        <f t="shared" si="154"/>
        <v>Container</v>
      </c>
      <c r="AL114" s="154" t="str">
        <f t="shared" si="154"/>
        <v>Battery</v>
      </c>
      <c r="AM114" s="164">
        <f t="shared" si="148"/>
        <v>0.98989053383858672</v>
      </c>
    </row>
    <row r="115" spans="33:39" x14ac:dyDescent="0.25">
      <c r="AG115" s="154" t="s">
        <v>103</v>
      </c>
      <c r="AH115" s="154" t="s">
        <v>421</v>
      </c>
      <c r="AI115" s="154">
        <v>2050</v>
      </c>
      <c r="AJ115" s="154" t="str">
        <f t="shared" ref="AJ115:AL115" si="155">A15</f>
        <v>Road</v>
      </c>
      <c r="AK115" s="154" t="str">
        <f t="shared" si="155"/>
        <v>Container</v>
      </c>
      <c r="AL115" s="154" t="str">
        <f t="shared" si="155"/>
        <v>Hydrogen</v>
      </c>
      <c r="AM115" s="164">
        <f t="shared" si="148"/>
        <v>0.98041411229009656</v>
      </c>
    </row>
    <row r="116" spans="33:39" x14ac:dyDescent="0.25">
      <c r="AG116" s="154" t="s">
        <v>423</v>
      </c>
      <c r="AH116" s="154" t="s">
        <v>421</v>
      </c>
      <c r="AI116" s="154">
        <v>2050</v>
      </c>
      <c r="AJ116" s="154" t="str">
        <f t="shared" ref="AJ116:AL116" si="156">A16</f>
        <v>Road</v>
      </c>
      <c r="AK116" s="154" t="str">
        <f t="shared" si="156"/>
        <v>Break bulk</v>
      </c>
      <c r="AL116" s="154" t="str">
        <f t="shared" si="156"/>
        <v>Diesel</v>
      </c>
      <c r="AM116" s="164">
        <f t="shared" si="148"/>
        <v>0.9632967413493444</v>
      </c>
    </row>
    <row r="117" spans="33:39" x14ac:dyDescent="0.25">
      <c r="AG117" s="154" t="s">
        <v>87</v>
      </c>
      <c r="AH117" s="154" t="s">
        <v>421</v>
      </c>
      <c r="AI117" s="154">
        <v>2050</v>
      </c>
      <c r="AJ117" s="154" t="str">
        <f t="shared" ref="AJ117:AL117" si="157">A17</f>
        <v>Road</v>
      </c>
      <c r="AK117" s="154" t="str">
        <f t="shared" si="157"/>
        <v>Break bulk</v>
      </c>
      <c r="AL117" s="154" t="str">
        <f t="shared" si="157"/>
        <v>Battery</v>
      </c>
      <c r="AM117" s="164">
        <f t="shared" si="148"/>
        <v>0.99223994415697814</v>
      </c>
    </row>
    <row r="118" spans="33:39" x14ac:dyDescent="0.25">
      <c r="AG118" s="154" t="s">
        <v>103</v>
      </c>
      <c r="AH118" s="154" t="s">
        <v>421</v>
      </c>
      <c r="AI118" s="154">
        <v>2050</v>
      </c>
      <c r="AJ118" s="154" t="str">
        <f t="shared" ref="AJ118:AL118" si="158">A18</f>
        <v>Road</v>
      </c>
      <c r="AK118" s="154" t="str">
        <f t="shared" si="158"/>
        <v>Break bulk</v>
      </c>
      <c r="AL118" s="154" t="str">
        <f t="shared" si="158"/>
        <v>Hydrogen</v>
      </c>
      <c r="AM118" s="164">
        <f t="shared" si="148"/>
        <v>0.98472487085161342</v>
      </c>
    </row>
    <row r="119" spans="33:39" x14ac:dyDescent="0.25">
      <c r="AG119" s="154" t="s">
        <v>423</v>
      </c>
      <c r="AH119" s="154" t="s">
        <v>421</v>
      </c>
      <c r="AI119" s="154">
        <v>2050</v>
      </c>
      <c r="AJ119" s="154" t="str">
        <f t="shared" ref="AJ119:AL119" si="159">A19</f>
        <v>Road</v>
      </c>
      <c r="AK119" s="154" t="str">
        <f t="shared" si="159"/>
        <v>Neo bulk</v>
      </c>
      <c r="AL119" s="154" t="str">
        <f t="shared" si="159"/>
        <v>Diesel</v>
      </c>
      <c r="AM119" s="164">
        <f t="shared" si="148"/>
        <v>0.95825583067299314</v>
      </c>
    </row>
    <row r="120" spans="33:39" x14ac:dyDescent="0.25">
      <c r="AG120" s="154" t="s">
        <v>87</v>
      </c>
      <c r="AH120" s="154" t="s">
        <v>421</v>
      </c>
      <c r="AI120" s="154">
        <v>2050</v>
      </c>
      <c r="AJ120" s="154" t="str">
        <f t="shared" ref="AJ120:AL120" si="160">A20</f>
        <v>Road</v>
      </c>
      <c r="AK120" s="154" t="str">
        <f t="shared" si="160"/>
        <v>Neo bulk</v>
      </c>
      <c r="AL120" s="154" t="str">
        <f t="shared" si="160"/>
        <v>Battery</v>
      </c>
      <c r="AM120" s="164">
        <f t="shared" si="148"/>
        <v>0.99116744940085943</v>
      </c>
    </row>
    <row r="121" spans="33:39" x14ac:dyDescent="0.25">
      <c r="AG121" s="154" t="s">
        <v>103</v>
      </c>
      <c r="AH121" s="154" t="s">
        <v>421</v>
      </c>
      <c r="AI121" s="154">
        <v>2050</v>
      </c>
      <c r="AJ121" s="154" t="str">
        <f t="shared" ref="AJ121:AL121" si="161">A21</f>
        <v>Road</v>
      </c>
      <c r="AK121" s="154" t="str">
        <f t="shared" si="161"/>
        <v>Neo bulk</v>
      </c>
      <c r="AL121" s="154" t="str">
        <f t="shared" si="161"/>
        <v>Hydrogen</v>
      </c>
      <c r="AM121" s="164">
        <f t="shared" si="148"/>
        <v>0.98274038277518494</v>
      </c>
    </row>
    <row r="122" spans="33:39" x14ac:dyDescent="0.25">
      <c r="AG122" s="154" t="s">
        <v>423</v>
      </c>
      <c r="AH122" s="154" t="s">
        <v>422</v>
      </c>
      <c r="AI122" s="154">
        <v>2050</v>
      </c>
      <c r="AJ122" s="154" t="str">
        <f>A7</f>
        <v>Road</v>
      </c>
      <c r="AK122" s="154" t="str">
        <f>B7</f>
        <v>Dry bulk</v>
      </c>
      <c r="AL122" s="154" t="str">
        <f>C7</f>
        <v>Diesel</v>
      </c>
      <c r="AM122" s="164">
        <f>AD7</f>
        <v>1.0176655009547446</v>
      </c>
    </row>
    <row r="123" spans="33:39" x14ac:dyDescent="0.25">
      <c r="AG123" s="154" t="s">
        <v>87</v>
      </c>
      <c r="AH123" s="154" t="s">
        <v>422</v>
      </c>
      <c r="AI123" s="154">
        <v>2050</v>
      </c>
      <c r="AJ123" s="154" t="str">
        <f t="shared" ref="AJ123:AL123" si="162">A8</f>
        <v>Road</v>
      </c>
      <c r="AK123" s="154" t="str">
        <f t="shared" si="162"/>
        <v>Dry bulk</v>
      </c>
      <c r="AL123" s="154" t="str">
        <f t="shared" si="162"/>
        <v>Battery</v>
      </c>
      <c r="AM123" s="164">
        <f t="shared" ref="AM123:AM136" si="163">AD8</f>
        <v>1</v>
      </c>
    </row>
    <row r="124" spans="33:39" x14ac:dyDescent="0.25">
      <c r="AG124" s="154" t="s">
        <v>103</v>
      </c>
      <c r="AH124" s="154" t="s">
        <v>422</v>
      </c>
      <c r="AI124" s="154">
        <v>2050</v>
      </c>
      <c r="AJ124" s="154" t="str">
        <f t="shared" ref="AJ124:AL124" si="164">A9</f>
        <v>Road</v>
      </c>
      <c r="AK124" s="154" t="str">
        <f t="shared" si="164"/>
        <v>Dry bulk</v>
      </c>
      <c r="AL124" s="154" t="str">
        <f t="shared" si="164"/>
        <v>Hydrogen</v>
      </c>
      <c r="AM124" s="164">
        <f t="shared" si="163"/>
        <v>1.0106241856203428</v>
      </c>
    </row>
    <row r="125" spans="33:39" x14ac:dyDescent="0.25">
      <c r="AG125" s="154" t="s">
        <v>423</v>
      </c>
      <c r="AH125" s="154" t="s">
        <v>422</v>
      </c>
      <c r="AI125" s="154">
        <v>2050</v>
      </c>
      <c r="AJ125" s="154" t="str">
        <f t="shared" ref="AJ125:AL125" si="165">A10</f>
        <v>Road</v>
      </c>
      <c r="AK125" s="154" t="str">
        <f t="shared" si="165"/>
        <v>Liquid bulk</v>
      </c>
      <c r="AL125" s="154" t="str">
        <f t="shared" si="165"/>
        <v>Diesel</v>
      </c>
      <c r="AM125" s="164">
        <f t="shared" si="163"/>
        <v>1.0317094812355776</v>
      </c>
    </row>
    <row r="126" spans="33:39" x14ac:dyDescent="0.25">
      <c r="AG126" s="154" t="s">
        <v>87</v>
      </c>
      <c r="AH126" s="154" t="s">
        <v>422</v>
      </c>
      <c r="AI126" s="154">
        <v>2050</v>
      </c>
      <c r="AJ126" s="154" t="str">
        <f t="shared" ref="AJ126:AL126" si="166">A11</f>
        <v>Road</v>
      </c>
      <c r="AK126" s="154" t="str">
        <f t="shared" si="166"/>
        <v>Liquid bulk</v>
      </c>
      <c r="AL126" s="154" t="str">
        <f t="shared" si="166"/>
        <v>Battery</v>
      </c>
      <c r="AM126" s="164">
        <f t="shared" si="163"/>
        <v>1.0095697382202065</v>
      </c>
    </row>
    <row r="127" spans="33:39" x14ac:dyDescent="0.25">
      <c r="AG127" s="154" t="s">
        <v>103</v>
      </c>
      <c r="AH127" s="154" t="s">
        <v>422</v>
      </c>
      <c r="AI127" s="154">
        <v>2050</v>
      </c>
      <c r="AJ127" s="154" t="str">
        <f t="shared" ref="AJ127:AL127" si="167">A12</f>
        <v>Road</v>
      </c>
      <c r="AK127" s="154" t="str">
        <f t="shared" si="167"/>
        <v>Liquid bulk</v>
      </c>
      <c r="AL127" s="154" t="str">
        <f t="shared" si="167"/>
        <v>Hydrogen</v>
      </c>
      <c r="AM127" s="164">
        <f t="shared" si="163"/>
        <v>1.0185506314926556</v>
      </c>
    </row>
    <row r="128" spans="33:39" x14ac:dyDescent="0.25">
      <c r="AG128" s="154" t="s">
        <v>423</v>
      </c>
      <c r="AH128" s="154" t="s">
        <v>422</v>
      </c>
      <c r="AI128" s="154">
        <v>2050</v>
      </c>
      <c r="AJ128" s="154" t="str">
        <f t="shared" ref="AJ128:AL128" si="168">A13</f>
        <v>Road</v>
      </c>
      <c r="AK128" s="154" t="str">
        <f t="shared" si="168"/>
        <v>Container</v>
      </c>
      <c r="AL128" s="154" t="str">
        <f t="shared" si="168"/>
        <v>Diesel</v>
      </c>
      <c r="AM128" s="164">
        <f t="shared" si="163"/>
        <v>1.0313695285659814</v>
      </c>
    </row>
    <row r="129" spans="33:39" x14ac:dyDescent="0.25">
      <c r="AG129" s="154" t="s">
        <v>87</v>
      </c>
      <c r="AH129" s="154" t="s">
        <v>422</v>
      </c>
      <c r="AI129" s="154">
        <v>2050</v>
      </c>
      <c r="AJ129" s="154" t="str">
        <f t="shared" ref="AJ129:AL129" si="169">A14</f>
        <v>Road</v>
      </c>
      <c r="AK129" s="154" t="str">
        <f t="shared" si="169"/>
        <v>Container</v>
      </c>
      <c r="AL129" s="154" t="str">
        <f t="shared" si="169"/>
        <v>Battery</v>
      </c>
      <c r="AM129" s="164">
        <f t="shared" si="163"/>
        <v>1.0094776245263251</v>
      </c>
    </row>
    <row r="130" spans="33:39" x14ac:dyDescent="0.25">
      <c r="AG130" s="154" t="s">
        <v>103</v>
      </c>
      <c r="AH130" s="154" t="s">
        <v>422</v>
      </c>
      <c r="AI130" s="154">
        <v>2050</v>
      </c>
      <c r="AJ130" s="154" t="str">
        <f t="shared" ref="AJ130:AL130" si="170">A15</f>
        <v>Road</v>
      </c>
      <c r="AK130" s="154" t="str">
        <f t="shared" si="170"/>
        <v>Container</v>
      </c>
      <c r="AL130" s="154" t="str">
        <f t="shared" si="170"/>
        <v>Hydrogen</v>
      </c>
      <c r="AM130" s="164">
        <f t="shared" si="163"/>
        <v>1.0183617697280345</v>
      </c>
    </row>
    <row r="131" spans="33:39" x14ac:dyDescent="0.25">
      <c r="AG131" s="154" t="s">
        <v>423</v>
      </c>
      <c r="AH131" s="154" t="s">
        <v>422</v>
      </c>
      <c r="AI131" s="154">
        <v>2050</v>
      </c>
      <c r="AJ131" s="154" t="str">
        <f t="shared" ref="AJ131:AL131" si="171">A16</f>
        <v>Road</v>
      </c>
      <c r="AK131" s="154" t="str">
        <f t="shared" si="171"/>
        <v>Break bulk</v>
      </c>
      <c r="AL131" s="154" t="str">
        <f t="shared" si="171"/>
        <v>Diesel</v>
      </c>
      <c r="AM131" s="164">
        <f t="shared" si="163"/>
        <v>1.0241192842561451</v>
      </c>
    </row>
    <row r="132" spans="33:39" x14ac:dyDescent="0.25">
      <c r="AG132" s="154" t="s">
        <v>87</v>
      </c>
      <c r="AH132" s="154" t="s">
        <v>422</v>
      </c>
      <c r="AI132" s="154">
        <v>2050</v>
      </c>
      <c r="AJ132" s="154" t="str">
        <f t="shared" ref="AJ132:AL132" si="172">A17</f>
        <v>Road</v>
      </c>
      <c r="AK132" s="154" t="str">
        <f t="shared" si="172"/>
        <v>Break bulk</v>
      </c>
      <c r="AL132" s="154" t="str">
        <f t="shared" si="172"/>
        <v>Battery</v>
      </c>
      <c r="AM132" s="164">
        <f t="shared" si="163"/>
        <v>1.0072750523528331</v>
      </c>
    </row>
    <row r="133" spans="33:39" x14ac:dyDescent="0.25">
      <c r="AG133" s="154" t="s">
        <v>103</v>
      </c>
      <c r="AH133" s="154" t="s">
        <v>422</v>
      </c>
      <c r="AI133" s="154">
        <v>2050</v>
      </c>
      <c r="AJ133" s="154" t="str">
        <f t="shared" ref="AJ133:AL133" si="173">A18</f>
        <v>Road</v>
      </c>
      <c r="AK133" s="154" t="str">
        <f t="shared" si="173"/>
        <v>Break bulk</v>
      </c>
      <c r="AL133" s="154" t="str">
        <f t="shared" si="173"/>
        <v>Hydrogen</v>
      </c>
      <c r="AM133" s="164">
        <f t="shared" si="163"/>
        <v>1.0143204335766123</v>
      </c>
    </row>
    <row r="134" spans="33:39" x14ac:dyDescent="0.25">
      <c r="AG134" s="154" t="s">
        <v>423</v>
      </c>
      <c r="AH134" s="154" t="s">
        <v>422</v>
      </c>
      <c r="AI134" s="154">
        <v>2050</v>
      </c>
      <c r="AJ134" s="154" t="str">
        <f t="shared" ref="AJ134:AL134" si="174">A19</f>
        <v>Road</v>
      </c>
      <c r="AK134" s="154" t="str">
        <f t="shared" si="174"/>
        <v>Neo bulk</v>
      </c>
      <c r="AL134" s="154" t="str">
        <f t="shared" si="174"/>
        <v>Diesel</v>
      </c>
      <c r="AM134" s="164">
        <f t="shared" si="163"/>
        <v>1.0274318827006046</v>
      </c>
    </row>
    <row r="135" spans="33:39" x14ac:dyDescent="0.25">
      <c r="AG135" s="154" t="s">
        <v>87</v>
      </c>
      <c r="AH135" s="154" t="s">
        <v>422</v>
      </c>
      <c r="AI135" s="154">
        <v>2050</v>
      </c>
      <c r="AJ135" s="154" t="str">
        <f t="shared" ref="AJ135:AL135" si="175">A20</f>
        <v>Road</v>
      </c>
      <c r="AK135" s="154" t="str">
        <f t="shared" si="175"/>
        <v>Neo bulk</v>
      </c>
      <c r="AL135" s="154" t="str">
        <f t="shared" si="175"/>
        <v>Battery</v>
      </c>
      <c r="AM135" s="164">
        <f t="shared" si="163"/>
        <v>1.0082805161866941</v>
      </c>
    </row>
    <row r="136" spans="33:39" x14ac:dyDescent="0.25">
      <c r="AG136" s="154" t="s">
        <v>103</v>
      </c>
      <c r="AH136" s="154" t="s">
        <v>422</v>
      </c>
      <c r="AI136" s="154">
        <v>2050</v>
      </c>
      <c r="AJ136" s="154" t="str">
        <f t="shared" ref="AJ136:AL136" si="176">A21</f>
        <v>Road</v>
      </c>
      <c r="AK136" s="154" t="str">
        <f t="shared" si="176"/>
        <v>Neo bulk</v>
      </c>
      <c r="AL136" s="154" t="str">
        <f t="shared" si="176"/>
        <v>Hydrogen</v>
      </c>
      <c r="AM136" s="164">
        <f t="shared" si="163"/>
        <v>1.0161808911482648</v>
      </c>
    </row>
    <row r="137" spans="33:39" x14ac:dyDescent="0.25">
      <c r="AG137" s="154" t="s">
        <v>423</v>
      </c>
      <c r="AH137" s="154" t="s">
        <v>420</v>
      </c>
      <c r="AI137" s="154">
        <v>2023</v>
      </c>
      <c r="AJ137" s="154" t="str">
        <f>A25</f>
        <v>Rail</v>
      </c>
      <c r="AK137" s="154" t="str">
        <f>B25</f>
        <v>Dry bulk</v>
      </c>
      <c r="AL137" s="154" t="str">
        <f>C25</f>
        <v>Diesel</v>
      </c>
      <c r="AM137" s="164">
        <f>I25</f>
        <v>1</v>
      </c>
    </row>
    <row r="138" spans="33:39" x14ac:dyDescent="0.25">
      <c r="AG138" s="154" t="s">
        <v>423</v>
      </c>
      <c r="AH138" s="154" t="s">
        <v>420</v>
      </c>
      <c r="AI138" s="154">
        <v>2023</v>
      </c>
      <c r="AJ138" s="154" t="str">
        <f t="shared" ref="AJ138:AL138" si="177">A26</f>
        <v>Rail</v>
      </c>
      <c r="AK138" s="154" t="str">
        <f t="shared" si="177"/>
        <v>Dry bulk</v>
      </c>
      <c r="AL138" s="154" t="str">
        <f t="shared" si="177"/>
        <v>Catenary</v>
      </c>
      <c r="AM138" s="164">
        <f t="shared" ref="AM138:AM156" si="178">I26</f>
        <v>1</v>
      </c>
    </row>
    <row r="139" spans="33:39" x14ac:dyDescent="0.25">
      <c r="AG139" s="154" t="s">
        <v>87</v>
      </c>
      <c r="AH139" s="154" t="s">
        <v>420</v>
      </c>
      <c r="AI139" s="154">
        <v>2023</v>
      </c>
      <c r="AJ139" s="154" t="str">
        <f t="shared" ref="AJ139:AL139" si="179">A27</f>
        <v>Rail</v>
      </c>
      <c r="AK139" s="154" t="str">
        <f t="shared" si="179"/>
        <v>Dry bulk</v>
      </c>
      <c r="AL139" s="154" t="str">
        <f t="shared" si="179"/>
        <v>Battery</v>
      </c>
      <c r="AM139" s="164">
        <f t="shared" si="178"/>
        <v>1</v>
      </c>
    </row>
    <row r="140" spans="33:39" x14ac:dyDescent="0.25">
      <c r="AG140" s="154" t="s">
        <v>103</v>
      </c>
      <c r="AH140" s="154" t="s">
        <v>420</v>
      </c>
      <c r="AI140" s="154">
        <v>2023</v>
      </c>
      <c r="AJ140" s="154" t="str">
        <f t="shared" ref="AJ140:AL140" si="180">A28</f>
        <v>Rail</v>
      </c>
      <c r="AK140" s="154" t="str">
        <f t="shared" si="180"/>
        <v>Dry bulk</v>
      </c>
      <c r="AL140" s="154" t="str">
        <f t="shared" si="180"/>
        <v>Hydrogen</v>
      </c>
      <c r="AM140" s="164">
        <f t="shared" si="178"/>
        <v>1</v>
      </c>
    </row>
    <row r="141" spans="33:39" x14ac:dyDescent="0.25">
      <c r="AG141" s="154" t="s">
        <v>423</v>
      </c>
      <c r="AH141" s="154" t="s">
        <v>420</v>
      </c>
      <c r="AI141" s="154">
        <v>2023</v>
      </c>
      <c r="AJ141" s="154" t="str">
        <f t="shared" ref="AJ141:AL141" si="181">A29</f>
        <v>Rail</v>
      </c>
      <c r="AK141" s="154" t="str">
        <f t="shared" si="181"/>
        <v>Liquid bulk</v>
      </c>
      <c r="AL141" s="154" t="str">
        <f t="shared" si="181"/>
        <v>Diesel</v>
      </c>
      <c r="AM141" s="164">
        <f t="shared" si="178"/>
        <v>1</v>
      </c>
    </row>
    <row r="142" spans="33:39" x14ac:dyDescent="0.25">
      <c r="AG142" s="154" t="s">
        <v>423</v>
      </c>
      <c r="AH142" s="154" t="s">
        <v>420</v>
      </c>
      <c r="AI142" s="154">
        <v>2023</v>
      </c>
      <c r="AJ142" s="154" t="str">
        <f t="shared" ref="AJ142:AL142" si="182">A30</f>
        <v>Rail</v>
      </c>
      <c r="AK142" s="154" t="str">
        <f t="shared" si="182"/>
        <v>Liquid bulk</v>
      </c>
      <c r="AL142" s="154" t="str">
        <f t="shared" si="182"/>
        <v>Catenary</v>
      </c>
      <c r="AM142" s="164">
        <f t="shared" si="178"/>
        <v>1</v>
      </c>
    </row>
    <row r="143" spans="33:39" x14ac:dyDescent="0.25">
      <c r="AG143" s="154" t="s">
        <v>87</v>
      </c>
      <c r="AH143" s="154" t="s">
        <v>420</v>
      </c>
      <c r="AI143" s="154">
        <v>2023</v>
      </c>
      <c r="AJ143" s="154" t="str">
        <f t="shared" ref="AJ143:AL143" si="183">A31</f>
        <v>Rail</v>
      </c>
      <c r="AK143" s="154" t="str">
        <f t="shared" si="183"/>
        <v>Liquid bulk</v>
      </c>
      <c r="AL143" s="154" t="str">
        <f t="shared" si="183"/>
        <v>Battery</v>
      </c>
      <c r="AM143" s="164">
        <f t="shared" si="178"/>
        <v>1</v>
      </c>
    </row>
    <row r="144" spans="33:39" x14ac:dyDescent="0.25">
      <c r="AG144" s="154" t="s">
        <v>103</v>
      </c>
      <c r="AH144" s="154" t="s">
        <v>420</v>
      </c>
      <c r="AI144" s="154">
        <v>2023</v>
      </c>
      <c r="AJ144" s="154" t="str">
        <f t="shared" ref="AJ144:AL144" si="184">A32</f>
        <v>Rail</v>
      </c>
      <c r="AK144" s="154" t="str">
        <f t="shared" si="184"/>
        <v>Liquid bulk</v>
      </c>
      <c r="AL144" s="154" t="str">
        <f t="shared" si="184"/>
        <v>Hydrogen</v>
      </c>
      <c r="AM144" s="164">
        <f t="shared" si="178"/>
        <v>1</v>
      </c>
    </row>
    <row r="145" spans="33:39" x14ac:dyDescent="0.25">
      <c r="AG145" s="154" t="s">
        <v>423</v>
      </c>
      <c r="AH145" s="154" t="s">
        <v>420</v>
      </c>
      <c r="AI145" s="154">
        <v>2023</v>
      </c>
      <c r="AJ145" s="154" t="str">
        <f t="shared" ref="AJ145:AL145" si="185">A33</f>
        <v>Rail</v>
      </c>
      <c r="AK145" s="154" t="str">
        <f t="shared" si="185"/>
        <v>Container</v>
      </c>
      <c r="AL145" s="154" t="str">
        <f t="shared" si="185"/>
        <v>Diesel</v>
      </c>
      <c r="AM145" s="164">
        <f t="shared" si="178"/>
        <v>1</v>
      </c>
    </row>
    <row r="146" spans="33:39" x14ac:dyDescent="0.25">
      <c r="AG146" s="154" t="s">
        <v>423</v>
      </c>
      <c r="AH146" s="154" t="s">
        <v>420</v>
      </c>
      <c r="AI146" s="154">
        <v>2023</v>
      </c>
      <c r="AJ146" s="154" t="str">
        <f t="shared" ref="AJ146:AL146" si="186">A34</f>
        <v>Rail</v>
      </c>
      <c r="AK146" s="154" t="str">
        <f t="shared" si="186"/>
        <v>Container</v>
      </c>
      <c r="AL146" s="154" t="str">
        <f t="shared" si="186"/>
        <v>Catenary</v>
      </c>
      <c r="AM146" s="164">
        <f t="shared" si="178"/>
        <v>1</v>
      </c>
    </row>
    <row r="147" spans="33:39" x14ac:dyDescent="0.25">
      <c r="AG147" s="154" t="s">
        <v>87</v>
      </c>
      <c r="AH147" s="154" t="s">
        <v>420</v>
      </c>
      <c r="AI147" s="154">
        <v>2023</v>
      </c>
      <c r="AJ147" s="154" t="str">
        <f t="shared" ref="AJ147:AL147" si="187">A35</f>
        <v>Rail</v>
      </c>
      <c r="AK147" s="154" t="str">
        <f t="shared" si="187"/>
        <v>Container</v>
      </c>
      <c r="AL147" s="154" t="str">
        <f t="shared" si="187"/>
        <v>Battery</v>
      </c>
      <c r="AM147" s="164">
        <f t="shared" si="178"/>
        <v>1</v>
      </c>
    </row>
    <row r="148" spans="33:39" x14ac:dyDescent="0.25">
      <c r="AG148" s="154" t="s">
        <v>103</v>
      </c>
      <c r="AH148" s="154" t="s">
        <v>420</v>
      </c>
      <c r="AI148" s="154">
        <v>2023</v>
      </c>
      <c r="AJ148" s="154" t="str">
        <f t="shared" ref="AJ148:AL148" si="188">A36</f>
        <v>Rail</v>
      </c>
      <c r="AK148" s="154" t="str">
        <f t="shared" si="188"/>
        <v>Container</v>
      </c>
      <c r="AL148" s="154" t="str">
        <f t="shared" si="188"/>
        <v>Hydrogen</v>
      </c>
      <c r="AM148" s="164">
        <f t="shared" si="178"/>
        <v>1</v>
      </c>
    </row>
    <row r="149" spans="33:39" x14ac:dyDescent="0.25">
      <c r="AG149" s="154" t="s">
        <v>423</v>
      </c>
      <c r="AH149" s="154" t="s">
        <v>420</v>
      </c>
      <c r="AI149" s="154">
        <v>2023</v>
      </c>
      <c r="AJ149" s="154" t="str">
        <f t="shared" ref="AJ149:AL149" si="189">A37</f>
        <v>Rail</v>
      </c>
      <c r="AK149" s="154" t="str">
        <f t="shared" si="189"/>
        <v>Break bulk</v>
      </c>
      <c r="AL149" s="154" t="str">
        <f t="shared" si="189"/>
        <v>Diesel</v>
      </c>
      <c r="AM149" s="164">
        <f t="shared" si="178"/>
        <v>1</v>
      </c>
    </row>
    <row r="150" spans="33:39" x14ac:dyDescent="0.25">
      <c r="AG150" s="154" t="s">
        <v>423</v>
      </c>
      <c r="AH150" s="154" t="s">
        <v>420</v>
      </c>
      <c r="AI150" s="154">
        <v>2023</v>
      </c>
      <c r="AJ150" s="154" t="str">
        <f t="shared" ref="AJ150:AL150" si="190">A38</f>
        <v>Rail</v>
      </c>
      <c r="AK150" s="154" t="str">
        <f t="shared" si="190"/>
        <v>Break bulk</v>
      </c>
      <c r="AL150" s="154" t="str">
        <f t="shared" si="190"/>
        <v>Catenary</v>
      </c>
      <c r="AM150" s="164">
        <f t="shared" si="178"/>
        <v>1</v>
      </c>
    </row>
    <row r="151" spans="33:39" x14ac:dyDescent="0.25">
      <c r="AG151" s="154" t="s">
        <v>87</v>
      </c>
      <c r="AH151" s="154" t="s">
        <v>420</v>
      </c>
      <c r="AI151" s="154">
        <v>2023</v>
      </c>
      <c r="AJ151" s="154" t="str">
        <f t="shared" ref="AJ151:AL151" si="191">A39</f>
        <v>Rail</v>
      </c>
      <c r="AK151" s="154" t="str">
        <f t="shared" si="191"/>
        <v>Break bulk</v>
      </c>
      <c r="AL151" s="154" t="str">
        <f t="shared" si="191"/>
        <v>Battery</v>
      </c>
      <c r="AM151" s="164">
        <f t="shared" si="178"/>
        <v>1</v>
      </c>
    </row>
    <row r="152" spans="33:39" x14ac:dyDescent="0.25">
      <c r="AG152" s="154" t="s">
        <v>103</v>
      </c>
      <c r="AH152" s="154" t="s">
        <v>420</v>
      </c>
      <c r="AI152" s="154">
        <v>2023</v>
      </c>
      <c r="AJ152" s="154" t="str">
        <f t="shared" ref="AJ152:AL152" si="192">A40</f>
        <v>Rail</v>
      </c>
      <c r="AK152" s="154" t="str">
        <f t="shared" si="192"/>
        <v>Break bulk</v>
      </c>
      <c r="AL152" s="154" t="str">
        <f t="shared" si="192"/>
        <v>Hydrogen</v>
      </c>
      <c r="AM152" s="164">
        <f t="shared" si="178"/>
        <v>1</v>
      </c>
    </row>
    <row r="153" spans="33:39" x14ac:dyDescent="0.25">
      <c r="AG153" s="154" t="s">
        <v>423</v>
      </c>
      <c r="AH153" s="154" t="s">
        <v>420</v>
      </c>
      <c r="AI153" s="154">
        <v>2023</v>
      </c>
      <c r="AJ153" s="154" t="str">
        <f t="shared" ref="AJ153:AL153" si="193">A41</f>
        <v>Rail</v>
      </c>
      <c r="AK153" s="154" t="str">
        <f t="shared" si="193"/>
        <v>Neo bulk</v>
      </c>
      <c r="AL153" s="154" t="str">
        <f t="shared" si="193"/>
        <v>Diesel</v>
      </c>
      <c r="AM153" s="164">
        <f t="shared" si="178"/>
        <v>1</v>
      </c>
    </row>
    <row r="154" spans="33:39" x14ac:dyDescent="0.25">
      <c r="AG154" s="154" t="s">
        <v>423</v>
      </c>
      <c r="AH154" s="154" t="s">
        <v>420</v>
      </c>
      <c r="AI154" s="154">
        <v>2023</v>
      </c>
      <c r="AJ154" s="154" t="str">
        <f t="shared" ref="AJ154:AL154" si="194">A42</f>
        <v>Rail</v>
      </c>
      <c r="AK154" s="154" t="str">
        <f t="shared" si="194"/>
        <v>Neo bulk</v>
      </c>
      <c r="AL154" s="154" t="str">
        <f t="shared" si="194"/>
        <v>Catenary</v>
      </c>
      <c r="AM154" s="164">
        <f t="shared" si="178"/>
        <v>1</v>
      </c>
    </row>
    <row r="155" spans="33:39" x14ac:dyDescent="0.25">
      <c r="AG155" s="154" t="s">
        <v>87</v>
      </c>
      <c r="AH155" s="154" t="s">
        <v>420</v>
      </c>
      <c r="AI155" s="154">
        <v>2023</v>
      </c>
      <c r="AJ155" s="154" t="str">
        <f t="shared" ref="AJ155:AL155" si="195">A43</f>
        <v>Rail</v>
      </c>
      <c r="AK155" s="154" t="str">
        <f t="shared" si="195"/>
        <v>Neo bulk</v>
      </c>
      <c r="AL155" s="154" t="str">
        <f t="shared" si="195"/>
        <v>Battery</v>
      </c>
      <c r="AM155" s="164">
        <f t="shared" si="178"/>
        <v>1</v>
      </c>
    </row>
    <row r="156" spans="33:39" x14ac:dyDescent="0.25">
      <c r="AG156" s="154" t="s">
        <v>103</v>
      </c>
      <c r="AH156" s="154" t="s">
        <v>420</v>
      </c>
      <c r="AI156" s="154">
        <v>2023</v>
      </c>
      <c r="AJ156" s="154" t="str">
        <f t="shared" ref="AJ156:AL156" si="196">A44</f>
        <v>Rail</v>
      </c>
      <c r="AK156" s="154" t="str">
        <f t="shared" si="196"/>
        <v>Neo bulk</v>
      </c>
      <c r="AL156" s="154" t="str">
        <f t="shared" si="196"/>
        <v>Hydrogen</v>
      </c>
      <c r="AM156" s="164">
        <f t="shared" si="178"/>
        <v>1</v>
      </c>
    </row>
    <row r="157" spans="33:39" x14ac:dyDescent="0.25">
      <c r="AG157" s="154" t="s">
        <v>423</v>
      </c>
      <c r="AH157" s="154" t="s">
        <v>421</v>
      </c>
      <c r="AI157" s="154">
        <v>2023</v>
      </c>
      <c r="AJ157" s="154" t="str">
        <f>A25</f>
        <v>Rail</v>
      </c>
      <c r="AK157" s="154" t="str">
        <f>B25</f>
        <v>Dry bulk</v>
      </c>
      <c r="AL157" s="154" t="str">
        <f>C25</f>
        <v>Diesel</v>
      </c>
      <c r="AM157" s="164">
        <f>J25</f>
        <v>0.97560322033887004</v>
      </c>
    </row>
    <row r="158" spans="33:39" x14ac:dyDescent="0.25">
      <c r="AG158" s="154" t="s">
        <v>423</v>
      </c>
      <c r="AH158" s="154" t="s">
        <v>421</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25">
      <c r="AG159" s="154" t="s">
        <v>87</v>
      </c>
      <c r="AH159" s="154" t="s">
        <v>421</v>
      </c>
      <c r="AI159" s="154">
        <v>2023</v>
      </c>
      <c r="AJ159" s="154" t="str">
        <f t="shared" ref="AJ159:AL159" si="199">A27</f>
        <v>Rail</v>
      </c>
      <c r="AK159" s="154" t="str">
        <f t="shared" si="199"/>
        <v>Dry bulk</v>
      </c>
      <c r="AL159" s="154" t="str">
        <f t="shared" si="199"/>
        <v>Battery</v>
      </c>
      <c r="AM159" s="164">
        <f t="shared" si="198"/>
        <v>0.99187203545265257</v>
      </c>
    </row>
    <row r="160" spans="33:39" x14ac:dyDescent="0.25">
      <c r="AG160" s="154" t="s">
        <v>103</v>
      </c>
      <c r="AH160" s="154" t="s">
        <v>421</v>
      </c>
      <c r="AI160" s="154">
        <v>2023</v>
      </c>
      <c r="AJ160" s="154" t="str">
        <f t="shared" ref="AJ160:AL160" si="200">A28</f>
        <v>Rail</v>
      </c>
      <c r="AK160" s="154" t="str">
        <f t="shared" si="200"/>
        <v>Dry bulk</v>
      </c>
      <c r="AL160" s="154" t="str">
        <f t="shared" si="200"/>
        <v>Hydrogen</v>
      </c>
      <c r="AM160" s="164">
        <f t="shared" si="198"/>
        <v>0.98555618553248037</v>
      </c>
    </row>
    <row r="161" spans="33:39" x14ac:dyDescent="0.25">
      <c r="AG161" s="154" t="s">
        <v>423</v>
      </c>
      <c r="AH161" s="154" t="s">
        <v>421</v>
      </c>
      <c r="AI161" s="154">
        <v>2023</v>
      </c>
      <c r="AJ161" s="154" t="str">
        <f t="shared" ref="AJ161:AL161" si="201">A29</f>
        <v>Rail</v>
      </c>
      <c r="AK161" s="154" t="str">
        <f t="shared" si="201"/>
        <v>Liquid bulk</v>
      </c>
      <c r="AL161" s="154" t="str">
        <f t="shared" si="201"/>
        <v>Diesel</v>
      </c>
      <c r="AM161" s="164">
        <f t="shared" si="198"/>
        <v>0.97578544697934166</v>
      </c>
    </row>
    <row r="162" spans="33:39" x14ac:dyDescent="0.25">
      <c r="AG162" s="154" t="s">
        <v>423</v>
      </c>
      <c r="AH162" s="154" t="s">
        <v>421</v>
      </c>
      <c r="AI162" s="154">
        <v>2023</v>
      </c>
      <c r="AJ162" s="154" t="str">
        <f t="shared" ref="AJ162:AL162" si="202">A30</f>
        <v>Rail</v>
      </c>
      <c r="AK162" s="154" t="str">
        <f t="shared" si="202"/>
        <v>Liquid bulk</v>
      </c>
      <c r="AL162" s="154" t="str">
        <f t="shared" si="202"/>
        <v>Catenary</v>
      </c>
      <c r="AM162" s="164">
        <f t="shared" si="198"/>
        <v>0.98969351470431755</v>
      </c>
    </row>
    <row r="163" spans="33:39" x14ac:dyDescent="0.25">
      <c r="AG163" s="154" t="s">
        <v>87</v>
      </c>
      <c r="AH163" s="154" t="s">
        <v>421</v>
      </c>
      <c r="AI163" s="154">
        <v>2023</v>
      </c>
      <c r="AJ163" s="154" t="str">
        <f t="shared" ref="AJ163:AL163" si="203">A31</f>
        <v>Rail</v>
      </c>
      <c r="AK163" s="154" t="str">
        <f t="shared" si="203"/>
        <v>Liquid bulk</v>
      </c>
      <c r="AL163" s="154" t="str">
        <f t="shared" si="203"/>
        <v>Battery</v>
      </c>
      <c r="AM163" s="164">
        <f t="shared" si="198"/>
        <v>0.99192666048633926</v>
      </c>
    </row>
    <row r="164" spans="33:39" x14ac:dyDescent="0.25">
      <c r="AG164" s="154" t="s">
        <v>103</v>
      </c>
      <c r="AH164" s="154" t="s">
        <v>421</v>
      </c>
      <c r="AI164" s="154">
        <v>2023</v>
      </c>
      <c r="AJ164" s="154" t="str">
        <f t="shared" ref="AJ164:AL164" si="204">A32</f>
        <v>Rail</v>
      </c>
      <c r="AK164" s="154" t="str">
        <f t="shared" si="204"/>
        <v>Liquid bulk</v>
      </c>
      <c r="AL164" s="154" t="str">
        <f t="shared" si="204"/>
        <v>Hydrogen</v>
      </c>
      <c r="AM164" s="164">
        <f t="shared" si="198"/>
        <v>0.98563303886617049</v>
      </c>
    </row>
    <row r="165" spans="33:39" x14ac:dyDescent="0.25">
      <c r="AG165" s="154" t="s">
        <v>423</v>
      </c>
      <c r="AH165" s="154" t="s">
        <v>421</v>
      </c>
      <c r="AI165" s="154">
        <v>2023</v>
      </c>
      <c r="AJ165" s="154" t="str">
        <f t="shared" ref="AJ165:AL165" si="205">A33</f>
        <v>Rail</v>
      </c>
      <c r="AK165" s="154" t="str">
        <f t="shared" si="205"/>
        <v>Container</v>
      </c>
      <c r="AL165" s="154" t="str">
        <f t="shared" si="205"/>
        <v>Diesel</v>
      </c>
      <c r="AM165" s="164">
        <f t="shared" si="198"/>
        <v>0.9743646957546509</v>
      </c>
    </row>
    <row r="166" spans="33:39" x14ac:dyDescent="0.25">
      <c r="AG166" s="154" t="s">
        <v>423</v>
      </c>
      <c r="AH166" s="154" t="s">
        <v>421</v>
      </c>
      <c r="AI166" s="154">
        <v>2023</v>
      </c>
      <c r="AJ166" s="154" t="str">
        <f t="shared" ref="AJ166:AL166" si="206">A34</f>
        <v>Rail</v>
      </c>
      <c r="AK166" s="154" t="str">
        <f t="shared" si="206"/>
        <v>Container</v>
      </c>
      <c r="AL166" s="154" t="str">
        <f t="shared" si="206"/>
        <v>Catenary</v>
      </c>
      <c r="AM166" s="164">
        <f t="shared" si="198"/>
        <v>0.9889407792200865</v>
      </c>
    </row>
    <row r="167" spans="33:39" x14ac:dyDescent="0.25">
      <c r="AG167" s="154" t="s">
        <v>87</v>
      </c>
      <c r="AH167" s="154" t="s">
        <v>421</v>
      </c>
      <c r="AI167" s="154">
        <v>2023</v>
      </c>
      <c r="AJ167" s="154" t="str">
        <f t="shared" ref="AJ167:AL167" si="207">A35</f>
        <v>Rail</v>
      </c>
      <c r="AK167" s="154" t="str">
        <f t="shared" si="207"/>
        <v>Container</v>
      </c>
      <c r="AL167" s="154" t="str">
        <f t="shared" si="207"/>
        <v>Battery</v>
      </c>
      <c r="AM167" s="164">
        <f t="shared" si="198"/>
        <v>0.99149985622352643</v>
      </c>
    </row>
    <row r="168" spans="33:39" x14ac:dyDescent="0.25">
      <c r="AG168" s="154" t="s">
        <v>103</v>
      </c>
      <c r="AH168" s="154" t="s">
        <v>421</v>
      </c>
      <c r="AI168" s="154">
        <v>2023</v>
      </c>
      <c r="AJ168" s="154" t="str">
        <f t="shared" ref="AJ168:AL168" si="208">A36</f>
        <v>Rail</v>
      </c>
      <c r="AK168" s="154" t="str">
        <f t="shared" si="208"/>
        <v>Container</v>
      </c>
      <c r="AL168" s="154" t="str">
        <f t="shared" si="208"/>
        <v>Hydrogen</v>
      </c>
      <c r="AM168" s="164">
        <f t="shared" si="198"/>
        <v>0.98504038224393664</v>
      </c>
    </row>
    <row r="169" spans="33:39" x14ac:dyDescent="0.25">
      <c r="AG169" s="154" t="s">
        <v>423</v>
      </c>
      <c r="AH169" s="154" t="s">
        <v>421</v>
      </c>
      <c r="AI169" s="154">
        <v>2023</v>
      </c>
      <c r="AJ169" s="154" t="str">
        <f t="shared" ref="AJ169:AL169" si="209">A37</f>
        <v>Rail</v>
      </c>
      <c r="AK169" s="154" t="str">
        <f t="shared" si="209"/>
        <v>Break bulk</v>
      </c>
      <c r="AL169" s="154" t="str">
        <f t="shared" si="209"/>
        <v>Diesel</v>
      </c>
      <c r="AM169" s="164">
        <f t="shared" si="198"/>
        <v>0.98307035983379165</v>
      </c>
    </row>
    <row r="170" spans="33:39" x14ac:dyDescent="0.25">
      <c r="AG170" s="154" t="s">
        <v>423</v>
      </c>
      <c r="AH170" s="154" t="s">
        <v>421</v>
      </c>
      <c r="AI170" s="154">
        <v>2023</v>
      </c>
      <c r="AJ170" s="154" t="str">
        <f t="shared" ref="AJ170:AL170" si="210">A38</f>
        <v>Rail</v>
      </c>
      <c r="AK170" s="154" t="str">
        <f t="shared" si="210"/>
        <v>Break bulk</v>
      </c>
      <c r="AL170" s="154" t="str">
        <f t="shared" si="210"/>
        <v>Catenary</v>
      </c>
      <c r="AM170" s="164">
        <f t="shared" si="198"/>
        <v>0.99325696306799649</v>
      </c>
    </row>
    <row r="171" spans="33:39" x14ac:dyDescent="0.25">
      <c r="AG171" s="154" t="s">
        <v>87</v>
      </c>
      <c r="AH171" s="154" t="s">
        <v>421</v>
      </c>
      <c r="AI171" s="154">
        <v>2023</v>
      </c>
      <c r="AJ171" s="154" t="str">
        <f t="shared" ref="AJ171:AL171" si="211">A39</f>
        <v>Rail</v>
      </c>
      <c r="AK171" s="154" t="str">
        <f t="shared" si="211"/>
        <v>Break bulk</v>
      </c>
      <c r="AL171" s="154" t="str">
        <f t="shared" si="211"/>
        <v>Battery</v>
      </c>
      <c r="AM171" s="164">
        <f t="shared" si="198"/>
        <v>0.99419049795111536</v>
      </c>
    </row>
    <row r="172" spans="33:39" x14ac:dyDescent="0.25">
      <c r="AG172" s="154" t="s">
        <v>103</v>
      </c>
      <c r="AH172" s="154" t="s">
        <v>421</v>
      </c>
      <c r="AI172" s="154">
        <v>2023</v>
      </c>
      <c r="AJ172" s="154" t="str">
        <f t="shared" ref="AJ172:AL172" si="212">A40</f>
        <v>Rail</v>
      </c>
      <c r="AK172" s="154" t="str">
        <f t="shared" si="212"/>
        <v>Break bulk</v>
      </c>
      <c r="AL172" s="154" t="str">
        <f t="shared" si="212"/>
        <v>Hydrogen</v>
      </c>
      <c r="AM172" s="164">
        <f t="shared" si="198"/>
        <v>0.98901211475016382</v>
      </c>
    </row>
    <row r="173" spans="33:39" x14ac:dyDescent="0.25">
      <c r="AG173" s="154" t="s">
        <v>423</v>
      </c>
      <c r="AH173" s="154" t="s">
        <v>421</v>
      </c>
      <c r="AI173" s="154">
        <v>2023</v>
      </c>
      <c r="AJ173" s="154" t="str">
        <f t="shared" ref="AJ173:AL173" si="213">A41</f>
        <v>Rail</v>
      </c>
      <c r="AK173" s="154" t="str">
        <f t="shared" si="213"/>
        <v>Neo bulk</v>
      </c>
      <c r="AL173" s="154" t="str">
        <f t="shared" si="213"/>
        <v>Diesel</v>
      </c>
      <c r="AM173" s="164">
        <f t="shared" si="198"/>
        <v>0.97533049739761191</v>
      </c>
    </row>
    <row r="174" spans="33:39" x14ac:dyDescent="0.25">
      <c r="AG174" s="154" t="s">
        <v>423</v>
      </c>
      <c r="AH174" s="154" t="s">
        <v>421</v>
      </c>
      <c r="AI174" s="154">
        <v>2023</v>
      </c>
      <c r="AJ174" s="154" t="str">
        <f t="shared" ref="AJ174:AL174" si="214">A42</f>
        <v>Rail</v>
      </c>
      <c r="AK174" s="154" t="str">
        <f t="shared" si="214"/>
        <v>Neo bulk</v>
      </c>
      <c r="AL174" s="154" t="str">
        <f t="shared" si="214"/>
        <v>Catenary</v>
      </c>
      <c r="AM174" s="164">
        <f t="shared" si="198"/>
        <v>0.9894546780276956</v>
      </c>
    </row>
    <row r="175" spans="33:39" x14ac:dyDescent="0.25">
      <c r="AG175" s="154" t="s">
        <v>87</v>
      </c>
      <c r="AH175" s="154" t="s">
        <v>421</v>
      </c>
      <c r="AI175" s="154">
        <v>2023</v>
      </c>
      <c r="AJ175" s="154" t="str">
        <f t="shared" ref="AJ175:AL175" si="215">A43</f>
        <v>Rail</v>
      </c>
      <c r="AK175" s="154" t="str">
        <f t="shared" si="215"/>
        <v>Neo bulk</v>
      </c>
      <c r="AL175" s="154" t="str">
        <f t="shared" si="215"/>
        <v>Battery</v>
      </c>
      <c r="AM175" s="164">
        <f t="shared" si="198"/>
        <v>0.99178920979474661</v>
      </c>
    </row>
    <row r="176" spans="33:39" x14ac:dyDescent="0.25">
      <c r="AG176" s="154" t="s">
        <v>103</v>
      </c>
      <c r="AH176" s="154" t="s">
        <v>421</v>
      </c>
      <c r="AI176" s="154">
        <v>2023</v>
      </c>
      <c r="AJ176" s="154" t="str">
        <f t="shared" ref="AJ176:AL176" si="216">A44</f>
        <v>Rail</v>
      </c>
      <c r="AK176" s="154" t="str">
        <f t="shared" si="216"/>
        <v>Neo bulk</v>
      </c>
      <c r="AL176" s="154" t="str">
        <f t="shared" si="216"/>
        <v>Hydrogen</v>
      </c>
      <c r="AM176" s="164">
        <f t="shared" si="198"/>
        <v>0.98544092602326894</v>
      </c>
    </row>
    <row r="177" spans="33:39" x14ac:dyDescent="0.25">
      <c r="AG177" s="154" t="s">
        <v>423</v>
      </c>
      <c r="AH177" s="154" t="s">
        <v>422</v>
      </c>
      <c r="AI177" s="154">
        <v>2023</v>
      </c>
      <c r="AJ177" s="154" t="str">
        <f>A25</f>
        <v>Rail</v>
      </c>
      <c r="AK177" s="154" t="str">
        <f>B25</f>
        <v>Dry bulk</v>
      </c>
      <c r="AL177" s="154" t="str">
        <f>C25</f>
        <v>Diesel</v>
      </c>
      <c r="AM177" s="164">
        <f>K25</f>
        <v>1.0083863930085133</v>
      </c>
    </row>
    <row r="178" spans="33:39" x14ac:dyDescent="0.25">
      <c r="AG178" s="154" t="s">
        <v>423</v>
      </c>
      <c r="AH178" s="154" t="s">
        <v>422</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25">
      <c r="AG179" s="154" t="s">
        <v>87</v>
      </c>
      <c r="AH179" s="154" t="s">
        <v>422</v>
      </c>
      <c r="AI179" s="154">
        <v>2023</v>
      </c>
      <c r="AJ179" s="154" t="str">
        <f t="shared" ref="AJ179:AL179" si="219">A27</f>
        <v>Rail</v>
      </c>
      <c r="AK179" s="154" t="str">
        <f t="shared" si="219"/>
        <v>Dry bulk</v>
      </c>
      <c r="AL179" s="154" t="str">
        <f t="shared" si="219"/>
        <v>Battery</v>
      </c>
      <c r="AM179" s="164">
        <f t="shared" si="218"/>
        <v>1.0185580693422105</v>
      </c>
    </row>
    <row r="180" spans="33:39" x14ac:dyDescent="0.25">
      <c r="AG180" s="154" t="s">
        <v>103</v>
      </c>
      <c r="AH180" s="154" t="s">
        <v>422</v>
      </c>
      <c r="AI180" s="154">
        <v>2023</v>
      </c>
      <c r="AJ180" s="154" t="str">
        <f t="shared" ref="AJ180:AL180" si="220">A28</f>
        <v>Rail</v>
      </c>
      <c r="AK180" s="154" t="str">
        <f t="shared" si="220"/>
        <v>Dry bulk</v>
      </c>
      <c r="AL180" s="154" t="str">
        <f t="shared" si="220"/>
        <v>Hydrogen</v>
      </c>
      <c r="AM180" s="164">
        <f t="shared" si="218"/>
        <v>1.0329786515298851</v>
      </c>
    </row>
    <row r="181" spans="33:39" x14ac:dyDescent="0.25">
      <c r="AG181" s="154" t="s">
        <v>423</v>
      </c>
      <c r="AH181" s="154" t="s">
        <v>422</v>
      </c>
      <c r="AI181" s="154">
        <v>2023</v>
      </c>
      <c r="AJ181" s="154" t="str">
        <f t="shared" ref="AJ181:AL181" si="221">A29</f>
        <v>Rail</v>
      </c>
      <c r="AK181" s="154" t="str">
        <f t="shared" si="221"/>
        <v>Liquid bulk</v>
      </c>
      <c r="AL181" s="154" t="str">
        <f t="shared" si="221"/>
        <v>Diesel</v>
      </c>
      <c r="AM181" s="164">
        <f t="shared" si="218"/>
        <v>1.0083237526008513</v>
      </c>
    </row>
    <row r="182" spans="33:39" x14ac:dyDescent="0.25">
      <c r="AG182" s="154" t="s">
        <v>423</v>
      </c>
      <c r="AH182" s="154" t="s">
        <v>422</v>
      </c>
      <c r="AI182" s="154">
        <v>2023</v>
      </c>
      <c r="AJ182" s="154" t="str">
        <f t="shared" ref="AJ182:AL182" si="222">A30</f>
        <v>Rail</v>
      </c>
      <c r="AK182" s="154" t="str">
        <f t="shared" si="222"/>
        <v>Liquid bulk</v>
      </c>
      <c r="AL182" s="154" t="str">
        <f t="shared" si="222"/>
        <v>Catenary</v>
      </c>
      <c r="AM182" s="164">
        <f t="shared" si="218"/>
        <v>1.0235321485074833</v>
      </c>
    </row>
    <row r="183" spans="33:39" x14ac:dyDescent="0.25">
      <c r="AG183" s="154" t="s">
        <v>87</v>
      </c>
      <c r="AH183" s="154" t="s">
        <v>422</v>
      </c>
      <c r="AI183" s="154">
        <v>2023</v>
      </c>
      <c r="AJ183" s="154" t="str">
        <f t="shared" ref="AJ183:AL183" si="223">A31</f>
        <v>Rail</v>
      </c>
      <c r="AK183" s="154" t="str">
        <f t="shared" si="223"/>
        <v>Liquid bulk</v>
      </c>
      <c r="AL183" s="154" t="str">
        <f t="shared" si="223"/>
        <v>Battery</v>
      </c>
      <c r="AM183" s="164">
        <f t="shared" si="218"/>
        <v>1.0184333474444862</v>
      </c>
    </row>
    <row r="184" spans="33:39" x14ac:dyDescent="0.25">
      <c r="AG184" s="154" t="s">
        <v>103</v>
      </c>
      <c r="AH184" s="154" t="s">
        <v>422</v>
      </c>
      <c r="AI184" s="154">
        <v>2023</v>
      </c>
      <c r="AJ184" s="154" t="str">
        <f t="shared" ref="AJ184:AL184" si="224">A32</f>
        <v>Rail</v>
      </c>
      <c r="AK184" s="154" t="str">
        <f t="shared" si="224"/>
        <v>Liquid bulk</v>
      </c>
      <c r="AL184" s="154" t="str">
        <f t="shared" si="224"/>
        <v>Hydrogen</v>
      </c>
      <c r="AM184" s="164">
        <f t="shared" si="218"/>
        <v>1.0328031771552757</v>
      </c>
    </row>
    <row r="185" spans="33:39" x14ac:dyDescent="0.25">
      <c r="AG185" s="154" t="s">
        <v>423</v>
      </c>
      <c r="AH185" s="154" t="s">
        <v>422</v>
      </c>
      <c r="AI185" s="154">
        <v>2023</v>
      </c>
      <c r="AJ185" s="154" t="str">
        <f t="shared" ref="AJ185:AL185" si="225">A33</f>
        <v>Rail</v>
      </c>
      <c r="AK185" s="154" t="str">
        <f t="shared" si="225"/>
        <v>Container</v>
      </c>
      <c r="AL185" s="154" t="str">
        <f t="shared" si="225"/>
        <v>Diesel</v>
      </c>
      <c r="AM185" s="164">
        <f t="shared" si="218"/>
        <v>1.0088121358343387</v>
      </c>
    </row>
    <row r="186" spans="33:39" x14ac:dyDescent="0.25">
      <c r="AG186" s="154" t="s">
        <v>423</v>
      </c>
      <c r="AH186" s="154" t="s">
        <v>422</v>
      </c>
      <c r="AI186" s="154">
        <v>2023</v>
      </c>
      <c r="AJ186" s="154" t="str">
        <f t="shared" ref="AJ186:AL186" si="226">A34</f>
        <v>Rail</v>
      </c>
      <c r="AK186" s="154" t="str">
        <f t="shared" si="226"/>
        <v>Container</v>
      </c>
      <c r="AL186" s="154" t="str">
        <f t="shared" si="226"/>
        <v>Catenary</v>
      </c>
      <c r="AM186" s="164">
        <f t="shared" si="218"/>
        <v>1.0252508220119414</v>
      </c>
    </row>
    <row r="187" spans="33:39" x14ac:dyDescent="0.25">
      <c r="AG187" s="154" t="s">
        <v>87</v>
      </c>
      <c r="AH187" s="154" t="s">
        <v>422</v>
      </c>
      <c r="AI187" s="154">
        <v>2023</v>
      </c>
      <c r="AJ187" s="154" t="str">
        <f t="shared" ref="AJ187:AL187" si="227">A35</f>
        <v>Rail</v>
      </c>
      <c r="AK187" s="154" t="str">
        <f t="shared" si="227"/>
        <v>Container</v>
      </c>
      <c r="AL187" s="154" t="str">
        <f t="shared" si="227"/>
        <v>Battery</v>
      </c>
      <c r="AM187" s="164">
        <f t="shared" si="218"/>
        <v>1.0194078427266304</v>
      </c>
    </row>
    <row r="188" spans="33:39" x14ac:dyDescent="0.25">
      <c r="AG188" s="154" t="s">
        <v>103</v>
      </c>
      <c r="AH188" s="154" t="s">
        <v>422</v>
      </c>
      <c r="AI188" s="154">
        <v>2023</v>
      </c>
      <c r="AJ188" s="154" t="str">
        <f t="shared" ref="AJ188:AL188" si="228">A36</f>
        <v>Rail</v>
      </c>
      <c r="AK188" s="154" t="str">
        <f t="shared" si="228"/>
        <v>Container</v>
      </c>
      <c r="AL188" s="154" t="str">
        <f t="shared" si="228"/>
        <v>Hydrogen</v>
      </c>
      <c r="AM188" s="164">
        <f t="shared" si="218"/>
        <v>1.0341563526800288</v>
      </c>
    </row>
    <row r="189" spans="33:39" x14ac:dyDescent="0.25">
      <c r="AG189" s="154" t="s">
        <v>423</v>
      </c>
      <c r="AH189" s="154" t="s">
        <v>422</v>
      </c>
      <c r="AI189" s="154">
        <v>2023</v>
      </c>
      <c r="AJ189" s="154" t="str">
        <f t="shared" ref="AJ189:AL189" si="229">A37</f>
        <v>Rail</v>
      </c>
      <c r="AK189" s="154" t="str">
        <f t="shared" si="229"/>
        <v>Break bulk</v>
      </c>
      <c r="AL189" s="154" t="str">
        <f t="shared" si="229"/>
        <v>Diesel</v>
      </c>
      <c r="AM189" s="164">
        <f t="shared" si="218"/>
        <v>1.0058195638071343</v>
      </c>
    </row>
    <row r="190" spans="33:39" x14ac:dyDescent="0.25">
      <c r="AG190" s="154" t="s">
        <v>423</v>
      </c>
      <c r="AH190" s="154" t="s">
        <v>422</v>
      </c>
      <c r="AI190" s="154">
        <v>2023</v>
      </c>
      <c r="AJ190" s="154" t="str">
        <f t="shared" ref="AJ190:AL190" si="230">A38</f>
        <v>Rail</v>
      </c>
      <c r="AK190" s="154" t="str">
        <f t="shared" si="230"/>
        <v>Break bulk</v>
      </c>
      <c r="AL190" s="154" t="str">
        <f t="shared" si="230"/>
        <v>Catenary</v>
      </c>
      <c r="AM190" s="164">
        <f t="shared" si="218"/>
        <v>1.0153959513765396</v>
      </c>
    </row>
    <row r="191" spans="33:39" x14ac:dyDescent="0.25">
      <c r="AG191" s="154" t="s">
        <v>87</v>
      </c>
      <c r="AH191" s="154" t="s">
        <v>422</v>
      </c>
      <c r="AI191" s="154">
        <v>2023</v>
      </c>
      <c r="AJ191" s="154" t="str">
        <f t="shared" ref="AJ191:AL191" si="231">A39</f>
        <v>Rail</v>
      </c>
      <c r="AK191" s="154" t="str">
        <f t="shared" si="231"/>
        <v>Break bulk</v>
      </c>
      <c r="AL191" s="154" t="str">
        <f t="shared" si="231"/>
        <v>Battery</v>
      </c>
      <c r="AM191" s="164">
        <f t="shared" si="218"/>
        <v>1.0132644699960081</v>
      </c>
    </row>
    <row r="192" spans="33:39" x14ac:dyDescent="0.25">
      <c r="AG192" s="154" t="s">
        <v>103</v>
      </c>
      <c r="AH192" s="154" t="s">
        <v>422</v>
      </c>
      <c r="AI192" s="154">
        <v>2023</v>
      </c>
      <c r="AJ192" s="154" t="str">
        <f t="shared" ref="AJ192:AL192" si="232">A40</f>
        <v>Rail</v>
      </c>
      <c r="AK192" s="154" t="str">
        <f t="shared" si="232"/>
        <v>Break bulk</v>
      </c>
      <c r="AL192" s="154" t="str">
        <f t="shared" si="232"/>
        <v>Hydrogen</v>
      </c>
      <c r="AM192" s="164">
        <f t="shared" si="218"/>
        <v>1.0250879460906666</v>
      </c>
    </row>
    <row r="193" spans="33:39" x14ac:dyDescent="0.25">
      <c r="AG193" s="154" t="s">
        <v>423</v>
      </c>
      <c r="AH193" s="154" t="s">
        <v>422</v>
      </c>
      <c r="AI193" s="154">
        <v>2023</v>
      </c>
      <c r="AJ193" s="154" t="str">
        <f t="shared" ref="AJ193:AL193" si="233">A41</f>
        <v>Rail</v>
      </c>
      <c r="AK193" s="154" t="str">
        <f t="shared" si="233"/>
        <v>Neo bulk</v>
      </c>
      <c r="AL193" s="154" t="str">
        <f t="shared" si="233"/>
        <v>Diesel</v>
      </c>
      <c r="AM193" s="164">
        <f t="shared" si="218"/>
        <v>1.008480141519571</v>
      </c>
    </row>
    <row r="194" spans="33:39" x14ac:dyDescent="0.25">
      <c r="AG194" s="154" t="s">
        <v>423</v>
      </c>
      <c r="AH194" s="154" t="s">
        <v>422</v>
      </c>
      <c r="AI194" s="154">
        <v>2023</v>
      </c>
      <c r="AJ194" s="154" t="str">
        <f t="shared" ref="AJ194:AL194" si="234">A42</f>
        <v>Rail</v>
      </c>
      <c r="AK194" s="154" t="str">
        <f t="shared" si="234"/>
        <v>Neo bulk</v>
      </c>
      <c r="AL194" s="154" t="str">
        <f t="shared" si="234"/>
        <v>Catenary</v>
      </c>
      <c r="AM194" s="164">
        <f t="shared" si="218"/>
        <v>1.0240774692431227</v>
      </c>
    </row>
    <row r="195" spans="33:39" x14ac:dyDescent="0.25">
      <c r="AG195" s="154" t="s">
        <v>87</v>
      </c>
      <c r="AH195" s="154" t="s">
        <v>422</v>
      </c>
      <c r="AI195" s="154">
        <v>2023</v>
      </c>
      <c r="AJ195" s="154" t="str">
        <f t="shared" ref="AJ195:AL195" si="235">A43</f>
        <v>Rail</v>
      </c>
      <c r="AK195" s="154" t="str">
        <f t="shared" si="235"/>
        <v>Neo bulk</v>
      </c>
      <c r="AL195" s="154" t="str">
        <f t="shared" si="235"/>
        <v>Battery</v>
      </c>
      <c r="AM195" s="164">
        <f t="shared" si="218"/>
        <v>1.0187471799484111</v>
      </c>
    </row>
    <row r="196" spans="33:39" x14ac:dyDescent="0.25">
      <c r="AG196" s="154" t="s">
        <v>103</v>
      </c>
      <c r="AH196" s="154" t="s">
        <v>422</v>
      </c>
      <c r="AI196" s="154">
        <v>2023</v>
      </c>
      <c r="AJ196" s="154" t="str">
        <f t="shared" ref="AJ196:AL196" si="236">A44</f>
        <v>Rail</v>
      </c>
      <c r="AK196" s="154" t="str">
        <f t="shared" si="236"/>
        <v>Neo bulk</v>
      </c>
      <c r="AL196" s="154" t="str">
        <f t="shared" si="236"/>
        <v>Hydrogen</v>
      </c>
      <c r="AM196" s="164">
        <f t="shared" si="218"/>
        <v>1.033241816305253</v>
      </c>
    </row>
    <row r="197" spans="33:39" x14ac:dyDescent="0.25">
      <c r="AG197" s="154" t="s">
        <v>423</v>
      </c>
      <c r="AH197" s="154" t="s">
        <v>420</v>
      </c>
      <c r="AI197" s="154">
        <v>2034</v>
      </c>
      <c r="AJ197" s="154" t="str">
        <f>A25</f>
        <v>Rail</v>
      </c>
      <c r="AK197" s="154" t="str">
        <f>B25</f>
        <v>Dry bulk</v>
      </c>
      <c r="AL197" s="154" t="str">
        <f>C25</f>
        <v>Diesel</v>
      </c>
      <c r="AM197" s="164">
        <f>R25</f>
        <v>1</v>
      </c>
    </row>
    <row r="198" spans="33:39" x14ac:dyDescent="0.25">
      <c r="AG198" s="154" t="s">
        <v>423</v>
      </c>
      <c r="AH198" s="154" t="s">
        <v>420</v>
      </c>
      <c r="AI198" s="154">
        <v>2034</v>
      </c>
      <c r="AJ198" s="154" t="str">
        <f t="shared" ref="AJ198:AL198" si="237">A26</f>
        <v>Rail</v>
      </c>
      <c r="AK198" s="154" t="str">
        <f t="shared" si="237"/>
        <v>Dry bulk</v>
      </c>
      <c r="AL198" s="154" t="str">
        <f t="shared" si="237"/>
        <v>Catenary</v>
      </c>
      <c r="AM198" s="164">
        <f t="shared" ref="AM198:AM214" si="238">R26</f>
        <v>1</v>
      </c>
    </row>
    <row r="199" spans="33:39" x14ac:dyDescent="0.25">
      <c r="AG199" s="154" t="s">
        <v>87</v>
      </c>
      <c r="AH199" s="154" t="s">
        <v>420</v>
      </c>
      <c r="AI199" s="154">
        <v>2034</v>
      </c>
      <c r="AJ199" s="154" t="str">
        <f t="shared" ref="AJ199:AL199" si="239">A27</f>
        <v>Rail</v>
      </c>
      <c r="AK199" s="154" t="str">
        <f t="shared" si="239"/>
        <v>Dry bulk</v>
      </c>
      <c r="AL199" s="154" t="str">
        <f t="shared" si="239"/>
        <v>Battery</v>
      </c>
      <c r="AM199" s="164">
        <f t="shared" si="238"/>
        <v>1</v>
      </c>
    </row>
    <row r="200" spans="33:39" x14ac:dyDescent="0.25">
      <c r="AG200" s="154" t="s">
        <v>103</v>
      </c>
      <c r="AH200" s="154" t="s">
        <v>420</v>
      </c>
      <c r="AI200" s="154">
        <v>2034</v>
      </c>
      <c r="AJ200" s="154" t="str">
        <f t="shared" ref="AJ200:AL200" si="240">A28</f>
        <v>Rail</v>
      </c>
      <c r="AK200" s="154" t="str">
        <f t="shared" si="240"/>
        <v>Dry bulk</v>
      </c>
      <c r="AL200" s="154" t="str">
        <f t="shared" si="240"/>
        <v>Hydrogen</v>
      </c>
      <c r="AM200" s="164">
        <f t="shared" si="238"/>
        <v>1</v>
      </c>
    </row>
    <row r="201" spans="33:39" x14ac:dyDescent="0.25">
      <c r="AG201" s="154" t="s">
        <v>423</v>
      </c>
      <c r="AH201" s="154" t="s">
        <v>420</v>
      </c>
      <c r="AI201" s="154">
        <v>2034</v>
      </c>
      <c r="AJ201" s="154" t="str">
        <f t="shared" ref="AJ201:AL201" si="241">A29</f>
        <v>Rail</v>
      </c>
      <c r="AK201" s="154" t="str">
        <f t="shared" si="241"/>
        <v>Liquid bulk</v>
      </c>
      <c r="AL201" s="154" t="str">
        <f t="shared" si="241"/>
        <v>Diesel</v>
      </c>
      <c r="AM201" s="164">
        <f t="shared" si="238"/>
        <v>1</v>
      </c>
    </row>
    <row r="202" spans="33:39" x14ac:dyDescent="0.25">
      <c r="AG202" s="154" t="s">
        <v>423</v>
      </c>
      <c r="AH202" s="154" t="s">
        <v>420</v>
      </c>
      <c r="AI202" s="154">
        <v>2034</v>
      </c>
      <c r="AJ202" s="154" t="str">
        <f t="shared" ref="AJ202:AL202" si="242">A30</f>
        <v>Rail</v>
      </c>
      <c r="AK202" s="154" t="str">
        <f t="shared" si="242"/>
        <v>Liquid bulk</v>
      </c>
      <c r="AL202" s="154" t="str">
        <f t="shared" si="242"/>
        <v>Catenary</v>
      </c>
      <c r="AM202" s="164">
        <f t="shared" si="238"/>
        <v>1</v>
      </c>
    </row>
    <row r="203" spans="33:39" x14ac:dyDescent="0.25">
      <c r="AG203" s="154" t="s">
        <v>87</v>
      </c>
      <c r="AH203" s="154" t="s">
        <v>420</v>
      </c>
      <c r="AI203" s="154">
        <v>2034</v>
      </c>
      <c r="AJ203" s="154" t="str">
        <f t="shared" ref="AJ203:AL203" si="243">A31</f>
        <v>Rail</v>
      </c>
      <c r="AK203" s="154" t="str">
        <f t="shared" si="243"/>
        <v>Liquid bulk</v>
      </c>
      <c r="AL203" s="154" t="str">
        <f t="shared" si="243"/>
        <v>Battery</v>
      </c>
      <c r="AM203" s="164">
        <f t="shared" si="238"/>
        <v>1</v>
      </c>
    </row>
    <row r="204" spans="33:39" x14ac:dyDescent="0.25">
      <c r="AG204" s="154" t="s">
        <v>103</v>
      </c>
      <c r="AH204" s="154" t="s">
        <v>420</v>
      </c>
      <c r="AI204" s="154">
        <v>2034</v>
      </c>
      <c r="AJ204" s="154" t="str">
        <f t="shared" ref="AJ204:AL204" si="244">A32</f>
        <v>Rail</v>
      </c>
      <c r="AK204" s="154" t="str">
        <f t="shared" si="244"/>
        <v>Liquid bulk</v>
      </c>
      <c r="AL204" s="154" t="str">
        <f t="shared" si="244"/>
        <v>Hydrogen</v>
      </c>
      <c r="AM204" s="164">
        <f t="shared" si="238"/>
        <v>1</v>
      </c>
    </row>
    <row r="205" spans="33:39" x14ac:dyDescent="0.25">
      <c r="AG205" s="154" t="s">
        <v>423</v>
      </c>
      <c r="AH205" s="154" t="s">
        <v>420</v>
      </c>
      <c r="AI205" s="154">
        <v>2034</v>
      </c>
      <c r="AJ205" s="154" t="str">
        <f t="shared" ref="AJ205:AL205" si="245">A33</f>
        <v>Rail</v>
      </c>
      <c r="AK205" s="154" t="str">
        <f t="shared" si="245"/>
        <v>Container</v>
      </c>
      <c r="AL205" s="154" t="str">
        <f t="shared" si="245"/>
        <v>Diesel</v>
      </c>
      <c r="AM205" s="164">
        <f t="shared" si="238"/>
        <v>1</v>
      </c>
    </row>
    <row r="206" spans="33:39" x14ac:dyDescent="0.25">
      <c r="AG206" s="154" t="s">
        <v>423</v>
      </c>
      <c r="AH206" s="154" t="s">
        <v>420</v>
      </c>
      <c r="AI206" s="154">
        <v>2034</v>
      </c>
      <c r="AJ206" s="154" t="str">
        <f t="shared" ref="AJ206:AL206" si="246">A34</f>
        <v>Rail</v>
      </c>
      <c r="AK206" s="154" t="str">
        <f t="shared" si="246"/>
        <v>Container</v>
      </c>
      <c r="AL206" s="154" t="str">
        <f t="shared" si="246"/>
        <v>Catenary</v>
      </c>
      <c r="AM206" s="164">
        <f t="shared" si="238"/>
        <v>1</v>
      </c>
    </row>
    <row r="207" spans="33:39" x14ac:dyDescent="0.25">
      <c r="AG207" s="154" t="s">
        <v>87</v>
      </c>
      <c r="AH207" s="154" t="s">
        <v>420</v>
      </c>
      <c r="AI207" s="154">
        <v>2034</v>
      </c>
      <c r="AJ207" s="154" t="str">
        <f t="shared" ref="AJ207:AL207" si="247">A35</f>
        <v>Rail</v>
      </c>
      <c r="AK207" s="154" t="str">
        <f t="shared" si="247"/>
        <v>Container</v>
      </c>
      <c r="AL207" s="154" t="str">
        <f t="shared" si="247"/>
        <v>Battery</v>
      </c>
      <c r="AM207" s="164">
        <f t="shared" si="238"/>
        <v>1</v>
      </c>
    </row>
    <row r="208" spans="33:39" x14ac:dyDescent="0.25">
      <c r="AG208" s="154" t="s">
        <v>103</v>
      </c>
      <c r="AH208" s="154" t="s">
        <v>420</v>
      </c>
      <c r="AI208" s="154">
        <v>2034</v>
      </c>
      <c r="AJ208" s="154" t="str">
        <f t="shared" ref="AJ208:AL208" si="248">A36</f>
        <v>Rail</v>
      </c>
      <c r="AK208" s="154" t="str">
        <f t="shared" si="248"/>
        <v>Container</v>
      </c>
      <c r="AL208" s="154" t="str">
        <f t="shared" si="248"/>
        <v>Hydrogen</v>
      </c>
      <c r="AM208" s="164">
        <f t="shared" si="238"/>
        <v>1</v>
      </c>
    </row>
    <row r="209" spans="33:39" x14ac:dyDescent="0.25">
      <c r="AG209" s="154" t="s">
        <v>423</v>
      </c>
      <c r="AH209" s="154" t="s">
        <v>420</v>
      </c>
      <c r="AI209" s="154">
        <v>2034</v>
      </c>
      <c r="AJ209" s="154" t="str">
        <f t="shared" ref="AJ209:AL209" si="249">A37</f>
        <v>Rail</v>
      </c>
      <c r="AK209" s="154" t="str">
        <f t="shared" si="249"/>
        <v>Break bulk</v>
      </c>
      <c r="AL209" s="154" t="str">
        <f t="shared" si="249"/>
        <v>Diesel</v>
      </c>
      <c r="AM209" s="164">
        <f t="shared" si="238"/>
        <v>1</v>
      </c>
    </row>
    <row r="210" spans="33:39" x14ac:dyDescent="0.25">
      <c r="AG210" s="154" t="s">
        <v>423</v>
      </c>
      <c r="AH210" s="154" t="s">
        <v>420</v>
      </c>
      <c r="AI210" s="154">
        <v>2034</v>
      </c>
      <c r="AJ210" s="154" t="str">
        <f t="shared" ref="AJ210:AL210" si="250">A38</f>
        <v>Rail</v>
      </c>
      <c r="AK210" s="154" t="str">
        <f t="shared" si="250"/>
        <v>Break bulk</v>
      </c>
      <c r="AL210" s="154" t="str">
        <f t="shared" si="250"/>
        <v>Catenary</v>
      </c>
      <c r="AM210" s="164">
        <f t="shared" si="238"/>
        <v>1</v>
      </c>
    </row>
    <row r="211" spans="33:39" x14ac:dyDescent="0.25">
      <c r="AG211" s="154" t="s">
        <v>87</v>
      </c>
      <c r="AH211" s="154" t="s">
        <v>420</v>
      </c>
      <c r="AI211" s="154">
        <v>2034</v>
      </c>
      <c r="AJ211" s="154" t="str">
        <f t="shared" ref="AJ211:AL211" si="251">A39</f>
        <v>Rail</v>
      </c>
      <c r="AK211" s="154" t="str">
        <f t="shared" si="251"/>
        <v>Break bulk</v>
      </c>
      <c r="AL211" s="154" t="str">
        <f t="shared" si="251"/>
        <v>Battery</v>
      </c>
      <c r="AM211" s="164">
        <f t="shared" si="238"/>
        <v>1</v>
      </c>
    </row>
    <row r="212" spans="33:39" x14ac:dyDescent="0.25">
      <c r="AG212" s="154" t="s">
        <v>103</v>
      </c>
      <c r="AH212" s="154" t="s">
        <v>420</v>
      </c>
      <c r="AI212" s="154">
        <v>2034</v>
      </c>
      <c r="AJ212" s="154" t="str">
        <f t="shared" ref="AJ212:AL212" si="252">A40</f>
        <v>Rail</v>
      </c>
      <c r="AK212" s="154" t="str">
        <f t="shared" si="252"/>
        <v>Break bulk</v>
      </c>
      <c r="AL212" s="154" t="str">
        <f t="shared" si="252"/>
        <v>Hydrogen</v>
      </c>
      <c r="AM212" s="164">
        <f t="shared" si="238"/>
        <v>1</v>
      </c>
    </row>
    <row r="213" spans="33:39" x14ac:dyDescent="0.25">
      <c r="AG213" s="154" t="s">
        <v>423</v>
      </c>
      <c r="AH213" s="154" t="s">
        <v>420</v>
      </c>
      <c r="AI213" s="154">
        <v>2034</v>
      </c>
      <c r="AJ213" s="154" t="str">
        <f t="shared" ref="AJ213:AL213" si="253">A41</f>
        <v>Rail</v>
      </c>
      <c r="AK213" s="154" t="str">
        <f t="shared" si="253"/>
        <v>Neo bulk</v>
      </c>
      <c r="AL213" s="154" t="str">
        <f t="shared" si="253"/>
        <v>Diesel</v>
      </c>
      <c r="AM213" s="164">
        <f t="shared" si="238"/>
        <v>1</v>
      </c>
    </row>
    <row r="214" spans="33:39" x14ac:dyDescent="0.25">
      <c r="AG214" s="154" t="s">
        <v>423</v>
      </c>
      <c r="AH214" s="154" t="s">
        <v>420</v>
      </c>
      <c r="AI214" s="154">
        <v>2034</v>
      </c>
      <c r="AJ214" s="154" t="str">
        <f t="shared" ref="AJ214:AL214" si="254">A42</f>
        <v>Rail</v>
      </c>
      <c r="AK214" s="154" t="str">
        <f t="shared" si="254"/>
        <v>Neo bulk</v>
      </c>
      <c r="AL214" s="154" t="str">
        <f t="shared" si="254"/>
        <v>Catenary</v>
      </c>
      <c r="AM214" s="164">
        <f t="shared" si="238"/>
        <v>1</v>
      </c>
    </row>
    <row r="215" spans="33:39" x14ac:dyDescent="0.25">
      <c r="AG215" s="154" t="s">
        <v>87</v>
      </c>
      <c r="AH215" s="154" t="s">
        <v>420</v>
      </c>
      <c r="AI215" s="154">
        <v>2034</v>
      </c>
      <c r="AJ215" s="154" t="str">
        <f>A43</f>
        <v>Rail</v>
      </c>
      <c r="AK215" s="154" t="str">
        <f>B43</f>
        <v>Neo bulk</v>
      </c>
      <c r="AL215" s="154" t="str">
        <f>C43</f>
        <v>Battery</v>
      </c>
      <c r="AM215" s="164">
        <f>R43</f>
        <v>1</v>
      </c>
    </row>
    <row r="216" spans="33:39" x14ac:dyDescent="0.25">
      <c r="AG216" s="154" t="s">
        <v>103</v>
      </c>
      <c r="AH216" s="154" t="s">
        <v>420</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25">
      <c r="AG217" s="154" t="s">
        <v>423</v>
      </c>
      <c r="AH217" s="154" t="s">
        <v>421</v>
      </c>
      <c r="AI217" s="154">
        <v>2034</v>
      </c>
      <c r="AJ217" s="154" t="str">
        <f>A25</f>
        <v>Rail</v>
      </c>
      <c r="AK217" s="154" t="str">
        <f>B25</f>
        <v>Dry bulk</v>
      </c>
      <c r="AL217" s="154" t="str">
        <f>C25</f>
        <v>Diesel</v>
      </c>
      <c r="AM217" s="164">
        <f>S25</f>
        <v>0.91311881356800995</v>
      </c>
    </row>
    <row r="218" spans="33:39" x14ac:dyDescent="0.25">
      <c r="AG218" s="154" t="s">
        <v>423</v>
      </c>
      <c r="AH218" s="154" t="s">
        <v>421</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25">
      <c r="AG219" s="154" t="s">
        <v>87</v>
      </c>
      <c r="AH219" s="154" t="s">
        <v>421</v>
      </c>
      <c r="AI219" s="154">
        <v>2034</v>
      </c>
      <c r="AJ219" s="154" t="str">
        <f t="shared" ref="AJ219:AL219" si="261">A27</f>
        <v>Rail</v>
      </c>
      <c r="AK219" s="154" t="str">
        <f t="shared" si="261"/>
        <v>Dry bulk</v>
      </c>
      <c r="AL219" s="154" t="str">
        <f t="shared" si="261"/>
        <v>Battery</v>
      </c>
      <c r="AM219" s="164">
        <f t="shared" si="260"/>
        <v>0.98696276099091129</v>
      </c>
    </row>
    <row r="220" spans="33:39" x14ac:dyDescent="0.25">
      <c r="AG220" s="154" t="s">
        <v>103</v>
      </c>
      <c r="AH220" s="154" t="s">
        <v>421</v>
      </c>
      <c r="AI220" s="154">
        <v>2034</v>
      </c>
      <c r="AJ220" s="154" t="str">
        <f t="shared" ref="AJ220:AL220" si="262">A28</f>
        <v>Rail</v>
      </c>
      <c r="AK220" s="154" t="str">
        <f t="shared" si="262"/>
        <v>Dry bulk</v>
      </c>
      <c r="AL220" s="154" t="str">
        <f t="shared" si="262"/>
        <v>Hydrogen</v>
      </c>
      <c r="AM220" s="164">
        <f t="shared" si="260"/>
        <v>0.97680251632358206</v>
      </c>
    </row>
    <row r="221" spans="33:39" x14ac:dyDescent="0.25">
      <c r="AG221" s="154" t="s">
        <v>423</v>
      </c>
      <c r="AH221" s="154" t="s">
        <v>421</v>
      </c>
      <c r="AI221" s="154">
        <v>2034</v>
      </c>
      <c r="AJ221" s="154" t="str">
        <f t="shared" ref="AJ221:AL221" si="263">A29</f>
        <v>Rail</v>
      </c>
      <c r="AK221" s="154" t="str">
        <f t="shared" si="263"/>
        <v>Liquid bulk</v>
      </c>
      <c r="AL221" s="154" t="str">
        <f t="shared" si="263"/>
        <v>Diesel</v>
      </c>
      <c r="AM221" s="164">
        <f t="shared" si="260"/>
        <v>0.91379910353539295</v>
      </c>
    </row>
    <row r="222" spans="33:39" x14ac:dyDescent="0.25">
      <c r="AG222" s="154" t="s">
        <v>423</v>
      </c>
      <c r="AH222" s="154" t="s">
        <v>421</v>
      </c>
      <c r="AI222" s="154">
        <v>2034</v>
      </c>
      <c r="AJ222" s="154" t="str">
        <f t="shared" ref="AJ222:AL222" si="264">A30</f>
        <v>Rail</v>
      </c>
      <c r="AK222" s="154" t="str">
        <f t="shared" si="264"/>
        <v>Liquid bulk</v>
      </c>
      <c r="AL222" s="154" t="str">
        <f t="shared" si="264"/>
        <v>Catenary</v>
      </c>
      <c r="AM222" s="164">
        <f t="shared" si="260"/>
        <v>0.98491212721321675</v>
      </c>
    </row>
    <row r="223" spans="33:39" x14ac:dyDescent="0.25">
      <c r="AG223" s="154" t="s">
        <v>87</v>
      </c>
      <c r="AH223" s="154" t="s">
        <v>421</v>
      </c>
      <c r="AI223" s="154">
        <v>2034</v>
      </c>
      <c r="AJ223" s="154" t="str">
        <f t="shared" ref="AJ223:AL223" si="265">A31</f>
        <v>Rail</v>
      </c>
      <c r="AK223" s="154" t="str">
        <f t="shared" si="265"/>
        <v>Liquid bulk</v>
      </c>
      <c r="AL223" s="154" t="str">
        <f t="shared" si="265"/>
        <v>Battery</v>
      </c>
      <c r="AM223" s="164">
        <f t="shared" si="260"/>
        <v>0.98705744173892607</v>
      </c>
    </row>
    <row r="224" spans="33:39" x14ac:dyDescent="0.25">
      <c r="AG224" s="154" t="s">
        <v>103</v>
      </c>
      <c r="AH224" s="154" t="s">
        <v>421</v>
      </c>
      <c r="AI224" s="154">
        <v>2034</v>
      </c>
      <c r="AJ224" s="154" t="str">
        <f t="shared" ref="AJ224:AL224" si="266">A32</f>
        <v>Rail</v>
      </c>
      <c r="AK224" s="154" t="str">
        <f t="shared" si="266"/>
        <v>Liquid bulk</v>
      </c>
      <c r="AL224" s="154" t="str">
        <f t="shared" si="266"/>
        <v>Hydrogen</v>
      </c>
      <c r="AM224" s="164">
        <f t="shared" si="260"/>
        <v>0.97695054782858171</v>
      </c>
    </row>
    <row r="225" spans="33:39" x14ac:dyDescent="0.25">
      <c r="AG225" s="154" t="s">
        <v>423</v>
      </c>
      <c r="AH225" s="154" t="s">
        <v>421</v>
      </c>
      <c r="AI225" s="154">
        <v>2034</v>
      </c>
      <c r="AJ225" s="154" t="str">
        <f t="shared" ref="AJ225:AL225" si="267">A33</f>
        <v>Rail</v>
      </c>
      <c r="AK225" s="154" t="str">
        <f t="shared" si="267"/>
        <v>Container</v>
      </c>
      <c r="AL225" s="154" t="str">
        <f t="shared" si="267"/>
        <v>Diesel</v>
      </c>
      <c r="AM225" s="164">
        <f t="shared" si="260"/>
        <v>0.90848200097264742</v>
      </c>
    </row>
    <row r="226" spans="33:39" x14ac:dyDescent="0.25">
      <c r="AG226" s="154" t="s">
        <v>423</v>
      </c>
      <c r="AH226" s="154" t="s">
        <v>421</v>
      </c>
      <c r="AI226" s="154">
        <v>2034</v>
      </c>
      <c r="AJ226" s="154" t="str">
        <f t="shared" ref="AJ226:AL226" si="268">A34</f>
        <v>Rail</v>
      </c>
      <c r="AK226" s="154" t="str">
        <f t="shared" si="268"/>
        <v>Container</v>
      </c>
      <c r="AL226" s="154" t="str">
        <f t="shared" si="268"/>
        <v>Catenary</v>
      </c>
      <c r="AM226" s="164">
        <f t="shared" si="260"/>
        <v>0.98382737971665579</v>
      </c>
    </row>
    <row r="227" spans="33:39" x14ac:dyDescent="0.25">
      <c r="AG227" s="154" t="s">
        <v>87</v>
      </c>
      <c r="AH227" s="154" t="s">
        <v>421</v>
      </c>
      <c r="AI227" s="154">
        <v>2034</v>
      </c>
      <c r="AJ227" s="154" t="str">
        <f t="shared" ref="AJ227:AL227" si="269">A35</f>
        <v>Rail</v>
      </c>
      <c r="AK227" s="154" t="str">
        <f t="shared" si="269"/>
        <v>Container</v>
      </c>
      <c r="AL227" s="154" t="str">
        <f t="shared" si="269"/>
        <v>Battery</v>
      </c>
      <c r="AM227" s="164">
        <f t="shared" si="260"/>
        <v>0.98631607342809213</v>
      </c>
    </row>
    <row r="228" spans="33:39" x14ac:dyDescent="0.25">
      <c r="AG228" s="154" t="s">
        <v>103</v>
      </c>
      <c r="AH228" s="154" t="s">
        <v>421</v>
      </c>
      <c r="AI228" s="154">
        <v>2034</v>
      </c>
      <c r="AJ228" s="154" t="str">
        <f t="shared" ref="AJ228:AL228" si="270">A36</f>
        <v>Rail</v>
      </c>
      <c r="AK228" s="154" t="str">
        <f t="shared" si="270"/>
        <v>Container</v>
      </c>
      <c r="AL228" s="154" t="str">
        <f t="shared" si="270"/>
        <v>Hydrogen</v>
      </c>
      <c r="AM228" s="164">
        <f t="shared" si="260"/>
        <v>0.97580076241328517</v>
      </c>
    </row>
    <row r="229" spans="33:39" x14ac:dyDescent="0.25">
      <c r="AG229" s="154" t="s">
        <v>423</v>
      </c>
      <c r="AH229" s="154" t="s">
        <v>421</v>
      </c>
      <c r="AI229" s="154">
        <v>2034</v>
      </c>
      <c r="AJ229" s="154" t="str">
        <f t="shared" ref="AJ229:AL229" si="271">A37</f>
        <v>Rail</v>
      </c>
      <c r="AK229" s="154" t="str">
        <f t="shared" si="271"/>
        <v>Break bulk</v>
      </c>
      <c r="AL229" s="154" t="str">
        <f t="shared" si="271"/>
        <v>Diesel</v>
      </c>
      <c r="AM229" s="164">
        <f t="shared" si="260"/>
        <v>0.94059586321929411</v>
      </c>
    </row>
    <row r="230" spans="33:39" x14ac:dyDescent="0.25">
      <c r="AG230" s="154" t="s">
        <v>423</v>
      </c>
      <c r="AH230" s="154" t="s">
        <v>421</v>
      </c>
      <c r="AI230" s="154">
        <v>2034</v>
      </c>
      <c r="AJ230" s="154" t="str">
        <f t="shared" ref="AJ230:AL230" si="272">A38</f>
        <v>Rail</v>
      </c>
      <c r="AK230" s="154" t="str">
        <f t="shared" si="272"/>
        <v>Break bulk</v>
      </c>
      <c r="AL230" s="154" t="str">
        <f t="shared" si="272"/>
        <v>Catenary</v>
      </c>
      <c r="AM230" s="164">
        <f t="shared" si="260"/>
        <v>0.99007878892177648</v>
      </c>
    </row>
    <row r="231" spans="33:39" x14ac:dyDescent="0.25">
      <c r="AG231" s="154" t="s">
        <v>87</v>
      </c>
      <c r="AH231" s="154" t="s">
        <v>421</v>
      </c>
      <c r="AI231" s="154">
        <v>2034</v>
      </c>
      <c r="AJ231" s="154" t="str">
        <f t="shared" ref="AJ231:AL231" si="273">A39</f>
        <v>Rail</v>
      </c>
      <c r="AK231" s="154" t="str">
        <f t="shared" si="273"/>
        <v>Break bulk</v>
      </c>
      <c r="AL231" s="154" t="str">
        <f t="shared" si="273"/>
        <v>Battery</v>
      </c>
      <c r="AM231" s="164">
        <f t="shared" si="260"/>
        <v>0.99088875252714015</v>
      </c>
    </row>
    <row r="232" spans="33:39" x14ac:dyDescent="0.25">
      <c r="AG232" s="154" t="s">
        <v>103</v>
      </c>
      <c r="AH232" s="154" t="s">
        <v>421</v>
      </c>
      <c r="AI232" s="154">
        <v>2034</v>
      </c>
      <c r="AJ232" s="154" t="str">
        <f t="shared" ref="AJ232:AL232" si="274">A40</f>
        <v>Rail</v>
      </c>
      <c r="AK232" s="154" t="str">
        <f t="shared" si="274"/>
        <v>Break bulk</v>
      </c>
      <c r="AL232" s="154" t="str">
        <f t="shared" si="274"/>
        <v>Hydrogen</v>
      </c>
      <c r="AM232" s="164">
        <f t="shared" si="260"/>
        <v>0.98316109791249662</v>
      </c>
    </row>
    <row r="233" spans="33:39" x14ac:dyDescent="0.25">
      <c r="AG233" s="154" t="s">
        <v>423</v>
      </c>
      <c r="AH233" s="154" t="s">
        <v>421</v>
      </c>
      <c r="AI233" s="154">
        <v>2034</v>
      </c>
      <c r="AJ233" s="154" t="str">
        <f t="shared" ref="AJ233:AL233" si="275">A41</f>
        <v>Rail</v>
      </c>
      <c r="AK233" s="154" t="str">
        <f t="shared" si="275"/>
        <v>Neo bulk</v>
      </c>
      <c r="AL233" s="154" t="str">
        <f t="shared" si="275"/>
        <v>Diesel</v>
      </c>
      <c r="AM233" s="164">
        <f t="shared" si="260"/>
        <v>0.91209975715638192</v>
      </c>
    </row>
    <row r="234" spans="33:39" x14ac:dyDescent="0.25">
      <c r="AG234" s="154" t="s">
        <v>423</v>
      </c>
      <c r="AH234" s="154" t="s">
        <v>421</v>
      </c>
      <c r="AI234" s="154">
        <v>2034</v>
      </c>
      <c r="AJ234" s="154" t="str">
        <f t="shared" ref="AJ234:AL234" si="276">A42</f>
        <v>Rail</v>
      </c>
      <c r="AK234" s="154" t="str">
        <f t="shared" si="276"/>
        <v>Neo bulk</v>
      </c>
      <c r="AL234" s="154" t="str">
        <f t="shared" si="276"/>
        <v>Catenary</v>
      </c>
      <c r="AM234" s="164">
        <f t="shared" si="260"/>
        <v>0.98456769612244088</v>
      </c>
    </row>
    <row r="235" spans="33:39" x14ac:dyDescent="0.25">
      <c r="AG235" s="154" t="s">
        <v>87</v>
      </c>
      <c r="AH235" s="154" t="s">
        <v>421</v>
      </c>
      <c r="AI235" s="154">
        <v>2034</v>
      </c>
      <c r="AJ235" s="154" t="str">
        <f>A43</f>
        <v>Rail</v>
      </c>
      <c r="AK235" s="154" t="str">
        <f>B43</f>
        <v>Neo bulk</v>
      </c>
      <c r="AL235" s="154" t="str">
        <f>C43</f>
        <v>Battery</v>
      </c>
      <c r="AM235" s="164">
        <f>S43</f>
        <v>0.9868194655673318</v>
      </c>
    </row>
    <row r="236" spans="33:39" x14ac:dyDescent="0.25">
      <c r="AG236" s="154" t="s">
        <v>103</v>
      </c>
      <c r="AH236" s="154" t="s">
        <v>421</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25">
      <c r="AG237" s="154" t="s">
        <v>423</v>
      </c>
      <c r="AH237" s="154" t="s">
        <v>422</v>
      </c>
      <c r="AI237" s="154">
        <v>2034</v>
      </c>
      <c r="AJ237" s="154" t="str">
        <f>A25</f>
        <v>Rail</v>
      </c>
      <c r="AK237" s="154" t="str">
        <f>B25</f>
        <v>Dry bulk</v>
      </c>
      <c r="AL237" s="154" t="str">
        <f>C25</f>
        <v>Diesel</v>
      </c>
      <c r="AM237" s="164">
        <f>T25</f>
        <v>1.0357118987174436</v>
      </c>
    </row>
    <row r="238" spans="33:39" x14ac:dyDescent="0.25">
      <c r="AG238" s="154" t="s">
        <v>423</v>
      </c>
      <c r="AH238" s="154" t="s">
        <v>422</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25">
      <c r="AG239" s="154" t="s">
        <v>87</v>
      </c>
      <c r="AH239" s="154" t="s">
        <v>422</v>
      </c>
      <c r="AI239" s="154">
        <v>2034</v>
      </c>
      <c r="AJ239" s="154" t="str">
        <f t="shared" ref="AJ239:AL239" si="283">A27</f>
        <v>Rail</v>
      </c>
      <c r="AK239" s="154" t="str">
        <f t="shared" si="283"/>
        <v>Dry bulk</v>
      </c>
      <c r="AL239" s="154" t="str">
        <f t="shared" si="283"/>
        <v>Battery</v>
      </c>
      <c r="AM239" s="164">
        <f t="shared" si="282"/>
        <v>1.0186173802192049</v>
      </c>
    </row>
    <row r="240" spans="33:39" x14ac:dyDescent="0.25">
      <c r="AG240" s="154" t="s">
        <v>103</v>
      </c>
      <c r="AH240" s="154" t="s">
        <v>422</v>
      </c>
      <c r="AI240" s="154">
        <v>2034</v>
      </c>
      <c r="AJ240" s="154" t="str">
        <f t="shared" ref="AJ240:AL240" si="284">A28</f>
        <v>Rail</v>
      </c>
      <c r="AK240" s="154" t="str">
        <f t="shared" si="284"/>
        <v>Dry bulk</v>
      </c>
      <c r="AL240" s="154" t="str">
        <f t="shared" si="284"/>
        <v>Hydrogen</v>
      </c>
      <c r="AM240" s="164">
        <f t="shared" si="282"/>
        <v>1.0331873460605747</v>
      </c>
    </row>
    <row r="241" spans="33:39" x14ac:dyDescent="0.25">
      <c r="AG241" s="154" t="s">
        <v>423</v>
      </c>
      <c r="AH241" s="154" t="s">
        <v>422</v>
      </c>
      <c r="AI241" s="154">
        <v>2034</v>
      </c>
      <c r="AJ241" s="154" t="str">
        <f t="shared" ref="AJ241:AL241" si="285">A29</f>
        <v>Rail</v>
      </c>
      <c r="AK241" s="154" t="str">
        <f t="shared" si="285"/>
        <v>Liquid bulk</v>
      </c>
      <c r="AL241" s="154" t="str">
        <f t="shared" si="285"/>
        <v>Diesel</v>
      </c>
      <c r="AM241" s="164">
        <f t="shared" si="282"/>
        <v>1.0354322703259429</v>
      </c>
    </row>
    <row r="242" spans="33:39" x14ac:dyDescent="0.25">
      <c r="AG242" s="154" t="s">
        <v>423</v>
      </c>
      <c r="AH242" s="154" t="s">
        <v>422</v>
      </c>
      <c r="AI242" s="154">
        <v>2034</v>
      </c>
      <c r="AJ242" s="154" t="str">
        <f t="shared" ref="AJ242:AL242" si="286">A30</f>
        <v>Rail</v>
      </c>
      <c r="AK242" s="154" t="str">
        <f t="shared" si="286"/>
        <v>Liquid bulk</v>
      </c>
      <c r="AL242" s="154" t="str">
        <f t="shared" si="286"/>
        <v>Catenary</v>
      </c>
      <c r="AM242" s="164">
        <f t="shared" si="282"/>
        <v>1.0215457171702307</v>
      </c>
    </row>
    <row r="243" spans="33:39" x14ac:dyDescent="0.25">
      <c r="AG243" s="154" t="s">
        <v>87</v>
      </c>
      <c r="AH243" s="154" t="s">
        <v>422</v>
      </c>
      <c r="AI243" s="154">
        <v>2034</v>
      </c>
      <c r="AJ243" s="154" t="str">
        <f t="shared" ref="AJ243:AL243" si="287">A31</f>
        <v>Rail</v>
      </c>
      <c r="AK243" s="154" t="str">
        <f t="shared" si="287"/>
        <v>Liquid bulk</v>
      </c>
      <c r="AL243" s="154" t="str">
        <f t="shared" si="287"/>
        <v>Battery</v>
      </c>
      <c r="AM243" s="164">
        <f t="shared" si="282"/>
        <v>1.0184821746374093</v>
      </c>
    </row>
    <row r="244" spans="33:39" x14ac:dyDescent="0.25">
      <c r="AG244" s="154" t="s">
        <v>103</v>
      </c>
      <c r="AH244" s="154" t="s">
        <v>422</v>
      </c>
      <c r="AI244" s="154">
        <v>2034</v>
      </c>
      <c r="AJ244" s="154" t="str">
        <f t="shared" ref="AJ244:AL244" si="288">A32</f>
        <v>Rail</v>
      </c>
      <c r="AK244" s="154" t="str">
        <f t="shared" si="288"/>
        <v>Liquid bulk</v>
      </c>
      <c r="AL244" s="154" t="str">
        <f t="shared" si="288"/>
        <v>Hydrogen</v>
      </c>
      <c r="AM244" s="164">
        <f t="shared" si="282"/>
        <v>1.032975565642801</v>
      </c>
    </row>
    <row r="245" spans="33:39" x14ac:dyDescent="0.25">
      <c r="AG245" s="154" t="s">
        <v>423</v>
      </c>
      <c r="AH245" s="154" t="s">
        <v>422</v>
      </c>
      <c r="AI245" s="154">
        <v>2034</v>
      </c>
      <c r="AJ245" s="154" t="str">
        <f t="shared" ref="AJ245:AL245" si="289">A33</f>
        <v>Rail</v>
      </c>
      <c r="AK245" s="154" t="str">
        <f t="shared" si="289"/>
        <v>Container</v>
      </c>
      <c r="AL245" s="154" t="str">
        <f t="shared" si="289"/>
        <v>Diesel</v>
      </c>
      <c r="AM245" s="164">
        <f t="shared" si="282"/>
        <v>1.037617827821059</v>
      </c>
    </row>
    <row r="246" spans="33:39" x14ac:dyDescent="0.25">
      <c r="AG246" s="154" t="s">
        <v>423</v>
      </c>
      <c r="AH246" s="154" t="s">
        <v>422</v>
      </c>
      <c r="AI246" s="154">
        <v>2034</v>
      </c>
      <c r="AJ246" s="154" t="str">
        <f t="shared" ref="AJ246:AL246" si="290">A34</f>
        <v>Rail</v>
      </c>
      <c r="AK246" s="154" t="str">
        <f t="shared" si="290"/>
        <v>Container</v>
      </c>
      <c r="AL246" s="154" t="str">
        <f t="shared" si="290"/>
        <v>Catenary</v>
      </c>
      <c r="AM246" s="164">
        <f t="shared" si="282"/>
        <v>1.0230947534785499</v>
      </c>
    </row>
    <row r="247" spans="33:39" x14ac:dyDescent="0.25">
      <c r="AG247" s="154" t="s">
        <v>87</v>
      </c>
      <c r="AH247" s="154" t="s">
        <v>422</v>
      </c>
      <c r="AI247" s="154">
        <v>2034</v>
      </c>
      <c r="AJ247" s="154" t="str">
        <f t="shared" ref="AJ247:AL247" si="291">A35</f>
        <v>Rail</v>
      </c>
      <c r="AK247" s="154" t="str">
        <f t="shared" si="291"/>
        <v>Container</v>
      </c>
      <c r="AL247" s="154" t="str">
        <f t="shared" si="291"/>
        <v>Battery</v>
      </c>
      <c r="AM247" s="164">
        <f t="shared" si="282"/>
        <v>1.0195408601240865</v>
      </c>
    </row>
    <row r="248" spans="33:39" x14ac:dyDescent="0.25">
      <c r="AG248" s="154" t="s">
        <v>103</v>
      </c>
      <c r="AH248" s="154" t="s">
        <v>422</v>
      </c>
      <c r="AI248" s="154">
        <v>2034</v>
      </c>
      <c r="AJ248" s="154" t="str">
        <f t="shared" ref="AJ248:AL248" si="292">A36</f>
        <v>Rail</v>
      </c>
      <c r="AK248" s="154" t="str">
        <f t="shared" si="292"/>
        <v>Container</v>
      </c>
      <c r="AL248" s="154" t="str">
        <f t="shared" si="292"/>
        <v>Hydrogen</v>
      </c>
      <c r="AM248" s="164">
        <f t="shared" si="282"/>
        <v>1.0346204995074009</v>
      </c>
    </row>
    <row r="249" spans="33:39" x14ac:dyDescent="0.25">
      <c r="AG249" s="154" t="s">
        <v>423</v>
      </c>
      <c r="AH249" s="154" t="s">
        <v>422</v>
      </c>
      <c r="AI249" s="154">
        <v>2034</v>
      </c>
      <c r="AJ249" s="154" t="str">
        <f t="shared" ref="AJ249:AL249" si="293">A37</f>
        <v>Rail</v>
      </c>
      <c r="AK249" s="154" t="str">
        <f t="shared" si="293"/>
        <v>Break bulk</v>
      </c>
      <c r="AL249" s="154" t="str">
        <f t="shared" si="293"/>
        <v>Diesel</v>
      </c>
      <c r="AM249" s="164">
        <f t="shared" si="282"/>
        <v>1.0244176513147685</v>
      </c>
    </row>
    <row r="250" spans="33:39" x14ac:dyDescent="0.25">
      <c r="AG250" s="154" t="s">
        <v>423</v>
      </c>
      <c r="AH250" s="154" t="s">
        <v>422</v>
      </c>
      <c r="AI250" s="154">
        <v>2034</v>
      </c>
      <c r="AJ250" s="154" t="str">
        <f t="shared" ref="AJ250:AL250" si="294">A38</f>
        <v>Rail</v>
      </c>
      <c r="AK250" s="154" t="str">
        <f t="shared" si="294"/>
        <v>Break bulk</v>
      </c>
      <c r="AL250" s="154" t="str">
        <f t="shared" si="294"/>
        <v>Catenary</v>
      </c>
      <c r="AM250" s="164">
        <f t="shared" si="282"/>
        <v>1.0141676438354399</v>
      </c>
    </row>
    <row r="251" spans="33:39" x14ac:dyDescent="0.25">
      <c r="AG251" s="154" t="s">
        <v>87</v>
      </c>
      <c r="AH251" s="154" t="s">
        <v>422</v>
      </c>
      <c r="AI251" s="154">
        <v>2034</v>
      </c>
      <c r="AJ251" s="154" t="str">
        <f t="shared" ref="AJ251:AL251" si="295">A39</f>
        <v>Rail</v>
      </c>
      <c r="AK251" s="154" t="str">
        <f t="shared" si="295"/>
        <v>Break bulk</v>
      </c>
      <c r="AL251" s="154" t="str">
        <f t="shared" si="295"/>
        <v>Battery</v>
      </c>
      <c r="AM251" s="164">
        <f t="shared" si="282"/>
        <v>1.0130110032005433</v>
      </c>
    </row>
    <row r="252" spans="33:39" x14ac:dyDescent="0.25">
      <c r="AG252" s="154" t="s">
        <v>103</v>
      </c>
      <c r="AH252" s="154" t="s">
        <v>422</v>
      </c>
      <c r="AI252" s="154">
        <v>2034</v>
      </c>
      <c r="AJ252" s="154" t="str">
        <f t="shared" ref="AJ252:AL252" si="296">A40</f>
        <v>Rail</v>
      </c>
      <c r="AK252" s="154" t="str">
        <f t="shared" si="296"/>
        <v>Break bulk</v>
      </c>
      <c r="AL252" s="154" t="str">
        <f t="shared" si="296"/>
        <v>Hydrogen</v>
      </c>
      <c r="AM252" s="164">
        <f t="shared" si="282"/>
        <v>1.0240904780300037</v>
      </c>
    </row>
    <row r="253" spans="33:39" x14ac:dyDescent="0.25">
      <c r="AG253" s="154" t="s">
        <v>423</v>
      </c>
      <c r="AH253" s="154" t="s">
        <v>422</v>
      </c>
      <c r="AI253" s="154">
        <v>2034</v>
      </c>
      <c r="AJ253" s="154" t="str">
        <f t="shared" ref="AJ253:AL256" si="297">A41</f>
        <v>Rail</v>
      </c>
      <c r="AK253" s="154" t="str">
        <f t="shared" si="297"/>
        <v>Neo bulk</v>
      </c>
      <c r="AL253" s="154" t="str">
        <f t="shared" si="297"/>
        <v>Diesel</v>
      </c>
      <c r="AM253" s="164">
        <f t="shared" si="282"/>
        <v>1.0361307746657815</v>
      </c>
    </row>
    <row r="254" spans="33:39" x14ac:dyDescent="0.25">
      <c r="AG254" s="154" t="s">
        <v>423</v>
      </c>
      <c r="AH254" s="154" t="s">
        <v>422</v>
      </c>
      <c r="AI254" s="154">
        <v>2034</v>
      </c>
      <c r="AJ254" s="154" t="str">
        <f t="shared" si="297"/>
        <v>Rail</v>
      </c>
      <c r="AK254" s="154" t="str">
        <f>B42</f>
        <v>Neo bulk</v>
      </c>
      <c r="AL254" s="154" t="str">
        <f>C42</f>
        <v>Catenary</v>
      </c>
      <c r="AM254" s="164">
        <f>T42</f>
        <v>1.0220375701286546</v>
      </c>
    </row>
    <row r="255" spans="33:39" x14ac:dyDescent="0.25">
      <c r="AG255" s="154" t="s">
        <v>87</v>
      </c>
      <c r="AH255" s="154" t="s">
        <v>422</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25">
      <c r="AG256" s="154" t="s">
        <v>103</v>
      </c>
      <c r="AH256" s="154" t="s">
        <v>422</v>
      </c>
      <c r="AI256" s="154">
        <v>2034</v>
      </c>
      <c r="AJ256" s="154" t="str">
        <f t="shared" si="297"/>
        <v>Rail</v>
      </c>
      <c r="AK256" s="154" t="str">
        <f t="shared" si="298"/>
        <v>Neo bulk</v>
      </c>
      <c r="AL256" s="154" t="str">
        <f t="shared" si="299"/>
        <v>Hydrogen</v>
      </c>
      <c r="AM256" s="164">
        <f t="shared" si="300"/>
        <v>1.0335058089816824</v>
      </c>
    </row>
    <row r="257" spans="33:39" x14ac:dyDescent="0.25">
      <c r="AG257" s="154" t="s">
        <v>423</v>
      </c>
      <c r="AH257" s="154" t="s">
        <v>420</v>
      </c>
      <c r="AI257" s="154">
        <v>2050</v>
      </c>
      <c r="AJ257" s="154" t="str">
        <f t="shared" ref="AJ257:AJ263" si="301">A25</f>
        <v>Rail</v>
      </c>
      <c r="AK257" s="154" t="str">
        <f>B25</f>
        <v>Dry bulk</v>
      </c>
      <c r="AL257" s="154" t="str">
        <f>C25</f>
        <v>Diesel</v>
      </c>
      <c r="AM257" s="164">
        <f>AB25</f>
        <v>1</v>
      </c>
    </row>
    <row r="258" spans="33:39" x14ac:dyDescent="0.25">
      <c r="AG258" s="154" t="s">
        <v>423</v>
      </c>
      <c r="AH258" s="154" t="s">
        <v>420</v>
      </c>
      <c r="AI258" s="154">
        <v>2050</v>
      </c>
      <c r="AJ258" s="154" t="str">
        <f t="shared" si="301"/>
        <v>Rail</v>
      </c>
      <c r="AK258" s="154" t="str">
        <f t="shared" ref="AK258:AL258" si="302">B26</f>
        <v>Dry bulk</v>
      </c>
      <c r="AL258" s="154" t="str">
        <f t="shared" si="302"/>
        <v>Catenary</v>
      </c>
      <c r="AM258" s="164">
        <f t="shared" ref="AM258:AM276" si="303">AB26</f>
        <v>1</v>
      </c>
    </row>
    <row r="259" spans="33:39" x14ac:dyDescent="0.25">
      <c r="AG259" s="154" t="s">
        <v>87</v>
      </c>
      <c r="AH259" s="154" t="s">
        <v>420</v>
      </c>
      <c r="AI259" s="154">
        <v>2050</v>
      </c>
      <c r="AJ259" s="154" t="str">
        <f t="shared" si="301"/>
        <v>Rail</v>
      </c>
      <c r="AK259" s="154" t="str">
        <f t="shared" ref="AK259:AL259" si="304">B27</f>
        <v>Dry bulk</v>
      </c>
      <c r="AL259" s="154" t="str">
        <f t="shared" si="304"/>
        <v>Battery</v>
      </c>
      <c r="AM259" s="164">
        <f t="shared" si="303"/>
        <v>1</v>
      </c>
    </row>
    <row r="260" spans="33:39" x14ac:dyDescent="0.25">
      <c r="AG260" s="154" t="s">
        <v>103</v>
      </c>
      <c r="AH260" s="154" t="s">
        <v>420</v>
      </c>
      <c r="AI260" s="154">
        <v>2050</v>
      </c>
      <c r="AJ260" s="154" t="str">
        <f t="shared" si="301"/>
        <v>Rail</v>
      </c>
      <c r="AK260" s="154" t="str">
        <f t="shared" ref="AK260:AL260" si="305">B28</f>
        <v>Dry bulk</v>
      </c>
      <c r="AL260" s="154" t="str">
        <f t="shared" si="305"/>
        <v>Hydrogen</v>
      </c>
      <c r="AM260" s="164">
        <f t="shared" si="303"/>
        <v>1</v>
      </c>
    </row>
    <row r="261" spans="33:39" x14ac:dyDescent="0.25">
      <c r="AG261" s="154" t="s">
        <v>423</v>
      </c>
      <c r="AH261" s="154" t="s">
        <v>420</v>
      </c>
      <c r="AI261" s="154">
        <v>2050</v>
      </c>
      <c r="AJ261" s="154" t="str">
        <f t="shared" si="301"/>
        <v>Rail</v>
      </c>
      <c r="AK261" s="154" t="str">
        <f t="shared" ref="AK261:AL261" si="306">B29</f>
        <v>Liquid bulk</v>
      </c>
      <c r="AL261" s="154" t="str">
        <f t="shared" si="306"/>
        <v>Diesel</v>
      </c>
      <c r="AM261" s="164">
        <f t="shared" si="303"/>
        <v>1</v>
      </c>
    </row>
    <row r="262" spans="33:39" x14ac:dyDescent="0.25">
      <c r="AG262" s="154" t="s">
        <v>423</v>
      </c>
      <c r="AH262" s="154" t="s">
        <v>420</v>
      </c>
      <c r="AI262" s="154">
        <v>2050</v>
      </c>
      <c r="AJ262" s="154" t="str">
        <f t="shared" si="301"/>
        <v>Rail</v>
      </c>
      <c r="AK262" s="154" t="str">
        <f t="shared" ref="AK262:AL262" si="307">B30</f>
        <v>Liquid bulk</v>
      </c>
      <c r="AL262" s="154" t="str">
        <f t="shared" si="307"/>
        <v>Catenary</v>
      </c>
      <c r="AM262" s="164">
        <f t="shared" si="303"/>
        <v>1</v>
      </c>
    </row>
    <row r="263" spans="33:39" x14ac:dyDescent="0.25">
      <c r="AG263" s="154" t="s">
        <v>87</v>
      </c>
      <c r="AH263" s="154" t="s">
        <v>420</v>
      </c>
      <c r="AI263" s="154">
        <v>2050</v>
      </c>
      <c r="AJ263" s="154" t="str">
        <f t="shared" si="301"/>
        <v>Rail</v>
      </c>
      <c r="AK263" s="154" t="str">
        <f t="shared" ref="AK263:AL263" si="308">B31</f>
        <v>Liquid bulk</v>
      </c>
      <c r="AL263" s="154" t="str">
        <f t="shared" si="308"/>
        <v>Battery</v>
      </c>
      <c r="AM263" s="164">
        <f t="shared" si="303"/>
        <v>1</v>
      </c>
    </row>
    <row r="264" spans="33:39" x14ac:dyDescent="0.25">
      <c r="AG264" s="154" t="s">
        <v>103</v>
      </c>
      <c r="AH264" s="154" t="s">
        <v>420</v>
      </c>
      <c r="AI264" s="154">
        <v>2050</v>
      </c>
      <c r="AJ264" s="154" t="str">
        <f t="shared" ref="AJ264:AL264" si="309">A32</f>
        <v>Rail</v>
      </c>
      <c r="AK264" s="154" t="str">
        <f t="shared" si="309"/>
        <v>Liquid bulk</v>
      </c>
      <c r="AL264" s="154" t="str">
        <f t="shared" si="309"/>
        <v>Hydrogen</v>
      </c>
      <c r="AM264" s="164">
        <f t="shared" si="303"/>
        <v>1</v>
      </c>
    </row>
    <row r="265" spans="33:39" x14ac:dyDescent="0.25">
      <c r="AG265" s="154" t="s">
        <v>423</v>
      </c>
      <c r="AH265" s="154" t="s">
        <v>420</v>
      </c>
      <c r="AI265" s="154">
        <v>2050</v>
      </c>
      <c r="AJ265" s="154" t="str">
        <f t="shared" ref="AJ265:AL265" si="310">A33</f>
        <v>Rail</v>
      </c>
      <c r="AK265" s="154" t="str">
        <f t="shared" si="310"/>
        <v>Container</v>
      </c>
      <c r="AL265" s="154" t="str">
        <f t="shared" si="310"/>
        <v>Diesel</v>
      </c>
      <c r="AM265" s="164">
        <f t="shared" si="303"/>
        <v>1</v>
      </c>
    </row>
    <row r="266" spans="33:39" x14ac:dyDescent="0.25">
      <c r="AG266" s="154" t="s">
        <v>423</v>
      </c>
      <c r="AH266" s="154" t="s">
        <v>420</v>
      </c>
      <c r="AI266" s="154">
        <v>2050</v>
      </c>
      <c r="AJ266" s="154" t="str">
        <f t="shared" ref="AJ266:AL266" si="311">A34</f>
        <v>Rail</v>
      </c>
      <c r="AK266" s="154" t="str">
        <f t="shared" si="311"/>
        <v>Container</v>
      </c>
      <c r="AL266" s="154" t="str">
        <f t="shared" si="311"/>
        <v>Catenary</v>
      </c>
      <c r="AM266" s="164">
        <f t="shared" si="303"/>
        <v>1</v>
      </c>
    </row>
    <row r="267" spans="33:39" x14ac:dyDescent="0.25">
      <c r="AG267" s="154" t="s">
        <v>87</v>
      </c>
      <c r="AH267" s="154" t="s">
        <v>420</v>
      </c>
      <c r="AI267" s="154">
        <v>2050</v>
      </c>
      <c r="AJ267" s="154" t="str">
        <f t="shared" ref="AJ267:AL267" si="312">A35</f>
        <v>Rail</v>
      </c>
      <c r="AK267" s="154" t="str">
        <f t="shared" si="312"/>
        <v>Container</v>
      </c>
      <c r="AL267" s="154" t="str">
        <f t="shared" si="312"/>
        <v>Battery</v>
      </c>
      <c r="AM267" s="164">
        <f t="shared" si="303"/>
        <v>1</v>
      </c>
    </row>
    <row r="268" spans="33:39" x14ac:dyDescent="0.25">
      <c r="AG268" s="154" t="s">
        <v>103</v>
      </c>
      <c r="AH268" s="154" t="s">
        <v>420</v>
      </c>
      <c r="AI268" s="154">
        <v>2050</v>
      </c>
      <c r="AJ268" s="154" t="str">
        <f t="shared" ref="AJ268:AL268" si="313">A36</f>
        <v>Rail</v>
      </c>
      <c r="AK268" s="154" t="str">
        <f t="shared" si="313"/>
        <v>Container</v>
      </c>
      <c r="AL268" s="154" t="str">
        <f t="shared" si="313"/>
        <v>Hydrogen</v>
      </c>
      <c r="AM268" s="164">
        <f t="shared" si="303"/>
        <v>1</v>
      </c>
    </row>
    <row r="269" spans="33:39" x14ac:dyDescent="0.25">
      <c r="AG269" s="154" t="s">
        <v>423</v>
      </c>
      <c r="AH269" s="154" t="s">
        <v>420</v>
      </c>
      <c r="AI269" s="154">
        <v>2050</v>
      </c>
      <c r="AJ269" s="154" t="str">
        <f t="shared" ref="AJ269:AL269" si="314">A37</f>
        <v>Rail</v>
      </c>
      <c r="AK269" s="154" t="str">
        <f t="shared" si="314"/>
        <v>Break bulk</v>
      </c>
      <c r="AL269" s="154" t="str">
        <f t="shared" si="314"/>
        <v>Diesel</v>
      </c>
      <c r="AM269" s="164">
        <f t="shared" si="303"/>
        <v>1</v>
      </c>
    </row>
    <row r="270" spans="33:39" x14ac:dyDescent="0.25">
      <c r="AG270" s="154" t="s">
        <v>423</v>
      </c>
      <c r="AH270" s="154" t="s">
        <v>420</v>
      </c>
      <c r="AI270" s="154">
        <v>2050</v>
      </c>
      <c r="AJ270" s="154" t="str">
        <f t="shared" ref="AJ270:AL270" si="315">A38</f>
        <v>Rail</v>
      </c>
      <c r="AK270" s="154" t="str">
        <f t="shared" si="315"/>
        <v>Break bulk</v>
      </c>
      <c r="AL270" s="154" t="str">
        <f t="shared" si="315"/>
        <v>Catenary</v>
      </c>
      <c r="AM270" s="164">
        <f t="shared" si="303"/>
        <v>1</v>
      </c>
    </row>
    <row r="271" spans="33:39" x14ac:dyDescent="0.25">
      <c r="AG271" s="154" t="s">
        <v>87</v>
      </c>
      <c r="AH271" s="154" t="s">
        <v>420</v>
      </c>
      <c r="AI271" s="154">
        <v>2050</v>
      </c>
      <c r="AJ271" s="154" t="str">
        <f t="shared" ref="AJ271:AL271" si="316">A39</f>
        <v>Rail</v>
      </c>
      <c r="AK271" s="154" t="str">
        <f t="shared" si="316"/>
        <v>Break bulk</v>
      </c>
      <c r="AL271" s="154" t="str">
        <f t="shared" si="316"/>
        <v>Battery</v>
      </c>
      <c r="AM271" s="164">
        <f t="shared" si="303"/>
        <v>1</v>
      </c>
    </row>
    <row r="272" spans="33:39" x14ac:dyDescent="0.25">
      <c r="AG272" s="154" t="s">
        <v>103</v>
      </c>
      <c r="AH272" s="154" t="s">
        <v>420</v>
      </c>
      <c r="AI272" s="154">
        <v>2050</v>
      </c>
      <c r="AJ272" s="154" t="str">
        <f t="shared" ref="AJ272:AL272" si="317">A40</f>
        <v>Rail</v>
      </c>
      <c r="AK272" s="154" t="str">
        <f t="shared" si="317"/>
        <v>Break bulk</v>
      </c>
      <c r="AL272" s="154" t="str">
        <f t="shared" si="317"/>
        <v>Hydrogen</v>
      </c>
      <c r="AM272" s="164">
        <f t="shared" si="303"/>
        <v>1</v>
      </c>
    </row>
    <row r="273" spans="33:39" x14ac:dyDescent="0.25">
      <c r="AG273" s="154" t="s">
        <v>423</v>
      </c>
      <c r="AH273" s="154" t="s">
        <v>420</v>
      </c>
      <c r="AI273" s="154">
        <v>2050</v>
      </c>
      <c r="AJ273" s="154" t="str">
        <f t="shared" ref="AJ273:AL273" si="318">A41</f>
        <v>Rail</v>
      </c>
      <c r="AK273" s="154" t="str">
        <f t="shared" si="318"/>
        <v>Neo bulk</v>
      </c>
      <c r="AL273" s="154" t="str">
        <f t="shared" si="318"/>
        <v>Diesel</v>
      </c>
      <c r="AM273" s="164">
        <f t="shared" si="303"/>
        <v>1</v>
      </c>
    </row>
    <row r="274" spans="33:39" x14ac:dyDescent="0.25">
      <c r="AG274" s="154" t="s">
        <v>423</v>
      </c>
      <c r="AH274" s="154" t="s">
        <v>420</v>
      </c>
      <c r="AI274" s="154">
        <v>2050</v>
      </c>
      <c r="AJ274" s="154" t="str">
        <f t="shared" ref="AJ274:AL274" si="319">A42</f>
        <v>Rail</v>
      </c>
      <c r="AK274" s="154" t="str">
        <f t="shared" si="319"/>
        <v>Neo bulk</v>
      </c>
      <c r="AL274" s="154" t="str">
        <f t="shared" si="319"/>
        <v>Catenary</v>
      </c>
      <c r="AM274" s="164">
        <f t="shared" si="303"/>
        <v>1</v>
      </c>
    </row>
    <row r="275" spans="33:39" x14ac:dyDescent="0.25">
      <c r="AG275" s="154" t="s">
        <v>87</v>
      </c>
      <c r="AH275" s="154" t="s">
        <v>420</v>
      </c>
      <c r="AI275" s="154">
        <v>2050</v>
      </c>
      <c r="AJ275" s="154" t="str">
        <f t="shared" ref="AJ275:AL275" si="320">A43</f>
        <v>Rail</v>
      </c>
      <c r="AK275" s="154" t="str">
        <f t="shared" si="320"/>
        <v>Neo bulk</v>
      </c>
      <c r="AL275" s="154" t="str">
        <f t="shared" si="320"/>
        <v>Battery</v>
      </c>
      <c r="AM275" s="164">
        <f t="shared" si="303"/>
        <v>1</v>
      </c>
    </row>
    <row r="276" spans="33:39" x14ac:dyDescent="0.25">
      <c r="AG276" s="154" t="s">
        <v>103</v>
      </c>
      <c r="AH276" s="154" t="s">
        <v>420</v>
      </c>
      <c r="AI276" s="154">
        <v>2050</v>
      </c>
      <c r="AJ276" s="154" t="str">
        <f t="shared" ref="AJ276:AL276" si="321">A44</f>
        <v>Rail</v>
      </c>
      <c r="AK276" s="154" t="str">
        <f t="shared" si="321"/>
        <v>Neo bulk</v>
      </c>
      <c r="AL276" s="154" t="str">
        <f t="shared" si="321"/>
        <v>Hydrogen</v>
      </c>
      <c r="AM276" s="164">
        <f t="shared" si="303"/>
        <v>1</v>
      </c>
    </row>
    <row r="277" spans="33:39" x14ac:dyDescent="0.25">
      <c r="AG277" s="154" t="s">
        <v>423</v>
      </c>
      <c r="AH277" s="154" t="s">
        <v>421</v>
      </c>
      <c r="AI277" s="154">
        <v>2050</v>
      </c>
      <c r="AJ277" s="154" t="str">
        <f>A25</f>
        <v>Rail</v>
      </c>
      <c r="AK277" s="154" t="str">
        <f>B25</f>
        <v>Dry bulk</v>
      </c>
      <c r="AL277" s="154" t="str">
        <f>C25</f>
        <v>Diesel</v>
      </c>
      <c r="AM277" s="164">
        <f>AC25</f>
        <v>0.90431046733281617</v>
      </c>
    </row>
    <row r="278" spans="33:39" x14ac:dyDescent="0.25">
      <c r="AG278" s="154" t="s">
        <v>423</v>
      </c>
      <c r="AH278" s="154" t="s">
        <v>421</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25">
      <c r="AG279" s="154" t="s">
        <v>87</v>
      </c>
      <c r="AH279" s="154" t="s">
        <v>421</v>
      </c>
      <c r="AI279" s="154">
        <v>2050</v>
      </c>
      <c r="AJ279" s="154" t="str">
        <f t="shared" ref="AJ279:AL279" si="324">A27</f>
        <v>Rail</v>
      </c>
      <c r="AK279" s="154" t="str">
        <f t="shared" si="324"/>
        <v>Dry bulk</v>
      </c>
      <c r="AL279" s="154" t="str">
        <f t="shared" si="324"/>
        <v>Battery</v>
      </c>
      <c r="AM279" s="164">
        <f t="shared" si="323"/>
        <v>0.98118018652284367</v>
      </c>
    </row>
    <row r="280" spans="33:39" x14ac:dyDescent="0.25">
      <c r="AG280" s="154" t="s">
        <v>103</v>
      </c>
      <c r="AH280" s="154" t="s">
        <v>421</v>
      </c>
      <c r="AI280" s="154">
        <v>2050</v>
      </c>
      <c r="AJ280" s="154" t="str">
        <f t="shared" ref="AJ280:AL280" si="325">A28</f>
        <v>Rail</v>
      </c>
      <c r="AK280" s="154" t="str">
        <f t="shared" si="325"/>
        <v>Dry bulk</v>
      </c>
      <c r="AL280" s="154" t="str">
        <f t="shared" si="325"/>
        <v>Hydrogen</v>
      </c>
      <c r="AM280" s="164">
        <f t="shared" si="323"/>
        <v>0.9667705247070536</v>
      </c>
    </row>
    <row r="281" spans="33:39" x14ac:dyDescent="0.25">
      <c r="AG281" s="154" t="s">
        <v>423</v>
      </c>
      <c r="AH281" s="154" t="s">
        <v>421</v>
      </c>
      <c r="AI281" s="154">
        <v>2050</v>
      </c>
      <c r="AJ281" s="154" t="str">
        <f t="shared" ref="AJ281:AL281" si="326">A29</f>
        <v>Rail</v>
      </c>
      <c r="AK281" s="154" t="str">
        <f t="shared" si="326"/>
        <v>Liquid bulk</v>
      </c>
      <c r="AL281" s="154" t="str">
        <f t="shared" si="326"/>
        <v>Diesel</v>
      </c>
      <c r="AM281" s="164">
        <f t="shared" si="323"/>
        <v>0.90507894822232582</v>
      </c>
    </row>
    <row r="282" spans="33:39" x14ac:dyDescent="0.25">
      <c r="AG282" s="154" t="s">
        <v>423</v>
      </c>
      <c r="AH282" s="154" t="s">
        <v>421</v>
      </c>
      <c r="AI282" s="154">
        <v>2050</v>
      </c>
      <c r="AJ282" s="154" t="str">
        <f t="shared" ref="AJ282:AL282" si="327">A30</f>
        <v>Rail</v>
      </c>
      <c r="AK282" s="154" t="str">
        <f t="shared" si="327"/>
        <v>Liquid bulk</v>
      </c>
      <c r="AL282" s="154" t="str">
        <f t="shared" si="327"/>
        <v>Catenary</v>
      </c>
      <c r="AM282" s="164">
        <f t="shared" si="323"/>
        <v>0.98084468664129654</v>
      </c>
    </row>
    <row r="283" spans="33:39" x14ac:dyDescent="0.25">
      <c r="AG283" s="154" t="s">
        <v>87</v>
      </c>
      <c r="AH283" s="154" t="s">
        <v>421</v>
      </c>
      <c r="AI283" s="154">
        <v>2050</v>
      </c>
      <c r="AJ283" s="154" t="str">
        <f t="shared" ref="AJ283:AL283" si="328">A31</f>
        <v>Rail</v>
      </c>
      <c r="AK283" s="154" t="str">
        <f t="shared" si="328"/>
        <v>Liquid bulk</v>
      </c>
      <c r="AL283" s="154" t="str">
        <f t="shared" si="328"/>
        <v>Battery</v>
      </c>
      <c r="AM283" s="164">
        <f t="shared" si="323"/>
        <v>0.98133873459721155</v>
      </c>
    </row>
    <row r="284" spans="33:39" x14ac:dyDescent="0.25">
      <c r="AG284" s="154" t="s">
        <v>103</v>
      </c>
      <c r="AH284" s="154" t="s">
        <v>421</v>
      </c>
      <c r="AI284" s="154">
        <v>2050</v>
      </c>
      <c r="AJ284" s="154" t="str">
        <f t="shared" ref="AJ284:AL284" si="329">A32</f>
        <v>Rail</v>
      </c>
      <c r="AK284" s="154" t="str">
        <f t="shared" si="329"/>
        <v>Liquid bulk</v>
      </c>
      <c r="AL284" s="154" t="str">
        <f t="shared" si="329"/>
        <v>Hydrogen</v>
      </c>
      <c r="AM284" s="164">
        <f t="shared" si="323"/>
        <v>0.96706028296676316</v>
      </c>
    </row>
    <row r="285" spans="33:39" x14ac:dyDescent="0.25">
      <c r="AG285" s="154" t="s">
        <v>423</v>
      </c>
      <c r="AH285" s="154" t="s">
        <v>421</v>
      </c>
      <c r="AI285" s="154">
        <v>2050</v>
      </c>
      <c r="AJ285" s="154" t="str">
        <f t="shared" ref="AJ285:AL285" si="330">A33</f>
        <v>Rail</v>
      </c>
      <c r="AK285" s="154" t="str">
        <f t="shared" si="330"/>
        <v>Container</v>
      </c>
      <c r="AL285" s="154" t="str">
        <f t="shared" si="330"/>
        <v>Diesel</v>
      </c>
      <c r="AM285" s="164">
        <f t="shared" si="323"/>
        <v>0.89906424986937139</v>
      </c>
    </row>
    <row r="286" spans="33:39" x14ac:dyDescent="0.25">
      <c r="AG286" s="154" t="s">
        <v>423</v>
      </c>
      <c r="AH286" s="154" t="s">
        <v>421</v>
      </c>
      <c r="AI286" s="154">
        <v>2050</v>
      </c>
      <c r="AJ286" s="154" t="str">
        <f t="shared" ref="AJ286:AL286" si="331">A34</f>
        <v>Rail</v>
      </c>
      <c r="AK286" s="154" t="str">
        <f t="shared" si="331"/>
        <v>Container</v>
      </c>
      <c r="AL286" s="154" t="str">
        <f t="shared" si="331"/>
        <v>Catenary</v>
      </c>
      <c r="AM286" s="164">
        <f t="shared" si="323"/>
        <v>0.97943848441150672</v>
      </c>
    </row>
    <row r="287" spans="33:39" x14ac:dyDescent="0.25">
      <c r="AG287" s="154" t="s">
        <v>87</v>
      </c>
      <c r="AH287" s="154" t="s">
        <v>421</v>
      </c>
      <c r="AI287" s="154">
        <v>2050</v>
      </c>
      <c r="AJ287" s="154" t="str">
        <f t="shared" ref="AJ287:AL287" si="332">A35</f>
        <v>Rail</v>
      </c>
      <c r="AK287" s="154" t="str">
        <f t="shared" si="332"/>
        <v>Container</v>
      </c>
      <c r="AL287" s="154" t="str">
        <f t="shared" si="332"/>
        <v>Battery</v>
      </c>
      <c r="AM287" s="164">
        <f t="shared" si="323"/>
        <v>0.98008984058990267</v>
      </c>
    </row>
    <row r="288" spans="33:39" x14ac:dyDescent="0.25">
      <c r="AG288" s="154" t="s">
        <v>103</v>
      </c>
      <c r="AH288" s="154" t="s">
        <v>421</v>
      </c>
      <c r="AI288" s="154">
        <v>2050</v>
      </c>
      <c r="AJ288" s="154" t="str">
        <f t="shared" ref="AJ288:AL288" si="333">A36</f>
        <v>Rail</v>
      </c>
      <c r="AK288" s="154" t="str">
        <f t="shared" si="333"/>
        <v>Container</v>
      </c>
      <c r="AL288" s="154" t="str">
        <f t="shared" si="333"/>
        <v>Hydrogen</v>
      </c>
      <c r="AM288" s="164">
        <f t="shared" si="323"/>
        <v>0.96477316930373147</v>
      </c>
    </row>
    <row r="289" spans="33:39" x14ac:dyDescent="0.25">
      <c r="AG289" s="154" t="s">
        <v>423</v>
      </c>
      <c r="AH289" s="154" t="s">
        <v>421</v>
      </c>
      <c r="AI289" s="154">
        <v>2050</v>
      </c>
      <c r="AJ289" s="154" t="str">
        <f t="shared" ref="AJ289:AL289" si="334">A37</f>
        <v>Rail</v>
      </c>
      <c r="AK289" s="154" t="str">
        <f t="shared" si="334"/>
        <v>Break bulk</v>
      </c>
      <c r="AL289" s="154" t="str">
        <f t="shared" si="334"/>
        <v>Diesel</v>
      </c>
      <c r="AM289" s="164">
        <f t="shared" si="323"/>
        <v>0.9351040033640603</v>
      </c>
    </row>
    <row r="290" spans="33:39" x14ac:dyDescent="0.25">
      <c r="AG290" s="154" t="s">
        <v>423</v>
      </c>
      <c r="AH290" s="154" t="s">
        <v>421</v>
      </c>
      <c r="AI290" s="154">
        <v>2050</v>
      </c>
      <c r="AJ290" s="154" t="str">
        <f t="shared" ref="AJ290:AL290" si="335">A38</f>
        <v>Rail</v>
      </c>
      <c r="AK290" s="154" t="str">
        <f t="shared" si="335"/>
        <v>Break bulk</v>
      </c>
      <c r="AL290" s="154" t="str">
        <f t="shared" si="335"/>
        <v>Catenary</v>
      </c>
      <c r="AM290" s="164">
        <f t="shared" si="323"/>
        <v>0.9874883170087837</v>
      </c>
    </row>
    <row r="291" spans="33:39" x14ac:dyDescent="0.25">
      <c r="AG291" s="154" t="s">
        <v>87</v>
      </c>
      <c r="AH291" s="154" t="s">
        <v>421</v>
      </c>
      <c r="AI291" s="154">
        <v>2050</v>
      </c>
      <c r="AJ291" s="154" t="str">
        <f t="shared" ref="AJ291:AL291" si="336">A39</f>
        <v>Rail</v>
      </c>
      <c r="AK291" s="154" t="str">
        <f t="shared" si="336"/>
        <v>Break bulk</v>
      </c>
      <c r="AL291" s="154" t="str">
        <f t="shared" si="336"/>
        <v>Battery</v>
      </c>
      <c r="AM291" s="164">
        <f t="shared" si="323"/>
        <v>0.98744966304684545</v>
      </c>
    </row>
    <row r="292" spans="33:39" x14ac:dyDescent="0.25">
      <c r="AG292" s="154" t="s">
        <v>103</v>
      </c>
      <c r="AH292" s="154" t="s">
        <v>421</v>
      </c>
      <c r="AI292" s="154">
        <v>2050</v>
      </c>
      <c r="AJ292" s="154" t="str">
        <f t="shared" ref="AJ292:AL292" si="337">A40</f>
        <v>Rail</v>
      </c>
      <c r="AK292" s="154" t="str">
        <f t="shared" si="337"/>
        <v>Break bulk</v>
      </c>
      <c r="AL292" s="154" t="str">
        <f t="shared" si="337"/>
        <v>Hydrogen</v>
      </c>
      <c r="AM292" s="164">
        <f t="shared" si="323"/>
        <v>0.97809833594378248</v>
      </c>
    </row>
    <row r="293" spans="33:39" x14ac:dyDescent="0.25">
      <c r="AG293" s="154" t="s">
        <v>423</v>
      </c>
      <c r="AH293" s="154" t="s">
        <v>421</v>
      </c>
      <c r="AI293" s="154">
        <v>2050</v>
      </c>
      <c r="AJ293" s="154" t="str">
        <f t="shared" ref="AJ293:AL293" si="338">A41</f>
        <v>Rail</v>
      </c>
      <c r="AK293" s="154" t="str">
        <f t="shared" si="338"/>
        <v>Neo bulk</v>
      </c>
      <c r="AL293" s="154" t="str">
        <f t="shared" si="338"/>
        <v>Diesel</v>
      </c>
      <c r="AM293" s="164">
        <f t="shared" si="323"/>
        <v>0.90315872079675574</v>
      </c>
    </row>
    <row r="294" spans="33:39" x14ac:dyDescent="0.25">
      <c r="AG294" s="154" t="s">
        <v>423</v>
      </c>
      <c r="AH294" s="154" t="s">
        <v>421</v>
      </c>
      <c r="AI294" s="154">
        <v>2050</v>
      </c>
      <c r="AJ294" s="154" t="str">
        <f t="shared" ref="AJ294:AL294" si="339">A42</f>
        <v>Rail</v>
      </c>
      <c r="AK294" s="154" t="str">
        <f t="shared" si="339"/>
        <v>Neo bulk</v>
      </c>
      <c r="AL294" s="154" t="str">
        <f t="shared" si="339"/>
        <v>Catenary</v>
      </c>
      <c r="AM294" s="164">
        <f t="shared" si="323"/>
        <v>0.98039861697836606</v>
      </c>
    </row>
    <row r="295" spans="33:39" x14ac:dyDescent="0.25">
      <c r="AG295" s="154" t="s">
        <v>87</v>
      </c>
      <c r="AH295" s="154" t="s">
        <v>421</v>
      </c>
      <c r="AI295" s="154">
        <v>2050</v>
      </c>
      <c r="AJ295" s="154" t="str">
        <f t="shared" ref="AJ295:AL295" si="340">A43</f>
        <v>Rail</v>
      </c>
      <c r="AK295" s="154" t="str">
        <f t="shared" si="340"/>
        <v>Neo bulk</v>
      </c>
      <c r="AL295" s="154" t="str">
        <f t="shared" si="340"/>
        <v>Battery</v>
      </c>
      <c r="AM295" s="164">
        <f t="shared" si="323"/>
        <v>0.98094053343434851</v>
      </c>
    </row>
    <row r="296" spans="33:39" x14ac:dyDescent="0.25">
      <c r="AG296" s="154" t="s">
        <v>103</v>
      </c>
      <c r="AH296" s="154" t="s">
        <v>421</v>
      </c>
      <c r="AI296" s="154">
        <v>2050</v>
      </c>
      <c r="AJ296" s="154" t="str">
        <f t="shared" ref="AJ296:AL296" si="341">A44</f>
        <v>Rail</v>
      </c>
      <c r="AK296" s="154" t="str">
        <f t="shared" si="341"/>
        <v>Neo bulk</v>
      </c>
      <c r="AL296" s="154" t="str">
        <f t="shared" si="341"/>
        <v>Hydrogen</v>
      </c>
      <c r="AM296" s="164">
        <f t="shared" si="323"/>
        <v>0.96633222048483269</v>
      </c>
    </row>
    <row r="297" spans="33:39" x14ac:dyDescent="0.25">
      <c r="AG297" s="154" t="s">
        <v>423</v>
      </c>
      <c r="AH297" s="154" t="s">
        <v>422</v>
      </c>
      <c r="AI297" s="154">
        <v>2050</v>
      </c>
      <c r="AJ297" s="154" t="str">
        <f>A25</f>
        <v>Rail</v>
      </c>
      <c r="AK297" s="154" t="str">
        <f t="shared" ref="AK297:AL297" si="342">B25</f>
        <v>Dry bulk</v>
      </c>
      <c r="AL297" s="154" t="str">
        <f t="shared" si="342"/>
        <v>Diesel</v>
      </c>
      <c r="AM297" s="164">
        <f>AD25</f>
        <v>1.0628816928955782</v>
      </c>
    </row>
    <row r="298" spans="33:39" x14ac:dyDescent="0.25">
      <c r="AG298" s="154" t="s">
        <v>423</v>
      </c>
      <c r="AH298" s="154" t="s">
        <v>422</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25">
      <c r="AG299" s="154" t="s">
        <v>87</v>
      </c>
      <c r="AH299" s="154" t="s">
        <v>422</v>
      </c>
      <c r="AI299" s="154">
        <v>2050</v>
      </c>
      <c r="AJ299" s="154" t="str">
        <f t="shared" si="343"/>
        <v>Rail</v>
      </c>
      <c r="AK299" s="154" t="str">
        <f t="shared" si="344"/>
        <v>Dry bulk</v>
      </c>
      <c r="AL299" s="154" t="str">
        <f t="shared" si="345"/>
        <v>Battery</v>
      </c>
      <c r="AM299" s="164">
        <f t="shared" si="346"/>
        <v>1.0176435751348338</v>
      </c>
    </row>
    <row r="300" spans="33:39" x14ac:dyDescent="0.25">
      <c r="AG300" s="154" t="s">
        <v>103</v>
      </c>
      <c r="AH300" s="154" t="s">
        <v>422</v>
      </c>
      <c r="AI300" s="154">
        <v>2050</v>
      </c>
      <c r="AJ300" s="154" t="str">
        <f t="shared" si="343"/>
        <v>Rail</v>
      </c>
      <c r="AK300" s="154" t="str">
        <f t="shared" si="344"/>
        <v>Dry bulk</v>
      </c>
      <c r="AL300" s="154" t="str">
        <f t="shared" si="345"/>
        <v>Hydrogen</v>
      </c>
      <c r="AM300" s="164">
        <f t="shared" si="346"/>
        <v>1.0311526330871377</v>
      </c>
    </row>
    <row r="301" spans="33:39" x14ac:dyDescent="0.25">
      <c r="AG301" s="154" t="s">
        <v>423</v>
      </c>
      <c r="AH301" s="154" t="s">
        <v>422</v>
      </c>
      <c r="AI301" s="154">
        <v>2050</v>
      </c>
      <c r="AJ301" s="154" t="str">
        <f t="shared" si="343"/>
        <v>Rail</v>
      </c>
      <c r="AK301" s="154" t="str">
        <f t="shared" si="344"/>
        <v>Liquid bulk</v>
      </c>
      <c r="AL301" s="154" t="str">
        <f t="shared" si="345"/>
        <v>Diesel</v>
      </c>
      <c r="AM301" s="164">
        <f t="shared" si="346"/>
        <v>1.062376691168186</v>
      </c>
    </row>
    <row r="302" spans="33:39" x14ac:dyDescent="0.25">
      <c r="AG302" s="154" t="s">
        <v>423</v>
      </c>
      <c r="AH302" s="154" t="s">
        <v>422</v>
      </c>
      <c r="AI302" s="154">
        <v>2050</v>
      </c>
      <c r="AJ302" s="154" t="str">
        <f t="shared" si="343"/>
        <v>Rail</v>
      </c>
      <c r="AK302" s="154" t="str">
        <f t="shared" si="344"/>
        <v>Liquid bulk</v>
      </c>
      <c r="AL302" s="154" t="str">
        <f t="shared" si="345"/>
        <v>Catenary</v>
      </c>
      <c r="AM302" s="164">
        <f t="shared" si="346"/>
        <v>1.0179581062737844</v>
      </c>
    </row>
    <row r="303" spans="33:39" x14ac:dyDescent="0.25">
      <c r="AG303" s="154" t="s">
        <v>87</v>
      </c>
      <c r="AH303" s="154" t="s">
        <v>422</v>
      </c>
      <c r="AI303" s="154">
        <v>2050</v>
      </c>
      <c r="AJ303" s="154" t="str">
        <f t="shared" si="343"/>
        <v>Rail</v>
      </c>
      <c r="AK303" s="154" t="str">
        <f t="shared" si="344"/>
        <v>Liquid bulk</v>
      </c>
      <c r="AL303" s="154" t="str">
        <f t="shared" si="345"/>
        <v>Battery</v>
      </c>
      <c r="AM303" s="164">
        <f t="shared" si="346"/>
        <v>1.0174949363151145</v>
      </c>
    </row>
    <row r="304" spans="33:39" x14ac:dyDescent="0.25">
      <c r="AG304" s="154" t="s">
        <v>103</v>
      </c>
      <c r="AH304" s="154" t="s">
        <v>422</v>
      </c>
      <c r="AI304" s="154">
        <v>2050</v>
      </c>
      <c r="AJ304" s="154" t="str">
        <f t="shared" si="343"/>
        <v>Rail</v>
      </c>
      <c r="AK304" s="154" t="str">
        <f t="shared" si="344"/>
        <v>Liquid bulk</v>
      </c>
      <c r="AL304" s="154" t="str">
        <f t="shared" si="345"/>
        <v>Hydrogen</v>
      </c>
      <c r="AM304" s="164">
        <f t="shared" si="346"/>
        <v>1.0308809847186597</v>
      </c>
    </row>
    <row r="305" spans="33:39" x14ac:dyDescent="0.25">
      <c r="AG305" s="154" t="s">
        <v>423</v>
      </c>
      <c r="AH305" s="154" t="s">
        <v>422</v>
      </c>
      <c r="AI305" s="154">
        <v>2050</v>
      </c>
      <c r="AJ305" s="154" t="str">
        <f t="shared" si="343"/>
        <v>Rail</v>
      </c>
      <c r="AK305" s="154" t="str">
        <f t="shared" si="344"/>
        <v>Container</v>
      </c>
      <c r="AL305" s="154" t="str">
        <f t="shared" si="345"/>
        <v>Diesel</v>
      </c>
      <c r="AM305" s="164">
        <f t="shared" si="346"/>
        <v>1.0663292072286992</v>
      </c>
    </row>
    <row r="306" spans="33:39" x14ac:dyDescent="0.25">
      <c r="AG306" s="154" t="s">
        <v>423</v>
      </c>
      <c r="AH306" s="154" t="s">
        <v>422</v>
      </c>
      <c r="AI306" s="154">
        <v>2050</v>
      </c>
      <c r="AJ306" s="154" t="str">
        <f t="shared" si="343"/>
        <v>Rail</v>
      </c>
      <c r="AK306" s="154" t="str">
        <f t="shared" si="344"/>
        <v>Container</v>
      </c>
      <c r="AL306" s="154" t="str">
        <f t="shared" si="345"/>
        <v>Catenary</v>
      </c>
      <c r="AM306" s="164">
        <f t="shared" si="346"/>
        <v>1.0192764208642127</v>
      </c>
    </row>
    <row r="307" spans="33:39" x14ac:dyDescent="0.25">
      <c r="AG307" s="154" t="s">
        <v>87</v>
      </c>
      <c r="AH307" s="154" t="s">
        <v>422</v>
      </c>
      <c r="AI307" s="154">
        <v>2050</v>
      </c>
      <c r="AJ307" s="154" t="str">
        <f t="shared" si="343"/>
        <v>Rail</v>
      </c>
      <c r="AK307" s="154" t="str">
        <f t="shared" si="344"/>
        <v>Container</v>
      </c>
      <c r="AL307" s="154" t="str">
        <f t="shared" si="345"/>
        <v>Battery</v>
      </c>
      <c r="AM307" s="164">
        <f t="shared" si="346"/>
        <v>1.0186657744469665</v>
      </c>
    </row>
    <row r="308" spans="33:39" x14ac:dyDescent="0.25">
      <c r="AG308" s="154" t="s">
        <v>103</v>
      </c>
      <c r="AH308" s="154" t="s">
        <v>422</v>
      </c>
      <c r="AI308" s="154">
        <v>2050</v>
      </c>
      <c r="AJ308" s="154" t="str">
        <f t="shared" si="343"/>
        <v>Rail</v>
      </c>
      <c r="AK308" s="154" t="str">
        <f t="shared" si="344"/>
        <v>Container</v>
      </c>
      <c r="AL308" s="154" t="str">
        <f t="shared" si="345"/>
        <v>Hydrogen</v>
      </c>
      <c r="AM308" s="164">
        <f t="shared" si="346"/>
        <v>1.0330251537777524</v>
      </c>
    </row>
    <row r="309" spans="33:39" x14ac:dyDescent="0.25">
      <c r="AG309" s="154" t="s">
        <v>423</v>
      </c>
      <c r="AH309" s="154" t="s">
        <v>422</v>
      </c>
      <c r="AI309" s="154">
        <v>2050</v>
      </c>
      <c r="AJ309" s="154" t="str">
        <f t="shared" si="343"/>
        <v>Rail</v>
      </c>
      <c r="AK309" s="154" t="str">
        <f t="shared" si="344"/>
        <v>Break bulk</v>
      </c>
      <c r="AL309" s="154" t="str">
        <f t="shared" si="345"/>
        <v>Diesel</v>
      </c>
      <c r="AM309" s="164">
        <f t="shared" si="346"/>
        <v>1.0426459406464745</v>
      </c>
    </row>
    <row r="310" spans="33:39" x14ac:dyDescent="0.25">
      <c r="AG310" s="154" t="s">
        <v>423</v>
      </c>
      <c r="AH310" s="154" t="s">
        <v>422</v>
      </c>
      <c r="AI310" s="154">
        <v>2050</v>
      </c>
      <c r="AJ310" s="154" t="str">
        <f t="shared" si="343"/>
        <v>Rail</v>
      </c>
      <c r="AK310" s="154" t="str">
        <f t="shared" si="344"/>
        <v>Break bulk</v>
      </c>
      <c r="AL310" s="154" t="str">
        <f t="shared" si="345"/>
        <v>Catenary</v>
      </c>
      <c r="AM310" s="164">
        <f t="shared" si="346"/>
        <v>1.0117297028042653</v>
      </c>
    </row>
    <row r="311" spans="33:39" x14ac:dyDescent="0.25">
      <c r="AG311" s="154" t="s">
        <v>87</v>
      </c>
      <c r="AH311" s="154" t="s">
        <v>422</v>
      </c>
      <c r="AI311" s="154">
        <v>2050</v>
      </c>
      <c r="AJ311" s="154" t="str">
        <f t="shared" si="343"/>
        <v>Rail</v>
      </c>
      <c r="AK311" s="154" t="str">
        <f t="shared" si="344"/>
        <v>Break bulk</v>
      </c>
      <c r="AL311" s="154" t="str">
        <f t="shared" si="345"/>
        <v>Battery</v>
      </c>
      <c r="AM311" s="164">
        <f t="shared" si="346"/>
        <v>1.0117659408935826</v>
      </c>
    </row>
    <row r="312" spans="33:39" x14ac:dyDescent="0.25">
      <c r="AG312" s="154" t="s">
        <v>103</v>
      </c>
      <c r="AH312" s="154" t="s">
        <v>422</v>
      </c>
      <c r="AI312" s="154">
        <v>2050</v>
      </c>
      <c r="AJ312" s="154" t="str">
        <f t="shared" si="343"/>
        <v>Rail</v>
      </c>
      <c r="AK312" s="154" t="str">
        <f t="shared" si="344"/>
        <v>Break bulk</v>
      </c>
      <c r="AL312" s="154" t="str">
        <f t="shared" si="345"/>
        <v>Hydrogen</v>
      </c>
      <c r="AM312" s="164">
        <f t="shared" si="346"/>
        <v>1.0205328100527036</v>
      </c>
    </row>
    <row r="313" spans="33:39" x14ac:dyDescent="0.25">
      <c r="AG313" s="154" t="s">
        <v>423</v>
      </c>
      <c r="AH313" s="154" t="s">
        <v>422</v>
      </c>
      <c r="AI313" s="154">
        <v>2050</v>
      </c>
      <c r="AJ313" s="154" t="str">
        <f t="shared" si="343"/>
        <v>Rail</v>
      </c>
      <c r="AK313" s="154" t="str">
        <f t="shared" si="344"/>
        <v>Neo bulk</v>
      </c>
      <c r="AL313" s="154" t="str">
        <f t="shared" si="345"/>
        <v>Diesel</v>
      </c>
      <c r="AM313" s="164">
        <f t="shared" si="346"/>
        <v>1.0636385549049889</v>
      </c>
    </row>
    <row r="314" spans="33:39" x14ac:dyDescent="0.25">
      <c r="AG314" s="154" t="s">
        <v>423</v>
      </c>
      <c r="AH314" s="154" t="s">
        <v>422</v>
      </c>
      <c r="AI314" s="154">
        <v>2050</v>
      </c>
      <c r="AJ314" s="154" t="str">
        <f t="shared" si="343"/>
        <v>Rail</v>
      </c>
      <c r="AK314" s="154" t="str">
        <f t="shared" si="344"/>
        <v>Neo bulk</v>
      </c>
      <c r="AL314" s="154" t="str">
        <f t="shared" si="345"/>
        <v>Catenary</v>
      </c>
      <c r="AM314" s="164">
        <f t="shared" si="346"/>
        <v>1.0183762965827818</v>
      </c>
    </row>
    <row r="315" spans="33:39" x14ac:dyDescent="0.25">
      <c r="AG315" s="154" t="s">
        <v>87</v>
      </c>
      <c r="AH315" s="154" t="s">
        <v>422</v>
      </c>
      <c r="AI315" s="154">
        <v>2050</v>
      </c>
      <c r="AJ315" s="154" t="str">
        <f t="shared" si="343"/>
        <v>Rail</v>
      </c>
      <c r="AK315" s="154" t="str">
        <f t="shared" si="344"/>
        <v>Neo bulk</v>
      </c>
      <c r="AL315" s="154" t="str">
        <f t="shared" si="345"/>
        <v>Battery</v>
      </c>
      <c r="AM315" s="164">
        <f t="shared" si="346"/>
        <v>1.0178682499052982</v>
      </c>
    </row>
    <row r="316" spans="33:39" x14ac:dyDescent="0.25">
      <c r="AG316" s="154" t="s">
        <v>103</v>
      </c>
      <c r="AH316" s="154" t="s">
        <v>422</v>
      </c>
      <c r="AI316" s="154">
        <v>2050</v>
      </c>
      <c r="AJ316" s="154" t="str">
        <f t="shared" si="343"/>
        <v>Rail</v>
      </c>
      <c r="AK316" s="154" t="str">
        <f t="shared" si="344"/>
        <v>Neo bulk</v>
      </c>
      <c r="AL316" s="154" t="str">
        <f t="shared" si="345"/>
        <v>Hydrogen</v>
      </c>
      <c r="AM316" s="164">
        <f t="shared" si="346"/>
        <v>1.0315635432954693</v>
      </c>
    </row>
    <row r="317" spans="33:39" x14ac:dyDescent="0.25">
      <c r="AG317" s="154" t="s">
        <v>423</v>
      </c>
      <c r="AH317" s="154" t="s">
        <v>420</v>
      </c>
      <c r="AI317" s="154">
        <v>2023</v>
      </c>
      <c r="AJ317" s="154" t="str">
        <f>A48</f>
        <v>Sea</v>
      </c>
      <c r="AK317" s="154" t="str">
        <f t="shared" ref="AK317:AL317" si="347">B48</f>
        <v>Dry bulk</v>
      </c>
      <c r="AL317" s="154" t="str">
        <f t="shared" si="347"/>
        <v>HFO</v>
      </c>
      <c r="AM317" s="164">
        <f>I48</f>
        <v>1</v>
      </c>
    </row>
    <row r="318" spans="33:39" x14ac:dyDescent="0.25">
      <c r="AG318" s="154" t="s">
        <v>423</v>
      </c>
      <c r="AH318" s="154" t="s">
        <v>420</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25">
      <c r="AG319" s="154" t="s">
        <v>103</v>
      </c>
      <c r="AH319" s="154" t="s">
        <v>420</v>
      </c>
      <c r="AI319" s="154">
        <v>2023</v>
      </c>
      <c r="AJ319" s="154" t="str">
        <f t="shared" si="348"/>
        <v>Sea</v>
      </c>
      <c r="AK319" s="154" t="str">
        <f t="shared" si="349"/>
        <v>Dry bulk</v>
      </c>
      <c r="AL319" s="154" t="str">
        <f t="shared" si="350"/>
        <v>Hydrogen</v>
      </c>
      <c r="AM319" s="164">
        <f t="shared" si="351"/>
        <v>1</v>
      </c>
    </row>
    <row r="320" spans="33:39" x14ac:dyDescent="0.25">
      <c r="AG320" s="154" t="s">
        <v>103</v>
      </c>
      <c r="AH320" s="154" t="s">
        <v>420</v>
      </c>
      <c r="AI320" s="154">
        <v>2023</v>
      </c>
      <c r="AJ320" s="154" t="str">
        <f t="shared" si="348"/>
        <v>Sea</v>
      </c>
      <c r="AK320" s="154" t="str">
        <f t="shared" si="349"/>
        <v>Dry bulk</v>
      </c>
      <c r="AL320" s="154" t="str">
        <f t="shared" si="350"/>
        <v>Ammonia</v>
      </c>
      <c r="AM320" s="164">
        <f t="shared" si="351"/>
        <v>1</v>
      </c>
    </row>
    <row r="321" spans="33:39" x14ac:dyDescent="0.25">
      <c r="AG321" s="154" t="s">
        <v>103</v>
      </c>
      <c r="AH321" s="154" t="s">
        <v>420</v>
      </c>
      <c r="AI321" s="154">
        <v>2023</v>
      </c>
      <c r="AJ321" s="154" t="str">
        <f t="shared" si="348"/>
        <v>Sea</v>
      </c>
      <c r="AK321" s="154" t="str">
        <f t="shared" si="349"/>
        <v>Dry bulk</v>
      </c>
      <c r="AL321" s="154" t="str">
        <f t="shared" si="350"/>
        <v>Methanol</v>
      </c>
      <c r="AM321" s="164">
        <f t="shared" si="351"/>
        <v>1</v>
      </c>
    </row>
    <row r="322" spans="33:39" x14ac:dyDescent="0.25">
      <c r="AG322" s="154" t="s">
        <v>423</v>
      </c>
      <c r="AH322" s="154" t="s">
        <v>420</v>
      </c>
      <c r="AI322" s="154">
        <v>2023</v>
      </c>
      <c r="AJ322" s="154" t="str">
        <f t="shared" si="348"/>
        <v>Sea</v>
      </c>
      <c r="AK322" s="154" t="str">
        <f t="shared" si="349"/>
        <v>Container</v>
      </c>
      <c r="AL322" s="154" t="str">
        <f t="shared" si="350"/>
        <v>HFO</v>
      </c>
      <c r="AM322" s="164">
        <f t="shared" si="351"/>
        <v>1</v>
      </c>
    </row>
    <row r="323" spans="33:39" x14ac:dyDescent="0.25">
      <c r="AG323" s="154" t="s">
        <v>423</v>
      </c>
      <c r="AH323" s="154" t="s">
        <v>420</v>
      </c>
      <c r="AI323" s="154">
        <v>2023</v>
      </c>
      <c r="AJ323" s="154" t="str">
        <f t="shared" si="348"/>
        <v>Sea</v>
      </c>
      <c r="AK323" s="154" t="str">
        <f t="shared" si="349"/>
        <v>Container</v>
      </c>
      <c r="AL323" s="154" t="str">
        <f t="shared" si="350"/>
        <v>MGO</v>
      </c>
      <c r="AM323" s="164">
        <f t="shared" si="351"/>
        <v>1</v>
      </c>
    </row>
    <row r="324" spans="33:39" x14ac:dyDescent="0.25">
      <c r="AG324" s="154" t="s">
        <v>103</v>
      </c>
      <c r="AH324" s="154" t="s">
        <v>420</v>
      </c>
      <c r="AI324" s="154">
        <v>2023</v>
      </c>
      <c r="AJ324" s="154" t="str">
        <f t="shared" si="348"/>
        <v>Sea</v>
      </c>
      <c r="AK324" s="154" t="str">
        <f t="shared" si="349"/>
        <v>Container</v>
      </c>
      <c r="AL324" s="154" t="str">
        <f t="shared" si="350"/>
        <v>Hydrogen</v>
      </c>
      <c r="AM324" s="164">
        <f t="shared" si="351"/>
        <v>1</v>
      </c>
    </row>
    <row r="325" spans="33:39" x14ac:dyDescent="0.25">
      <c r="AG325" s="154" t="s">
        <v>103</v>
      </c>
      <c r="AH325" s="154" t="s">
        <v>420</v>
      </c>
      <c r="AI325" s="154">
        <v>2023</v>
      </c>
      <c r="AJ325" s="154" t="str">
        <f t="shared" si="348"/>
        <v>Sea</v>
      </c>
      <c r="AK325" s="154" t="str">
        <f t="shared" si="349"/>
        <v>Container</v>
      </c>
      <c r="AL325" s="154" t="str">
        <f t="shared" si="350"/>
        <v>Ammonia</v>
      </c>
      <c r="AM325" s="164">
        <f t="shared" si="351"/>
        <v>1</v>
      </c>
    </row>
    <row r="326" spans="33:39" x14ac:dyDescent="0.25">
      <c r="AG326" s="154" t="s">
        <v>103</v>
      </c>
      <c r="AH326" s="154" t="s">
        <v>420</v>
      </c>
      <c r="AI326" s="154">
        <v>2023</v>
      </c>
      <c r="AJ326" s="154" t="str">
        <f t="shared" si="348"/>
        <v>Sea</v>
      </c>
      <c r="AK326" s="154" t="str">
        <f t="shared" si="349"/>
        <v>Container</v>
      </c>
      <c r="AL326" s="154" t="str">
        <f t="shared" si="350"/>
        <v>Methanol</v>
      </c>
      <c r="AM326" s="164">
        <f t="shared" si="351"/>
        <v>1</v>
      </c>
    </row>
    <row r="327" spans="33:39" x14ac:dyDescent="0.25">
      <c r="AG327" s="154" t="s">
        <v>423</v>
      </c>
      <c r="AH327" s="154" t="s">
        <v>420</v>
      </c>
      <c r="AI327" s="154">
        <v>2023</v>
      </c>
      <c r="AJ327" s="154" t="str">
        <f>A58</f>
        <v>Sea</v>
      </c>
      <c r="AK327" s="154" t="str">
        <f t="shared" si="349"/>
        <v>Break bulk</v>
      </c>
      <c r="AL327" s="154" t="str">
        <f t="shared" si="350"/>
        <v>HFO</v>
      </c>
      <c r="AM327" s="164">
        <f>I58</f>
        <v>1</v>
      </c>
    </row>
    <row r="328" spans="33:39" x14ac:dyDescent="0.25">
      <c r="AG328" s="154" t="s">
        <v>423</v>
      </c>
      <c r="AH328" s="154" t="s">
        <v>420</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25">
      <c r="AG329" s="154" t="s">
        <v>103</v>
      </c>
      <c r="AH329" s="154" t="s">
        <v>420</v>
      </c>
      <c r="AI329" s="154">
        <v>2023</v>
      </c>
      <c r="AJ329" s="154" t="str">
        <f t="shared" si="352"/>
        <v>Sea</v>
      </c>
      <c r="AK329" s="154" t="str">
        <f t="shared" si="353"/>
        <v>Break bulk</v>
      </c>
      <c r="AL329" s="154" t="str">
        <f t="shared" si="354"/>
        <v>Hydrogen</v>
      </c>
      <c r="AM329" s="164">
        <f t="shared" si="355"/>
        <v>1</v>
      </c>
    </row>
    <row r="330" spans="33:39" x14ac:dyDescent="0.25">
      <c r="AG330" s="154" t="s">
        <v>103</v>
      </c>
      <c r="AH330" s="154" t="s">
        <v>420</v>
      </c>
      <c r="AI330" s="154">
        <v>2023</v>
      </c>
      <c r="AJ330" s="154" t="str">
        <f t="shared" si="352"/>
        <v>Sea</v>
      </c>
      <c r="AK330" s="154" t="str">
        <f t="shared" si="353"/>
        <v>Break bulk</v>
      </c>
      <c r="AL330" s="154" t="str">
        <f t="shared" si="354"/>
        <v>Ammonia</v>
      </c>
      <c r="AM330" s="164">
        <f t="shared" si="355"/>
        <v>1</v>
      </c>
    </row>
    <row r="331" spans="33:39" x14ac:dyDescent="0.25">
      <c r="AG331" s="154" t="s">
        <v>103</v>
      </c>
      <c r="AH331" s="154" t="s">
        <v>420</v>
      </c>
      <c r="AI331" s="154">
        <v>2023</v>
      </c>
      <c r="AJ331" s="154" t="str">
        <f t="shared" si="352"/>
        <v>Sea</v>
      </c>
      <c r="AK331" s="154" t="str">
        <f t="shared" si="353"/>
        <v>Break bulk</v>
      </c>
      <c r="AL331" s="154" t="str">
        <f t="shared" si="354"/>
        <v>Methanol</v>
      </c>
      <c r="AM331" s="164">
        <f t="shared" si="355"/>
        <v>1</v>
      </c>
    </row>
    <row r="332" spans="33:39" x14ac:dyDescent="0.25">
      <c r="AG332" s="154" t="s">
        <v>423</v>
      </c>
      <c r="AH332" s="154" t="s">
        <v>420</v>
      </c>
      <c r="AI332" s="154">
        <v>2023</v>
      </c>
      <c r="AJ332" s="154" t="str">
        <f t="shared" si="352"/>
        <v>Sea</v>
      </c>
      <c r="AK332" s="154" t="str">
        <f t="shared" si="353"/>
        <v>Neo bulk</v>
      </c>
      <c r="AL332" s="154" t="str">
        <f t="shared" si="354"/>
        <v>HFO</v>
      </c>
      <c r="AM332" s="164">
        <f t="shared" si="355"/>
        <v>1</v>
      </c>
    </row>
    <row r="333" spans="33:39" x14ac:dyDescent="0.25">
      <c r="AG333" s="154" t="s">
        <v>423</v>
      </c>
      <c r="AH333" s="154" t="s">
        <v>420</v>
      </c>
      <c r="AI333" s="154">
        <v>2023</v>
      </c>
      <c r="AJ333" s="154" t="str">
        <f t="shared" si="352"/>
        <v>Sea</v>
      </c>
      <c r="AK333" s="154" t="str">
        <f t="shared" si="353"/>
        <v>Neo bulk</v>
      </c>
      <c r="AL333" s="154" t="str">
        <f t="shared" si="354"/>
        <v>MGO</v>
      </c>
      <c r="AM333" s="164">
        <f t="shared" si="355"/>
        <v>1</v>
      </c>
    </row>
    <row r="334" spans="33:39" x14ac:dyDescent="0.25">
      <c r="AG334" s="154" t="s">
        <v>103</v>
      </c>
      <c r="AH334" s="154" t="s">
        <v>420</v>
      </c>
      <c r="AI334" s="154">
        <v>2023</v>
      </c>
      <c r="AJ334" s="154" t="str">
        <f>A65</f>
        <v>Sea</v>
      </c>
      <c r="AK334" s="154" t="str">
        <f t="shared" si="353"/>
        <v>Neo bulk</v>
      </c>
      <c r="AL334" s="154" t="str">
        <f t="shared" si="354"/>
        <v>Hydrogen</v>
      </c>
      <c r="AM334" s="164">
        <f>I65</f>
        <v>1</v>
      </c>
    </row>
    <row r="335" spans="33:39" x14ac:dyDescent="0.25">
      <c r="AG335" s="154" t="s">
        <v>103</v>
      </c>
      <c r="AH335" s="154" t="s">
        <v>420</v>
      </c>
      <c r="AI335" s="154">
        <v>2023</v>
      </c>
      <c r="AJ335" s="154" t="str">
        <f t="shared" ref="AJ335" si="356">A66</f>
        <v>Sea</v>
      </c>
      <c r="AK335" s="154" t="str">
        <f t="shared" si="353"/>
        <v>Neo bulk</v>
      </c>
      <c r="AL335" s="154" t="str">
        <f t="shared" si="354"/>
        <v>Ammonia</v>
      </c>
      <c r="AM335" s="164">
        <f t="shared" ref="AM335" si="357">I66</f>
        <v>1</v>
      </c>
    </row>
    <row r="336" spans="33:39" x14ac:dyDescent="0.25">
      <c r="AG336" s="154" t="s">
        <v>103</v>
      </c>
      <c r="AH336" s="154" t="s">
        <v>420</v>
      </c>
      <c r="AI336" s="154">
        <v>2023</v>
      </c>
      <c r="AJ336" s="154" t="str">
        <f>A67</f>
        <v>Sea</v>
      </c>
      <c r="AK336" s="154" t="str">
        <f t="shared" si="353"/>
        <v>Neo bulk</v>
      </c>
      <c r="AL336" s="154" t="str">
        <f t="shared" si="354"/>
        <v>Methanol</v>
      </c>
      <c r="AM336" s="164">
        <f>I67</f>
        <v>1</v>
      </c>
    </row>
    <row r="337" spans="33:39" x14ac:dyDescent="0.25">
      <c r="AG337" s="154" t="s">
        <v>423</v>
      </c>
      <c r="AH337" s="154" t="s">
        <v>421</v>
      </c>
      <c r="AI337" s="154">
        <v>2023</v>
      </c>
      <c r="AJ337" s="154" t="str">
        <f>A48</f>
        <v>Sea</v>
      </c>
      <c r="AK337" s="154" t="str">
        <f t="shared" ref="AK337:AL337" si="358">B48</f>
        <v>Dry bulk</v>
      </c>
      <c r="AL337" s="154" t="str">
        <f t="shared" si="358"/>
        <v>HFO</v>
      </c>
      <c r="AM337" s="164">
        <f>J48</f>
        <v>0.9540144524332751</v>
      </c>
    </row>
    <row r="338" spans="33:39" x14ac:dyDescent="0.25">
      <c r="AG338" s="154" t="s">
        <v>423</v>
      </c>
      <c r="AH338" s="154" t="s">
        <v>421</v>
      </c>
      <c r="AI338" s="154">
        <v>2023</v>
      </c>
      <c r="AJ338" s="154" t="str">
        <f t="shared" ref="AJ338:AJ349" si="359">A49</f>
        <v>Sea</v>
      </c>
      <c r="AK338" s="154" t="str">
        <f t="shared" ref="AK338:AK350" si="360">B49</f>
        <v>Dry bulk</v>
      </c>
      <c r="AL338" s="154" t="str">
        <f t="shared" ref="AL338:AL350" si="361">C49</f>
        <v>MGO</v>
      </c>
      <c r="AM338" s="164">
        <f t="shared" ref="AM338:AM349" si="362">J49</f>
        <v>0.93318422593657946</v>
      </c>
    </row>
    <row r="339" spans="33:39" x14ac:dyDescent="0.25">
      <c r="AG339" s="154" t="s">
        <v>103</v>
      </c>
      <c r="AH339" s="154" t="s">
        <v>421</v>
      </c>
      <c r="AI339" s="154">
        <v>2023</v>
      </c>
      <c r="AJ339" s="154" t="str">
        <f t="shared" si="359"/>
        <v>Sea</v>
      </c>
      <c r="AK339" s="154" t="str">
        <f t="shared" si="360"/>
        <v>Dry bulk</v>
      </c>
      <c r="AL339" s="154" t="str">
        <f t="shared" si="361"/>
        <v>Hydrogen</v>
      </c>
      <c r="AM339" s="164">
        <f t="shared" si="362"/>
        <v>0.96146417529559902</v>
      </c>
    </row>
    <row r="340" spans="33:39" x14ac:dyDescent="0.25">
      <c r="AG340" s="154" t="s">
        <v>103</v>
      </c>
      <c r="AH340" s="154" t="s">
        <v>421</v>
      </c>
      <c r="AI340" s="154">
        <v>2023</v>
      </c>
      <c r="AJ340" s="154" t="str">
        <f t="shared" si="359"/>
        <v>Sea</v>
      </c>
      <c r="AK340" s="154" t="str">
        <f t="shared" si="360"/>
        <v>Dry bulk</v>
      </c>
      <c r="AL340" s="154" t="str">
        <f t="shared" si="361"/>
        <v>Ammonia</v>
      </c>
      <c r="AM340" s="164">
        <f t="shared" si="362"/>
        <v>0.95273613491746512</v>
      </c>
    </row>
    <row r="341" spans="33:39" x14ac:dyDescent="0.25">
      <c r="AG341" s="154" t="s">
        <v>103</v>
      </c>
      <c r="AH341" s="154" t="s">
        <v>421</v>
      </c>
      <c r="AI341" s="154">
        <v>2023</v>
      </c>
      <c r="AJ341" s="154" t="str">
        <f t="shared" si="359"/>
        <v>Sea</v>
      </c>
      <c r="AK341" s="154" t="str">
        <f t="shared" si="360"/>
        <v>Dry bulk</v>
      </c>
      <c r="AL341" s="154" t="str">
        <f t="shared" si="361"/>
        <v>Methanol</v>
      </c>
      <c r="AM341" s="164">
        <f t="shared" si="362"/>
        <v>0.97064367546430808</v>
      </c>
    </row>
    <row r="342" spans="33:39" x14ac:dyDescent="0.25">
      <c r="AG342" s="154" t="s">
        <v>423</v>
      </c>
      <c r="AH342" s="154" t="s">
        <v>421</v>
      </c>
      <c r="AI342" s="154">
        <v>2023</v>
      </c>
      <c r="AJ342" s="154" t="str">
        <f t="shared" si="359"/>
        <v>Sea</v>
      </c>
      <c r="AK342" s="154" t="str">
        <f t="shared" si="360"/>
        <v>Container</v>
      </c>
      <c r="AL342" s="154" t="str">
        <f t="shared" si="361"/>
        <v>HFO</v>
      </c>
      <c r="AM342" s="164">
        <f t="shared" si="362"/>
        <v>0.95739313812106819</v>
      </c>
    </row>
    <row r="343" spans="33:39" x14ac:dyDescent="0.25">
      <c r="AG343" s="154" t="s">
        <v>423</v>
      </c>
      <c r="AH343" s="154" t="s">
        <v>421</v>
      </c>
      <c r="AI343" s="154">
        <v>2023</v>
      </c>
      <c r="AJ343" s="154" t="str">
        <f t="shared" si="359"/>
        <v>Sea</v>
      </c>
      <c r="AK343" s="154" t="str">
        <f t="shared" si="360"/>
        <v>Container</v>
      </c>
      <c r="AL343" s="154" t="str">
        <f t="shared" si="361"/>
        <v>MGO</v>
      </c>
      <c r="AM343" s="164">
        <f t="shared" si="362"/>
        <v>0.93646574423698159</v>
      </c>
    </row>
    <row r="344" spans="33:39" x14ac:dyDescent="0.25">
      <c r="AG344" s="154" t="s">
        <v>103</v>
      </c>
      <c r="AH344" s="154" t="s">
        <v>421</v>
      </c>
      <c r="AI344" s="154">
        <v>2023</v>
      </c>
      <c r="AJ344" s="154" t="str">
        <f t="shared" si="359"/>
        <v>Sea</v>
      </c>
      <c r="AK344" s="154" t="str">
        <f t="shared" si="360"/>
        <v>Container</v>
      </c>
      <c r="AL344" s="154" t="str">
        <f t="shared" si="361"/>
        <v>Hydrogen</v>
      </c>
      <c r="AM344" s="164">
        <f t="shared" si="362"/>
        <v>0.96240955690171293</v>
      </c>
    </row>
    <row r="345" spans="33:39" x14ac:dyDescent="0.25">
      <c r="AG345" s="154" t="s">
        <v>103</v>
      </c>
      <c r="AH345" s="154" t="s">
        <v>421</v>
      </c>
      <c r="AI345" s="154">
        <v>2023</v>
      </c>
      <c r="AJ345" s="154" t="str">
        <f t="shared" si="359"/>
        <v>Sea</v>
      </c>
      <c r="AK345" s="154" t="str">
        <f t="shared" si="360"/>
        <v>Container</v>
      </c>
      <c r="AL345" s="154" t="str">
        <f t="shared" si="361"/>
        <v>Ammonia</v>
      </c>
      <c r="AM345" s="164">
        <f t="shared" si="362"/>
        <v>0.9539923433951204</v>
      </c>
    </row>
    <row r="346" spans="33:39" x14ac:dyDescent="0.25">
      <c r="AG346" s="154" t="s">
        <v>103</v>
      </c>
      <c r="AH346" s="154" t="s">
        <v>421</v>
      </c>
      <c r="AI346" s="154">
        <v>2023</v>
      </c>
      <c r="AJ346" s="154" t="str">
        <f t="shared" si="359"/>
        <v>Sea</v>
      </c>
      <c r="AK346" s="154" t="str">
        <f t="shared" si="360"/>
        <v>Container</v>
      </c>
      <c r="AL346" s="154" t="str">
        <f t="shared" si="361"/>
        <v>Methanol</v>
      </c>
      <c r="AM346" s="164">
        <f t="shared" si="362"/>
        <v>0.97104646495867697</v>
      </c>
    </row>
    <row r="347" spans="33:39" x14ac:dyDescent="0.25">
      <c r="AG347" s="154" t="s">
        <v>423</v>
      </c>
      <c r="AH347" s="154" t="s">
        <v>421</v>
      </c>
      <c r="AI347" s="154">
        <v>2023</v>
      </c>
      <c r="AJ347" s="154" t="str">
        <f t="shared" si="359"/>
        <v>Sea</v>
      </c>
      <c r="AK347" s="154" t="str">
        <f t="shared" si="360"/>
        <v>Break bulk</v>
      </c>
      <c r="AL347" s="154" t="str">
        <f t="shared" si="361"/>
        <v>HFO</v>
      </c>
      <c r="AM347" s="164">
        <f t="shared" si="362"/>
        <v>0.95400153203318749</v>
      </c>
    </row>
    <row r="348" spans="33:39" x14ac:dyDescent="0.25">
      <c r="AG348" s="154" t="s">
        <v>423</v>
      </c>
      <c r="AH348" s="154" t="s">
        <v>421</v>
      </c>
      <c r="AI348" s="154">
        <v>2023</v>
      </c>
      <c r="AJ348" s="154" t="str">
        <f t="shared" si="359"/>
        <v>Sea</v>
      </c>
      <c r="AK348" s="154" t="str">
        <f t="shared" si="360"/>
        <v>Break bulk</v>
      </c>
      <c r="AL348" s="154" t="str">
        <f t="shared" si="361"/>
        <v>MGO</v>
      </c>
      <c r="AM348" s="164">
        <f t="shared" si="362"/>
        <v>0.93317199978713794</v>
      </c>
    </row>
    <row r="349" spans="33:39" x14ac:dyDescent="0.25">
      <c r="AG349" s="154" t="s">
        <v>103</v>
      </c>
      <c r="AH349" s="154" t="s">
        <v>421</v>
      </c>
      <c r="AI349" s="154">
        <v>2023</v>
      </c>
      <c r="AJ349" s="154" t="str">
        <f t="shared" si="359"/>
        <v>Sea</v>
      </c>
      <c r="AK349" s="154" t="str">
        <f t="shared" si="360"/>
        <v>Break bulk</v>
      </c>
      <c r="AL349" s="154" t="str">
        <f t="shared" si="361"/>
        <v>Hydrogen</v>
      </c>
      <c r="AM349" s="164">
        <f t="shared" si="362"/>
        <v>0.96146004754148318</v>
      </c>
    </row>
    <row r="350" spans="33:39" x14ac:dyDescent="0.25">
      <c r="AG350" s="154" t="s">
        <v>103</v>
      </c>
      <c r="AH350" s="154" t="s">
        <v>421</v>
      </c>
      <c r="AI350" s="154">
        <v>2023</v>
      </c>
      <c r="AJ350" s="154" t="str">
        <f>A61</f>
        <v>Sea</v>
      </c>
      <c r="AK350" s="154" t="str">
        <f t="shared" si="360"/>
        <v>Break bulk</v>
      </c>
      <c r="AL350" s="154" t="str">
        <f t="shared" si="361"/>
        <v>Ammonia</v>
      </c>
      <c r="AM350" s="164">
        <f>J61</f>
        <v>0.95273082359263117</v>
      </c>
    </row>
    <row r="351" spans="33:39" x14ac:dyDescent="0.25">
      <c r="AG351" s="154" t="s">
        <v>103</v>
      </c>
      <c r="AH351" s="154" t="s">
        <v>421</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25">
      <c r="AG352" s="154" t="s">
        <v>423</v>
      </c>
      <c r="AH352" s="154" t="s">
        <v>421</v>
      </c>
      <c r="AI352" s="154">
        <v>2023</v>
      </c>
      <c r="AJ352" s="154" t="str">
        <f t="shared" si="363"/>
        <v>Sea</v>
      </c>
      <c r="AK352" s="154" t="str">
        <f t="shared" si="364"/>
        <v>Neo bulk</v>
      </c>
      <c r="AL352" s="154" t="str">
        <f t="shared" si="365"/>
        <v>HFO</v>
      </c>
      <c r="AM352" s="164">
        <f t="shared" si="366"/>
        <v>0.95397930577775814</v>
      </c>
    </row>
    <row r="353" spans="33:39" x14ac:dyDescent="0.25">
      <c r="AG353" s="154" t="s">
        <v>423</v>
      </c>
      <c r="AH353" s="154" t="s">
        <v>421</v>
      </c>
      <c r="AI353" s="154">
        <v>2023</v>
      </c>
      <c r="AJ353" s="154" t="str">
        <f t="shared" si="363"/>
        <v>Sea</v>
      </c>
      <c r="AK353" s="154" t="str">
        <f t="shared" si="364"/>
        <v>Neo bulk</v>
      </c>
      <c r="AL353" s="154" t="str">
        <f t="shared" si="365"/>
        <v>MGO</v>
      </c>
      <c r="AM353" s="164">
        <f t="shared" si="366"/>
        <v>0.93315097341633613</v>
      </c>
    </row>
    <row r="354" spans="33:39" x14ac:dyDescent="0.25">
      <c r="AG354" s="154" t="s">
        <v>103</v>
      </c>
      <c r="AH354" s="154" t="s">
        <v>421</v>
      </c>
      <c r="AI354" s="154">
        <v>2023</v>
      </c>
      <c r="AJ354" s="154" t="str">
        <f t="shared" si="363"/>
        <v>Sea</v>
      </c>
      <c r="AK354" s="154" t="str">
        <f t="shared" si="364"/>
        <v>Neo bulk</v>
      </c>
      <c r="AL354" s="154" t="str">
        <f t="shared" si="365"/>
        <v>Hydrogen</v>
      </c>
      <c r="AM354" s="164">
        <f t="shared" si="366"/>
        <v>0.96145488307403493</v>
      </c>
    </row>
    <row r="355" spans="33:39" x14ac:dyDescent="0.25">
      <c r="AG355" s="154" t="s">
        <v>103</v>
      </c>
      <c r="AH355" s="154" t="s">
        <v>421</v>
      </c>
      <c r="AI355" s="154">
        <v>2023</v>
      </c>
      <c r="AJ355" s="154" t="str">
        <f t="shared" si="363"/>
        <v>Sea</v>
      </c>
      <c r="AK355" s="154" t="str">
        <f t="shared" si="364"/>
        <v>Neo bulk</v>
      </c>
      <c r="AL355" s="154" t="str">
        <f t="shared" si="365"/>
        <v>Ammonia</v>
      </c>
      <c r="AM355" s="164">
        <f t="shared" si="366"/>
        <v>0.95272374928097547</v>
      </c>
    </row>
    <row r="356" spans="33:39" x14ac:dyDescent="0.25">
      <c r="AG356" s="154" t="s">
        <v>103</v>
      </c>
      <c r="AH356" s="154" t="s">
        <v>421</v>
      </c>
      <c r="AI356" s="154">
        <v>2023</v>
      </c>
      <c r="AJ356" s="154" t="str">
        <f t="shared" si="363"/>
        <v>Sea</v>
      </c>
      <c r="AK356" s="154" t="str">
        <f t="shared" si="364"/>
        <v>Neo bulk</v>
      </c>
      <c r="AL356" s="154" t="str">
        <f t="shared" si="365"/>
        <v>Methanol</v>
      </c>
      <c r="AM356" s="164">
        <f t="shared" si="366"/>
        <v>0.97063974897970484</v>
      </c>
    </row>
    <row r="357" spans="33:39" x14ac:dyDescent="0.25">
      <c r="AG357" s="154" t="s">
        <v>423</v>
      </c>
      <c r="AH357" s="154" t="s">
        <v>422</v>
      </c>
      <c r="AI357" s="154">
        <v>2023</v>
      </c>
      <c r="AJ357" s="154" t="str">
        <f>A48</f>
        <v>Sea</v>
      </c>
      <c r="AK357" s="154" t="str">
        <f t="shared" ref="AK357:AL357" si="367">B48</f>
        <v>Dry bulk</v>
      </c>
      <c r="AL357" s="154" t="str">
        <f t="shared" si="367"/>
        <v>HFO</v>
      </c>
      <c r="AM357" s="164">
        <f>K48</f>
        <v>1.0158075319760618</v>
      </c>
    </row>
    <row r="358" spans="33:39" x14ac:dyDescent="0.25">
      <c r="AG358" s="154" t="s">
        <v>423</v>
      </c>
      <c r="AH358" s="154" t="s">
        <v>422</v>
      </c>
      <c r="AI358" s="154">
        <v>2023</v>
      </c>
      <c r="AJ358" s="154" t="str">
        <f t="shared" ref="AJ358:AJ376" si="368">A49</f>
        <v>Sea</v>
      </c>
      <c r="AK358" s="154" t="str">
        <f t="shared" ref="AK358:AK376" si="369">B49</f>
        <v>Dry bulk</v>
      </c>
      <c r="AL358" s="154" t="str">
        <f t="shared" ref="AL358:AL376" si="370">C49</f>
        <v>MGO</v>
      </c>
      <c r="AM358" s="164">
        <f t="shared" ref="AM358:AM376" si="371">K49</f>
        <v>1.0229679223343009</v>
      </c>
    </row>
    <row r="359" spans="33:39" x14ac:dyDescent="0.25">
      <c r="AG359" s="154" t="s">
        <v>103</v>
      </c>
      <c r="AH359" s="154" t="s">
        <v>422</v>
      </c>
      <c r="AI359" s="154">
        <v>2023</v>
      </c>
      <c r="AJ359" s="154" t="str">
        <f t="shared" si="368"/>
        <v>Sea</v>
      </c>
      <c r="AK359" s="154" t="str">
        <f t="shared" si="369"/>
        <v>Dry bulk</v>
      </c>
      <c r="AL359" s="154" t="str">
        <f t="shared" si="370"/>
        <v>Hydrogen</v>
      </c>
      <c r="AM359" s="164">
        <f t="shared" si="371"/>
        <v>1.0879864205678518</v>
      </c>
    </row>
    <row r="360" spans="33:39" x14ac:dyDescent="0.25">
      <c r="AG360" s="154" t="s">
        <v>103</v>
      </c>
      <c r="AH360" s="154" t="s">
        <v>422</v>
      </c>
      <c r="AI360" s="154">
        <v>2023</v>
      </c>
      <c r="AJ360" s="154" t="str">
        <f t="shared" si="368"/>
        <v>Sea</v>
      </c>
      <c r="AK360" s="154" t="str">
        <f t="shared" si="369"/>
        <v>Dry bulk</v>
      </c>
      <c r="AL360" s="154" t="str">
        <f t="shared" si="370"/>
        <v>Ammonia</v>
      </c>
      <c r="AM360" s="164">
        <f t="shared" si="371"/>
        <v>1.1079146052462492</v>
      </c>
    </row>
    <row r="361" spans="33:39" x14ac:dyDescent="0.25">
      <c r="AG361" s="154" t="s">
        <v>103</v>
      </c>
      <c r="AH361" s="154" t="s">
        <v>422</v>
      </c>
      <c r="AI361" s="154">
        <v>2023</v>
      </c>
      <c r="AJ361" s="154" t="str">
        <f t="shared" si="368"/>
        <v>Sea</v>
      </c>
      <c r="AK361" s="154" t="str">
        <f t="shared" si="369"/>
        <v>Dry bulk</v>
      </c>
      <c r="AL361" s="154" t="str">
        <f t="shared" si="370"/>
        <v>Methanol</v>
      </c>
      <c r="AM361" s="164">
        <f t="shared" si="371"/>
        <v>1.0670274461942104</v>
      </c>
    </row>
    <row r="362" spans="33:39" x14ac:dyDescent="0.25">
      <c r="AG362" s="154" t="s">
        <v>423</v>
      </c>
      <c r="AH362" s="154" t="s">
        <v>422</v>
      </c>
      <c r="AI362" s="154">
        <v>2023</v>
      </c>
      <c r="AJ362" s="154" t="str">
        <f t="shared" si="368"/>
        <v>Sea</v>
      </c>
      <c r="AK362" s="154" t="str">
        <f t="shared" si="369"/>
        <v>Container</v>
      </c>
      <c r="AL362" s="154" t="str">
        <f t="shared" si="370"/>
        <v>HFO</v>
      </c>
      <c r="AM362" s="164">
        <f t="shared" si="371"/>
        <v>1.0146461087708827</v>
      </c>
    </row>
    <row r="363" spans="33:39" x14ac:dyDescent="0.25">
      <c r="AG363" s="154" t="s">
        <v>423</v>
      </c>
      <c r="AH363" s="154" t="s">
        <v>422</v>
      </c>
      <c r="AI363" s="154">
        <v>2023</v>
      </c>
      <c r="AJ363" s="154" t="str">
        <f t="shared" si="368"/>
        <v>Sea</v>
      </c>
      <c r="AK363" s="154" t="str">
        <f t="shared" si="369"/>
        <v>Container</v>
      </c>
      <c r="AL363" s="154" t="str">
        <f t="shared" si="370"/>
        <v>MGO</v>
      </c>
      <c r="AM363" s="164">
        <f t="shared" si="371"/>
        <v>1.0218399004185375</v>
      </c>
    </row>
    <row r="364" spans="33:39" x14ac:dyDescent="0.25">
      <c r="AG364" s="154" t="s">
        <v>103</v>
      </c>
      <c r="AH364" s="154" t="s">
        <v>422</v>
      </c>
      <c r="AI364" s="154">
        <v>2023</v>
      </c>
      <c r="AJ364" s="154" t="str">
        <f t="shared" si="368"/>
        <v>Sea</v>
      </c>
      <c r="AK364" s="154" t="str">
        <f t="shared" si="369"/>
        <v>Container</v>
      </c>
      <c r="AL364" s="154" t="str">
        <f t="shared" si="370"/>
        <v>Hydrogen</v>
      </c>
      <c r="AM364" s="164">
        <f t="shared" si="371"/>
        <v>1.0858278903111178</v>
      </c>
    </row>
    <row r="365" spans="33:39" x14ac:dyDescent="0.25">
      <c r="AG365" s="154" t="s">
        <v>103</v>
      </c>
      <c r="AH365" s="154" t="s">
        <v>422</v>
      </c>
      <c r="AI365" s="154">
        <v>2023</v>
      </c>
      <c r="AJ365" s="154" t="str">
        <f t="shared" si="368"/>
        <v>Sea</v>
      </c>
      <c r="AK365" s="154" t="str">
        <f t="shared" si="369"/>
        <v>Container</v>
      </c>
      <c r="AL365" s="154" t="str">
        <f t="shared" si="370"/>
        <v>Ammonia</v>
      </c>
      <c r="AM365" s="164">
        <f t="shared" si="371"/>
        <v>1.1050463835776145</v>
      </c>
    </row>
    <row r="366" spans="33:39" x14ac:dyDescent="0.25">
      <c r="AG366" s="154" t="s">
        <v>103</v>
      </c>
      <c r="AH366" s="154" t="s">
        <v>422</v>
      </c>
      <c r="AI366" s="154">
        <v>2023</v>
      </c>
      <c r="AJ366" s="154" t="str">
        <f t="shared" si="368"/>
        <v>Sea</v>
      </c>
      <c r="AK366" s="154" t="str">
        <f t="shared" si="369"/>
        <v>Container</v>
      </c>
      <c r="AL366" s="154" t="str">
        <f t="shared" si="370"/>
        <v>Methanol</v>
      </c>
      <c r="AM366" s="164">
        <f t="shared" si="371"/>
        <v>1.0661077823197846</v>
      </c>
    </row>
    <row r="367" spans="33:39" x14ac:dyDescent="0.25">
      <c r="AG367" s="154" t="s">
        <v>423</v>
      </c>
      <c r="AH367" s="154" t="s">
        <v>422</v>
      </c>
      <c r="AI367" s="154">
        <v>2023</v>
      </c>
      <c r="AJ367" s="154" t="str">
        <f t="shared" si="368"/>
        <v>Sea</v>
      </c>
      <c r="AK367" s="154" t="str">
        <f t="shared" si="369"/>
        <v>Break bulk</v>
      </c>
      <c r="AL367" s="154" t="str">
        <f t="shared" si="370"/>
        <v>HFO</v>
      </c>
      <c r="AM367" s="164">
        <f t="shared" si="371"/>
        <v>1.0158119733635917</v>
      </c>
    </row>
    <row r="368" spans="33:39" x14ac:dyDescent="0.25">
      <c r="AG368" s="154" t="s">
        <v>423</v>
      </c>
      <c r="AH368" s="154" t="s">
        <v>422</v>
      </c>
      <c r="AI368" s="154">
        <v>2023</v>
      </c>
      <c r="AJ368" s="154" t="str">
        <f t="shared" si="368"/>
        <v>Sea</v>
      </c>
      <c r="AK368" s="154" t="str">
        <f t="shared" si="369"/>
        <v>Break bulk</v>
      </c>
      <c r="AL368" s="154" t="str">
        <f t="shared" si="370"/>
        <v>MGO</v>
      </c>
      <c r="AM368" s="164">
        <f t="shared" si="371"/>
        <v>1.0229721250731711</v>
      </c>
    </row>
    <row r="369" spans="33:39" x14ac:dyDescent="0.25">
      <c r="AG369" s="154" t="s">
        <v>103</v>
      </c>
      <c r="AH369" s="154" t="s">
        <v>422</v>
      </c>
      <c r="AI369" s="154">
        <v>2023</v>
      </c>
      <c r="AJ369" s="154" t="str">
        <f t="shared" si="368"/>
        <v>Sea</v>
      </c>
      <c r="AK369" s="154" t="str">
        <f t="shared" si="369"/>
        <v>Break bulk</v>
      </c>
      <c r="AL369" s="154" t="str">
        <f t="shared" si="370"/>
        <v>Hydrogen</v>
      </c>
      <c r="AM369" s="164">
        <f t="shared" si="371"/>
        <v>1.0879958452087526</v>
      </c>
    </row>
    <row r="370" spans="33:39" x14ac:dyDescent="0.25">
      <c r="AG370" s="154" t="s">
        <v>103</v>
      </c>
      <c r="AH370" s="154" t="s">
        <v>422</v>
      </c>
      <c r="AI370" s="154">
        <v>2023</v>
      </c>
      <c r="AJ370" s="154" t="str">
        <f t="shared" si="368"/>
        <v>Sea</v>
      </c>
      <c r="AK370" s="154" t="str">
        <f t="shared" si="369"/>
        <v>Break bulk</v>
      </c>
      <c r="AL370" s="154" t="str">
        <f t="shared" si="370"/>
        <v>Ammonia</v>
      </c>
      <c r="AM370" s="164">
        <f t="shared" si="371"/>
        <v>1.1079267322595985</v>
      </c>
    </row>
    <row r="371" spans="33:39" x14ac:dyDescent="0.25">
      <c r="AG371" s="154" t="s">
        <v>103</v>
      </c>
      <c r="AH371" s="154" t="s">
        <v>422</v>
      </c>
      <c r="AI371" s="154">
        <v>2023</v>
      </c>
      <c r="AJ371" s="154" t="str">
        <f t="shared" si="368"/>
        <v>Sea</v>
      </c>
      <c r="AK371" s="154" t="str">
        <f t="shared" si="369"/>
        <v>Break bulk</v>
      </c>
      <c r="AL371" s="154" t="str">
        <f t="shared" si="370"/>
        <v>Methanol</v>
      </c>
      <c r="AM371" s="164">
        <f t="shared" si="371"/>
        <v>1.0670310162428187</v>
      </c>
    </row>
    <row r="372" spans="33:39" x14ac:dyDescent="0.25">
      <c r="AG372" s="154" t="s">
        <v>423</v>
      </c>
      <c r="AH372" s="154" t="s">
        <v>422</v>
      </c>
      <c r="AI372" s="154">
        <v>2023</v>
      </c>
      <c r="AJ372" s="154" t="str">
        <f t="shared" si="368"/>
        <v>Sea</v>
      </c>
      <c r="AK372" s="154" t="str">
        <f t="shared" si="369"/>
        <v>Neo bulk</v>
      </c>
      <c r="AL372" s="154" t="str">
        <f t="shared" si="370"/>
        <v>HFO</v>
      </c>
      <c r="AM372" s="164">
        <f t="shared" si="371"/>
        <v>1.0158196136388957</v>
      </c>
    </row>
    <row r="373" spans="33:39" x14ac:dyDescent="0.25">
      <c r="AG373" s="154" t="s">
        <v>423</v>
      </c>
      <c r="AH373" s="154" t="s">
        <v>422</v>
      </c>
      <c r="AI373" s="154">
        <v>2023</v>
      </c>
      <c r="AJ373" s="154" t="str">
        <f t="shared" si="368"/>
        <v>Sea</v>
      </c>
      <c r="AK373" s="154" t="str">
        <f t="shared" si="369"/>
        <v>Neo bulk</v>
      </c>
      <c r="AL373" s="154" t="str">
        <f t="shared" si="370"/>
        <v>MGO</v>
      </c>
      <c r="AM373" s="164">
        <f t="shared" si="371"/>
        <v>1.0229793528881344</v>
      </c>
    </row>
    <row r="374" spans="33:39" x14ac:dyDescent="0.25">
      <c r="AG374" s="154" t="s">
        <v>103</v>
      </c>
      <c r="AH374" s="154" t="s">
        <v>422</v>
      </c>
      <c r="AI374" s="154">
        <v>2023</v>
      </c>
      <c r="AJ374" s="154" t="str">
        <f t="shared" si="368"/>
        <v>Sea</v>
      </c>
      <c r="AK374" s="154" t="str">
        <f t="shared" si="369"/>
        <v>Neo bulk</v>
      </c>
      <c r="AL374" s="154" t="str">
        <f t="shared" si="370"/>
        <v>Hydrogen</v>
      </c>
      <c r="AM374" s="164">
        <f t="shared" si="371"/>
        <v>1.0880076369118854</v>
      </c>
    </row>
    <row r="375" spans="33:39" x14ac:dyDescent="0.25">
      <c r="AG375" s="154" t="s">
        <v>103</v>
      </c>
      <c r="AH375" s="154" t="s">
        <v>422</v>
      </c>
      <c r="AI375" s="154">
        <v>2023</v>
      </c>
      <c r="AJ375" s="154" t="str">
        <f t="shared" si="368"/>
        <v>Sea</v>
      </c>
      <c r="AK375" s="154" t="str">
        <f t="shared" si="369"/>
        <v>Neo bulk</v>
      </c>
      <c r="AL375" s="154" t="str">
        <f t="shared" si="370"/>
        <v>Ammonia</v>
      </c>
      <c r="AM375" s="164">
        <f t="shared" si="371"/>
        <v>1.107942884589679</v>
      </c>
    </row>
    <row r="376" spans="33:39" x14ac:dyDescent="0.25">
      <c r="AG376" s="154" t="s">
        <v>103</v>
      </c>
      <c r="AH376" s="154" t="s">
        <v>422</v>
      </c>
      <c r="AI376" s="154">
        <v>2023</v>
      </c>
      <c r="AJ376" s="154" t="str">
        <f t="shared" si="368"/>
        <v>Sea</v>
      </c>
      <c r="AK376" s="154" t="str">
        <f t="shared" si="369"/>
        <v>Neo bulk</v>
      </c>
      <c r="AL376" s="154" t="str">
        <f t="shared" si="370"/>
        <v>Methanol</v>
      </c>
      <c r="AM376" s="164">
        <f t="shared" si="371"/>
        <v>1.067036411289114</v>
      </c>
    </row>
    <row r="377" spans="33:39" x14ac:dyDescent="0.25">
      <c r="AG377" s="154" t="s">
        <v>423</v>
      </c>
      <c r="AH377" s="154" t="s">
        <v>420</v>
      </c>
      <c r="AI377" s="154">
        <v>2034</v>
      </c>
      <c r="AJ377" s="154" t="str">
        <f>A48</f>
        <v>Sea</v>
      </c>
      <c r="AK377" s="154" t="str">
        <f t="shared" ref="AK377:AL377" si="372">B48</f>
        <v>Dry bulk</v>
      </c>
      <c r="AL377" s="154" t="str">
        <f t="shared" si="372"/>
        <v>HFO</v>
      </c>
      <c r="AM377" s="164">
        <f>S48</f>
        <v>1</v>
      </c>
    </row>
    <row r="378" spans="33:39" x14ac:dyDescent="0.25">
      <c r="AG378" s="154" t="s">
        <v>423</v>
      </c>
      <c r="AH378" s="154" t="s">
        <v>420</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25">
      <c r="AG379" s="154" t="s">
        <v>103</v>
      </c>
      <c r="AH379" s="154" t="s">
        <v>420</v>
      </c>
      <c r="AI379" s="154">
        <v>2034</v>
      </c>
      <c r="AJ379" s="154" t="str">
        <f t="shared" si="373"/>
        <v>Sea</v>
      </c>
      <c r="AK379" s="154" t="str">
        <f t="shared" si="374"/>
        <v>Dry bulk</v>
      </c>
      <c r="AL379" s="154" t="str">
        <f t="shared" si="375"/>
        <v>Hydrogen</v>
      </c>
      <c r="AM379" s="164">
        <f t="shared" si="376"/>
        <v>1</v>
      </c>
    </row>
    <row r="380" spans="33:39" x14ac:dyDescent="0.25">
      <c r="AG380" s="154" t="s">
        <v>103</v>
      </c>
      <c r="AH380" s="154" t="s">
        <v>420</v>
      </c>
      <c r="AI380" s="154">
        <v>2034</v>
      </c>
      <c r="AJ380" s="154" t="str">
        <f t="shared" si="373"/>
        <v>Sea</v>
      </c>
      <c r="AK380" s="154" t="str">
        <f t="shared" si="374"/>
        <v>Dry bulk</v>
      </c>
      <c r="AL380" s="154" t="str">
        <f t="shared" si="375"/>
        <v>Ammonia</v>
      </c>
      <c r="AM380" s="164">
        <f t="shared" si="376"/>
        <v>1</v>
      </c>
    </row>
    <row r="381" spans="33:39" x14ac:dyDescent="0.25">
      <c r="AG381" s="154" t="s">
        <v>103</v>
      </c>
      <c r="AH381" s="154" t="s">
        <v>420</v>
      </c>
      <c r="AI381" s="154">
        <v>2034</v>
      </c>
      <c r="AJ381" s="154" t="str">
        <f t="shared" si="373"/>
        <v>Sea</v>
      </c>
      <c r="AK381" s="154" t="str">
        <f t="shared" si="374"/>
        <v>Dry bulk</v>
      </c>
      <c r="AL381" s="154" t="str">
        <f t="shared" si="375"/>
        <v>Methanol</v>
      </c>
      <c r="AM381" s="164">
        <f t="shared" si="376"/>
        <v>1</v>
      </c>
    </row>
    <row r="382" spans="33:39" x14ac:dyDescent="0.25">
      <c r="AG382" s="154" t="s">
        <v>423</v>
      </c>
      <c r="AH382" s="154" t="s">
        <v>420</v>
      </c>
      <c r="AI382" s="154">
        <v>2034</v>
      </c>
      <c r="AJ382" s="154" t="str">
        <f t="shared" si="373"/>
        <v>Sea</v>
      </c>
      <c r="AK382" s="154" t="str">
        <f t="shared" si="374"/>
        <v>Container</v>
      </c>
      <c r="AL382" s="154" t="str">
        <f t="shared" si="375"/>
        <v>HFO</v>
      </c>
      <c r="AM382" s="164">
        <f t="shared" si="376"/>
        <v>1</v>
      </c>
    </row>
    <row r="383" spans="33:39" x14ac:dyDescent="0.25">
      <c r="AG383" s="154" t="s">
        <v>423</v>
      </c>
      <c r="AH383" s="154" t="s">
        <v>420</v>
      </c>
      <c r="AI383" s="154">
        <v>2034</v>
      </c>
      <c r="AJ383" s="154" t="str">
        <f t="shared" si="373"/>
        <v>Sea</v>
      </c>
      <c r="AK383" s="154" t="str">
        <f t="shared" si="374"/>
        <v>Container</v>
      </c>
      <c r="AL383" s="154" t="str">
        <f t="shared" si="375"/>
        <v>MGO</v>
      </c>
      <c r="AM383" s="164">
        <f t="shared" si="376"/>
        <v>1</v>
      </c>
    </row>
    <row r="384" spans="33:39" x14ac:dyDescent="0.25">
      <c r="AG384" s="154" t="s">
        <v>103</v>
      </c>
      <c r="AH384" s="154" t="s">
        <v>420</v>
      </c>
      <c r="AI384" s="154">
        <v>2034</v>
      </c>
      <c r="AJ384" s="154" t="str">
        <f t="shared" si="373"/>
        <v>Sea</v>
      </c>
      <c r="AK384" s="154" t="str">
        <f t="shared" si="374"/>
        <v>Container</v>
      </c>
      <c r="AL384" s="154" t="str">
        <f t="shared" si="375"/>
        <v>Hydrogen</v>
      </c>
      <c r="AM384" s="164">
        <f t="shared" si="376"/>
        <v>1</v>
      </c>
    </row>
    <row r="385" spans="33:39" x14ac:dyDescent="0.25">
      <c r="AG385" s="154" t="s">
        <v>103</v>
      </c>
      <c r="AH385" s="154" t="s">
        <v>420</v>
      </c>
      <c r="AI385" s="154">
        <v>2034</v>
      </c>
      <c r="AJ385" s="154" t="str">
        <f t="shared" si="373"/>
        <v>Sea</v>
      </c>
      <c r="AK385" s="154" t="str">
        <f t="shared" si="374"/>
        <v>Container</v>
      </c>
      <c r="AL385" s="154" t="str">
        <f t="shared" si="375"/>
        <v>Ammonia</v>
      </c>
      <c r="AM385" s="164">
        <f t="shared" si="376"/>
        <v>1</v>
      </c>
    </row>
    <row r="386" spans="33:39" x14ac:dyDescent="0.25">
      <c r="AG386" s="154" t="s">
        <v>103</v>
      </c>
      <c r="AH386" s="154" t="s">
        <v>420</v>
      </c>
      <c r="AI386" s="154">
        <v>2034</v>
      </c>
      <c r="AJ386" s="154" t="str">
        <f t="shared" si="373"/>
        <v>Sea</v>
      </c>
      <c r="AK386" s="154" t="str">
        <f t="shared" si="374"/>
        <v>Container</v>
      </c>
      <c r="AL386" s="154" t="str">
        <f t="shared" si="375"/>
        <v>Methanol</v>
      </c>
      <c r="AM386" s="164">
        <f t="shared" si="376"/>
        <v>1</v>
      </c>
    </row>
    <row r="387" spans="33:39" x14ac:dyDescent="0.25">
      <c r="AG387" s="154" t="s">
        <v>423</v>
      </c>
      <c r="AH387" s="154" t="s">
        <v>420</v>
      </c>
      <c r="AI387" s="154">
        <v>2034</v>
      </c>
      <c r="AJ387" s="154" t="str">
        <f t="shared" si="373"/>
        <v>Sea</v>
      </c>
      <c r="AK387" s="154" t="str">
        <f t="shared" si="374"/>
        <v>Break bulk</v>
      </c>
      <c r="AL387" s="154" t="str">
        <f t="shared" si="375"/>
        <v>HFO</v>
      </c>
      <c r="AM387" s="164">
        <f t="shared" si="376"/>
        <v>1</v>
      </c>
    </row>
    <row r="388" spans="33:39" x14ac:dyDescent="0.25">
      <c r="AG388" s="154" t="s">
        <v>423</v>
      </c>
      <c r="AH388" s="154" t="s">
        <v>420</v>
      </c>
      <c r="AI388" s="154">
        <v>2034</v>
      </c>
      <c r="AJ388" s="154" t="str">
        <f t="shared" si="373"/>
        <v>Sea</v>
      </c>
      <c r="AK388" s="154" t="str">
        <f t="shared" si="374"/>
        <v>Break bulk</v>
      </c>
      <c r="AL388" s="154" t="str">
        <f t="shared" si="375"/>
        <v>MGO</v>
      </c>
      <c r="AM388" s="164">
        <f t="shared" si="376"/>
        <v>1</v>
      </c>
    </row>
    <row r="389" spans="33:39" x14ac:dyDescent="0.25">
      <c r="AG389" s="154" t="s">
        <v>103</v>
      </c>
      <c r="AH389" s="154" t="s">
        <v>420</v>
      </c>
      <c r="AI389" s="154">
        <v>2034</v>
      </c>
      <c r="AJ389" s="154" t="str">
        <f t="shared" si="373"/>
        <v>Sea</v>
      </c>
      <c r="AK389" s="154" t="str">
        <f t="shared" si="374"/>
        <v>Break bulk</v>
      </c>
      <c r="AL389" s="154" t="str">
        <f t="shared" si="375"/>
        <v>Hydrogen</v>
      </c>
      <c r="AM389" s="164">
        <f t="shared" si="376"/>
        <v>1</v>
      </c>
    </row>
    <row r="390" spans="33:39" x14ac:dyDescent="0.25">
      <c r="AG390" s="154" t="s">
        <v>103</v>
      </c>
      <c r="AH390" s="154" t="s">
        <v>420</v>
      </c>
      <c r="AI390" s="154">
        <v>2034</v>
      </c>
      <c r="AJ390" s="154" t="str">
        <f t="shared" si="373"/>
        <v>Sea</v>
      </c>
      <c r="AK390" s="154" t="str">
        <f t="shared" si="374"/>
        <v>Break bulk</v>
      </c>
      <c r="AL390" s="154" t="str">
        <f t="shared" si="375"/>
        <v>Ammonia</v>
      </c>
      <c r="AM390" s="164">
        <f t="shared" si="376"/>
        <v>1</v>
      </c>
    </row>
    <row r="391" spans="33:39" x14ac:dyDescent="0.25">
      <c r="AG391" s="154" t="s">
        <v>103</v>
      </c>
      <c r="AH391" s="154" t="s">
        <v>420</v>
      </c>
      <c r="AI391" s="154">
        <v>2034</v>
      </c>
      <c r="AJ391" s="154" t="str">
        <f t="shared" si="373"/>
        <v>Sea</v>
      </c>
      <c r="AK391" s="154" t="str">
        <f t="shared" si="374"/>
        <v>Break bulk</v>
      </c>
      <c r="AL391" s="154" t="str">
        <f t="shared" si="375"/>
        <v>Methanol</v>
      </c>
      <c r="AM391" s="164">
        <f t="shared" si="376"/>
        <v>1</v>
      </c>
    </row>
    <row r="392" spans="33:39" x14ac:dyDescent="0.25">
      <c r="AG392" s="154" t="s">
        <v>423</v>
      </c>
      <c r="AH392" s="154" t="s">
        <v>420</v>
      </c>
      <c r="AI392" s="154">
        <v>2034</v>
      </c>
      <c r="AJ392" s="154" t="str">
        <f t="shared" si="373"/>
        <v>Sea</v>
      </c>
      <c r="AK392" s="154" t="str">
        <f t="shared" si="374"/>
        <v>Neo bulk</v>
      </c>
      <c r="AL392" s="154" t="str">
        <f t="shared" si="375"/>
        <v>HFO</v>
      </c>
      <c r="AM392" s="164">
        <f t="shared" si="376"/>
        <v>1</v>
      </c>
    </row>
    <row r="393" spans="33:39" x14ac:dyDescent="0.25">
      <c r="AG393" s="154" t="s">
        <v>423</v>
      </c>
      <c r="AH393" s="154" t="s">
        <v>420</v>
      </c>
      <c r="AI393" s="154">
        <v>2034</v>
      </c>
      <c r="AJ393" s="154" t="str">
        <f t="shared" si="373"/>
        <v>Sea</v>
      </c>
      <c r="AK393" s="154" t="str">
        <f t="shared" si="374"/>
        <v>Neo bulk</v>
      </c>
      <c r="AL393" s="154" t="str">
        <f t="shared" si="375"/>
        <v>MGO</v>
      </c>
      <c r="AM393" s="164">
        <f t="shared" si="376"/>
        <v>1</v>
      </c>
    </row>
    <row r="394" spans="33:39" x14ac:dyDescent="0.25">
      <c r="AG394" s="154" t="s">
        <v>103</v>
      </c>
      <c r="AH394" s="154" t="s">
        <v>420</v>
      </c>
      <c r="AI394" s="154">
        <v>2034</v>
      </c>
      <c r="AJ394" s="154" t="str">
        <f t="shared" si="373"/>
        <v>Sea</v>
      </c>
      <c r="AK394" s="154" t="str">
        <f t="shared" si="374"/>
        <v>Neo bulk</v>
      </c>
      <c r="AL394" s="154" t="str">
        <f t="shared" si="375"/>
        <v>Hydrogen</v>
      </c>
      <c r="AM394" s="164">
        <f t="shared" si="376"/>
        <v>1</v>
      </c>
    </row>
    <row r="395" spans="33:39" x14ac:dyDescent="0.25">
      <c r="AG395" s="154" t="s">
        <v>103</v>
      </c>
      <c r="AH395" s="154" t="s">
        <v>420</v>
      </c>
      <c r="AI395" s="154">
        <v>2034</v>
      </c>
      <c r="AJ395" s="154" t="str">
        <f t="shared" si="373"/>
        <v>Sea</v>
      </c>
      <c r="AK395" s="154" t="str">
        <f t="shared" si="374"/>
        <v>Neo bulk</v>
      </c>
      <c r="AL395" s="154" t="str">
        <f t="shared" si="375"/>
        <v>Ammonia</v>
      </c>
      <c r="AM395" s="164">
        <f t="shared" si="376"/>
        <v>1</v>
      </c>
    </row>
    <row r="396" spans="33:39" x14ac:dyDescent="0.25">
      <c r="AG396" s="154" t="s">
        <v>103</v>
      </c>
      <c r="AH396" s="154" t="s">
        <v>420</v>
      </c>
      <c r="AI396" s="154">
        <v>2034</v>
      </c>
      <c r="AJ396" s="154" t="str">
        <f t="shared" si="373"/>
        <v>Sea</v>
      </c>
      <c r="AK396" s="154" t="str">
        <f t="shared" si="374"/>
        <v>Neo bulk</v>
      </c>
      <c r="AL396" s="154" t="str">
        <f t="shared" si="375"/>
        <v>Methanol</v>
      </c>
      <c r="AM396" s="164">
        <f t="shared" si="376"/>
        <v>1</v>
      </c>
    </row>
    <row r="397" spans="33:39" x14ac:dyDescent="0.25">
      <c r="AG397" s="154" t="s">
        <v>423</v>
      </c>
      <c r="AH397" s="154" t="s">
        <v>421</v>
      </c>
      <c r="AI397" s="154">
        <v>2034</v>
      </c>
      <c r="AJ397" s="154" t="str">
        <f>A48</f>
        <v>Sea</v>
      </c>
      <c r="AK397" s="154" t="str">
        <f t="shared" ref="AK397:AL397" si="377">B48</f>
        <v>Dry bulk</v>
      </c>
      <c r="AL397" s="154" t="str">
        <f t="shared" si="377"/>
        <v>HFO</v>
      </c>
      <c r="AM397" s="164">
        <f>T48</f>
        <v>0.82870234801877418</v>
      </c>
    </row>
    <row r="398" spans="33:39" x14ac:dyDescent="0.25">
      <c r="AG398" s="154" t="s">
        <v>423</v>
      </c>
      <c r="AH398" s="154" t="s">
        <v>421</v>
      </c>
      <c r="AI398" s="154">
        <v>2034</v>
      </c>
      <c r="AJ398" s="154" t="str">
        <f t="shared" ref="AJ398:AJ416" si="378">A49</f>
        <v>Sea</v>
      </c>
      <c r="AK398" s="154" t="str">
        <f t="shared" ref="AK398:AK416" si="379">B49</f>
        <v>Dry bulk</v>
      </c>
      <c r="AL398" s="154" t="str">
        <f t="shared" ref="AL398:AL416" si="380">C49</f>
        <v>MGO</v>
      </c>
      <c r="AM398" s="164">
        <f t="shared" ref="AM398:AM416" si="381">T49</f>
        <v>0.73835121583803198</v>
      </c>
    </row>
    <row r="399" spans="33:39" x14ac:dyDescent="0.25">
      <c r="AG399" s="154" t="s">
        <v>103</v>
      </c>
      <c r="AH399" s="154" t="s">
        <v>421</v>
      </c>
      <c r="AI399" s="154">
        <v>2034</v>
      </c>
      <c r="AJ399" s="154" t="str">
        <f t="shared" si="378"/>
        <v>Sea</v>
      </c>
      <c r="AK399" s="154" t="str">
        <f t="shared" si="379"/>
        <v>Dry bulk</v>
      </c>
      <c r="AL399" s="154" t="str">
        <f t="shared" si="380"/>
        <v>Hydrogen</v>
      </c>
      <c r="AM399" s="164">
        <f t="shared" si="381"/>
        <v>0.93753665040880552</v>
      </c>
    </row>
    <row r="400" spans="33:39" x14ac:dyDescent="0.25">
      <c r="AG400" s="154" t="s">
        <v>103</v>
      </c>
      <c r="AH400" s="154" t="s">
        <v>421</v>
      </c>
      <c r="AI400" s="154">
        <v>2034</v>
      </c>
      <c r="AJ400" s="154" t="str">
        <f t="shared" si="378"/>
        <v>Sea</v>
      </c>
      <c r="AK400" s="154" t="str">
        <f t="shared" si="379"/>
        <v>Dry bulk</v>
      </c>
      <c r="AL400" s="154" t="str">
        <f t="shared" si="380"/>
        <v>Ammonia</v>
      </c>
      <c r="AM400" s="164">
        <f t="shared" si="381"/>
        <v>0.92804871734830874</v>
      </c>
    </row>
    <row r="401" spans="33:39" x14ac:dyDescent="0.25">
      <c r="AG401" s="154" t="s">
        <v>103</v>
      </c>
      <c r="AH401" s="154" t="s">
        <v>421</v>
      </c>
      <c r="AI401" s="154">
        <v>2034</v>
      </c>
      <c r="AJ401" s="154" t="str">
        <f t="shared" si="378"/>
        <v>Sea</v>
      </c>
      <c r="AK401" s="154" t="str">
        <f t="shared" si="379"/>
        <v>Dry bulk</v>
      </c>
      <c r="AL401" s="154" t="str">
        <f t="shared" si="380"/>
        <v>Methanol</v>
      </c>
      <c r="AM401" s="164">
        <f t="shared" si="381"/>
        <v>0.93916520712563734</v>
      </c>
    </row>
    <row r="402" spans="33:39" x14ac:dyDescent="0.25">
      <c r="AG402" s="154" t="s">
        <v>423</v>
      </c>
      <c r="AH402" s="154" t="s">
        <v>421</v>
      </c>
      <c r="AI402" s="154">
        <v>2034</v>
      </c>
      <c r="AJ402" s="154" t="str">
        <f t="shared" si="378"/>
        <v>Sea</v>
      </c>
      <c r="AK402" s="154" t="str">
        <f t="shared" si="379"/>
        <v>Container</v>
      </c>
      <c r="AL402" s="154" t="str">
        <f t="shared" si="380"/>
        <v>HFO</v>
      </c>
      <c r="AM402" s="164">
        <f t="shared" si="381"/>
        <v>0.84250689294898151</v>
      </c>
    </row>
    <row r="403" spans="33:39" x14ac:dyDescent="0.25">
      <c r="AG403" s="154" t="s">
        <v>423</v>
      </c>
      <c r="AH403" s="154" t="s">
        <v>421</v>
      </c>
      <c r="AI403" s="154">
        <v>2034</v>
      </c>
      <c r="AJ403" s="154" t="str">
        <f t="shared" si="378"/>
        <v>Sea</v>
      </c>
      <c r="AK403" s="154" t="str">
        <f t="shared" si="379"/>
        <v>Container</v>
      </c>
      <c r="AL403" s="154" t="str">
        <f t="shared" si="380"/>
        <v>MGO</v>
      </c>
      <c r="AM403" s="164">
        <f t="shared" si="381"/>
        <v>0.75316530828842887</v>
      </c>
    </row>
    <row r="404" spans="33:39" x14ac:dyDescent="0.25">
      <c r="AG404" s="154" t="s">
        <v>103</v>
      </c>
      <c r="AH404" s="154" t="s">
        <v>421</v>
      </c>
      <c r="AI404" s="154">
        <v>2034</v>
      </c>
      <c r="AJ404" s="154" t="str">
        <f t="shared" si="378"/>
        <v>Sea</v>
      </c>
      <c r="AK404" s="154" t="str">
        <f t="shared" si="379"/>
        <v>Container</v>
      </c>
      <c r="AL404" s="154" t="str">
        <f t="shared" si="380"/>
        <v>Hydrogen</v>
      </c>
      <c r="AM404" s="164">
        <f t="shared" si="381"/>
        <v>0.93928673148387354</v>
      </c>
    </row>
    <row r="405" spans="33:39" x14ac:dyDescent="0.25">
      <c r="AG405" s="154" t="s">
        <v>103</v>
      </c>
      <c r="AH405" s="154" t="s">
        <v>421</v>
      </c>
      <c r="AI405" s="154">
        <v>2034</v>
      </c>
      <c r="AJ405" s="154" t="str">
        <f t="shared" si="378"/>
        <v>Sea</v>
      </c>
      <c r="AK405" s="154" t="str">
        <f t="shared" si="379"/>
        <v>Container</v>
      </c>
      <c r="AL405" s="154" t="str">
        <f t="shared" si="380"/>
        <v>Ammonia</v>
      </c>
      <c r="AM405" s="164">
        <f t="shared" si="381"/>
        <v>0.93010321230847193</v>
      </c>
    </row>
    <row r="406" spans="33:39" x14ac:dyDescent="0.25">
      <c r="AG406" s="154" t="s">
        <v>103</v>
      </c>
      <c r="AH406" s="154" t="s">
        <v>421</v>
      </c>
      <c r="AI406" s="154">
        <v>2034</v>
      </c>
      <c r="AJ406" s="154" t="str">
        <f t="shared" si="378"/>
        <v>Sea</v>
      </c>
      <c r="AK406" s="154" t="str">
        <f t="shared" si="379"/>
        <v>Container</v>
      </c>
      <c r="AL406" s="154" t="str">
        <f t="shared" si="380"/>
        <v>Methanol</v>
      </c>
      <c r="AM406" s="164">
        <f t="shared" si="381"/>
        <v>0.94037487721817903</v>
      </c>
    </row>
    <row r="407" spans="33:39" x14ac:dyDescent="0.25">
      <c r="AG407" s="154" t="s">
        <v>423</v>
      </c>
      <c r="AH407" s="154" t="s">
        <v>421</v>
      </c>
      <c r="AI407" s="154">
        <v>2034</v>
      </c>
      <c r="AJ407" s="154" t="str">
        <f t="shared" si="378"/>
        <v>Sea</v>
      </c>
      <c r="AK407" s="154" t="str">
        <f t="shared" si="379"/>
        <v>Break bulk</v>
      </c>
      <c r="AL407" s="154" t="str">
        <f t="shared" si="380"/>
        <v>HFO</v>
      </c>
      <c r="AM407" s="164">
        <f t="shared" si="381"/>
        <v>0.82864914807630097</v>
      </c>
    </row>
    <row r="408" spans="33:39" x14ac:dyDescent="0.25">
      <c r="AG408" s="154" t="s">
        <v>423</v>
      </c>
      <c r="AH408" s="154" t="s">
        <v>421</v>
      </c>
      <c r="AI408" s="154">
        <v>2034</v>
      </c>
      <c r="AJ408" s="154" t="str">
        <f t="shared" si="378"/>
        <v>Sea</v>
      </c>
      <c r="AK408" s="154" t="str">
        <f t="shared" si="379"/>
        <v>Break bulk</v>
      </c>
      <c r="AL408" s="154" t="str">
        <f t="shared" si="380"/>
        <v>MGO</v>
      </c>
      <c r="AM408" s="164">
        <f t="shared" si="381"/>
        <v>0.73829558132911666</v>
      </c>
    </row>
    <row r="409" spans="33:39" x14ac:dyDescent="0.25">
      <c r="AG409" s="154" t="s">
        <v>103</v>
      </c>
      <c r="AH409" s="154" t="s">
        <v>421</v>
      </c>
      <c r="AI409" s="154">
        <v>2034</v>
      </c>
      <c r="AJ409" s="154" t="str">
        <f t="shared" si="378"/>
        <v>Sea</v>
      </c>
      <c r="AK409" s="154" t="str">
        <f t="shared" si="379"/>
        <v>Break bulk</v>
      </c>
      <c r="AL409" s="154" t="str">
        <f t="shared" si="380"/>
        <v>Hydrogen</v>
      </c>
      <c r="AM409" s="164">
        <f t="shared" si="381"/>
        <v>0.93752900864987176</v>
      </c>
    </row>
    <row r="410" spans="33:39" x14ac:dyDescent="0.25">
      <c r="AG410" s="154" t="s">
        <v>103</v>
      </c>
      <c r="AH410" s="154" t="s">
        <v>421</v>
      </c>
      <c r="AI410" s="154">
        <v>2034</v>
      </c>
      <c r="AJ410" s="154" t="str">
        <f t="shared" si="378"/>
        <v>Sea</v>
      </c>
      <c r="AK410" s="154" t="str">
        <f t="shared" si="379"/>
        <v>Break bulk</v>
      </c>
      <c r="AL410" s="154" t="str">
        <f t="shared" si="380"/>
        <v>Ammonia</v>
      </c>
      <c r="AM410" s="164">
        <f t="shared" si="381"/>
        <v>0.92804002894442783</v>
      </c>
    </row>
    <row r="411" spans="33:39" x14ac:dyDescent="0.25">
      <c r="AG411" s="154" t="s">
        <v>103</v>
      </c>
      <c r="AH411" s="154" t="s">
        <v>421</v>
      </c>
      <c r="AI411" s="154">
        <v>2034</v>
      </c>
      <c r="AJ411" s="154" t="str">
        <f t="shared" si="378"/>
        <v>Sea</v>
      </c>
      <c r="AK411" s="154" t="str">
        <f t="shared" si="379"/>
        <v>Break bulk</v>
      </c>
      <c r="AL411" s="154" t="str">
        <f t="shared" si="380"/>
        <v>Methanol</v>
      </c>
      <c r="AM411" s="164">
        <f t="shared" si="381"/>
        <v>0.93916048165345323</v>
      </c>
    </row>
    <row r="412" spans="33:39" x14ac:dyDescent="0.25">
      <c r="AG412" s="154" t="s">
        <v>423</v>
      </c>
      <c r="AH412" s="154" t="s">
        <v>421</v>
      </c>
      <c r="AI412" s="154">
        <v>2034</v>
      </c>
      <c r="AJ412" s="154" t="str">
        <f t="shared" si="378"/>
        <v>Sea</v>
      </c>
      <c r="AK412" s="154" t="str">
        <f t="shared" si="379"/>
        <v>Neo bulk</v>
      </c>
      <c r="AL412" s="154" t="str">
        <f t="shared" si="380"/>
        <v>HFO</v>
      </c>
      <c r="AM412" s="164">
        <f t="shared" si="381"/>
        <v>0.82855762376584252</v>
      </c>
    </row>
    <row r="413" spans="33:39" x14ac:dyDescent="0.25">
      <c r="AG413" s="154" t="s">
        <v>423</v>
      </c>
      <c r="AH413" s="154" t="s">
        <v>421</v>
      </c>
      <c r="AI413" s="154">
        <v>2034</v>
      </c>
      <c r="AJ413" s="154" t="str">
        <f t="shared" si="378"/>
        <v>Sea</v>
      </c>
      <c r="AK413" s="154" t="str">
        <f t="shared" si="379"/>
        <v>Neo bulk</v>
      </c>
      <c r="AL413" s="154" t="str">
        <f t="shared" si="380"/>
        <v>MGO</v>
      </c>
      <c r="AM413" s="164">
        <f t="shared" si="381"/>
        <v>0.73819989411925202</v>
      </c>
    </row>
    <row r="414" spans="33:39" x14ac:dyDescent="0.25">
      <c r="AG414" s="154" t="s">
        <v>103</v>
      </c>
      <c r="AH414" s="154" t="s">
        <v>421</v>
      </c>
      <c r="AI414" s="154">
        <v>2034</v>
      </c>
      <c r="AJ414" s="154" t="str">
        <f t="shared" si="378"/>
        <v>Sea</v>
      </c>
      <c r="AK414" s="154" t="str">
        <f t="shared" si="379"/>
        <v>Neo bulk</v>
      </c>
      <c r="AL414" s="154" t="str">
        <f t="shared" si="380"/>
        <v>Hydrogen</v>
      </c>
      <c r="AM414" s="164">
        <f t="shared" si="381"/>
        <v>0.93751938467810003</v>
      </c>
    </row>
    <row r="415" spans="33:39" x14ac:dyDescent="0.25">
      <c r="AG415" s="154" t="s">
        <v>103</v>
      </c>
      <c r="AH415" s="154" t="s">
        <v>421</v>
      </c>
      <c r="AI415" s="154">
        <v>2034</v>
      </c>
      <c r="AJ415" s="154" t="str">
        <f t="shared" si="378"/>
        <v>Sea</v>
      </c>
      <c r="AK415" s="154" t="str">
        <f t="shared" si="379"/>
        <v>Neo bulk</v>
      </c>
      <c r="AL415" s="154" t="str">
        <f t="shared" si="380"/>
        <v>Ammonia</v>
      </c>
      <c r="AM415" s="164">
        <f t="shared" si="381"/>
        <v>0.928028418354094</v>
      </c>
    </row>
    <row r="416" spans="33:39" x14ac:dyDescent="0.25">
      <c r="AG416" s="154" t="s">
        <v>103</v>
      </c>
      <c r="AH416" s="154" t="s">
        <v>421</v>
      </c>
      <c r="AI416" s="154">
        <v>2034</v>
      </c>
      <c r="AJ416" s="154" t="str">
        <f t="shared" si="378"/>
        <v>Sea</v>
      </c>
      <c r="AK416" s="154" t="str">
        <f t="shared" si="379"/>
        <v>Neo bulk</v>
      </c>
      <c r="AL416" s="154" t="str">
        <f t="shared" si="380"/>
        <v>Methanol</v>
      </c>
      <c r="AM416" s="164">
        <f t="shared" si="381"/>
        <v>0.93915334009684803</v>
      </c>
    </row>
    <row r="417" spans="33:39" x14ac:dyDescent="0.25">
      <c r="AG417" s="154" t="s">
        <v>423</v>
      </c>
      <c r="AH417" s="154" t="s">
        <v>422</v>
      </c>
      <c r="AI417" s="154">
        <v>2034</v>
      </c>
      <c r="AJ417" s="154" t="str">
        <f>A48</f>
        <v>Sea</v>
      </c>
      <c r="AK417" s="154" t="str">
        <f t="shared" ref="AK417:AL417" si="382">B48</f>
        <v>Dry bulk</v>
      </c>
      <c r="AL417" s="154" t="str">
        <f t="shared" si="382"/>
        <v>HFO</v>
      </c>
      <c r="AM417" s="164">
        <f>U48</f>
        <v>1.0704106913051665</v>
      </c>
    </row>
    <row r="418" spans="33:39" x14ac:dyDescent="0.25">
      <c r="AG418" s="154" t="s">
        <v>423</v>
      </c>
      <c r="AH418" s="154" t="s">
        <v>422</v>
      </c>
      <c r="AI418" s="154">
        <v>2034</v>
      </c>
      <c r="AJ418" s="154" t="str">
        <f t="shared" ref="AJ418:AJ436" si="383">A49</f>
        <v>Sea</v>
      </c>
      <c r="AK418" s="154" t="str">
        <f t="shared" ref="AK418:AK436" si="384">B49</f>
        <v>Dry bulk</v>
      </c>
      <c r="AL418" s="154" t="str">
        <f t="shared" ref="AL418:AL436" si="385">C49</f>
        <v>MGO</v>
      </c>
      <c r="AM418" s="164">
        <f t="shared" ref="AM418:AM436" si="386">U49</f>
        <v>1.1075488867414225</v>
      </c>
    </row>
    <row r="419" spans="33:39" x14ac:dyDescent="0.25">
      <c r="AG419" s="154" t="s">
        <v>103</v>
      </c>
      <c r="AH419" s="154" t="s">
        <v>422</v>
      </c>
      <c r="AI419" s="154">
        <v>2034</v>
      </c>
      <c r="AJ419" s="154" t="str">
        <f t="shared" si="383"/>
        <v>Sea</v>
      </c>
      <c r="AK419" s="154" t="str">
        <f t="shared" si="384"/>
        <v>Dry bulk</v>
      </c>
      <c r="AL419" s="154" t="str">
        <f t="shared" si="385"/>
        <v>Hydrogen</v>
      </c>
      <c r="AM419" s="164">
        <f t="shared" si="386"/>
        <v>1.0893628303785809</v>
      </c>
    </row>
    <row r="420" spans="33:39" x14ac:dyDescent="0.25">
      <c r="AG420" s="154" t="s">
        <v>103</v>
      </c>
      <c r="AH420" s="154" t="s">
        <v>422</v>
      </c>
      <c r="AI420" s="154">
        <v>2034</v>
      </c>
      <c r="AJ420" s="154" t="str">
        <f t="shared" si="383"/>
        <v>Sea</v>
      </c>
      <c r="AK420" s="154" t="str">
        <f t="shared" si="384"/>
        <v>Dry bulk</v>
      </c>
      <c r="AL420" s="154" t="str">
        <f t="shared" si="385"/>
        <v>Ammonia</v>
      </c>
      <c r="AM420" s="164">
        <f t="shared" si="386"/>
        <v>1.102936687020557</v>
      </c>
    </row>
    <row r="421" spans="33:39" x14ac:dyDescent="0.25">
      <c r="AG421" s="154" t="s">
        <v>103</v>
      </c>
      <c r="AH421" s="154" t="s">
        <v>422</v>
      </c>
      <c r="AI421" s="154">
        <v>2034</v>
      </c>
      <c r="AJ421" s="154" t="str">
        <f t="shared" si="383"/>
        <v>Sea</v>
      </c>
      <c r="AK421" s="154" t="str">
        <f t="shared" si="384"/>
        <v>Dry bulk</v>
      </c>
      <c r="AL421" s="154" t="str">
        <f t="shared" si="385"/>
        <v>Methanol</v>
      </c>
      <c r="AM421" s="164">
        <f t="shared" si="386"/>
        <v>1.0870329451162544</v>
      </c>
    </row>
    <row r="422" spans="33:39" x14ac:dyDescent="0.25">
      <c r="AG422" s="154" t="s">
        <v>423</v>
      </c>
      <c r="AH422" s="154" t="s">
        <v>422</v>
      </c>
      <c r="AI422" s="154">
        <v>2034</v>
      </c>
      <c r="AJ422" s="154" t="str">
        <f t="shared" si="383"/>
        <v>Sea</v>
      </c>
      <c r="AK422" s="154" t="str">
        <f t="shared" si="384"/>
        <v>Container</v>
      </c>
      <c r="AL422" s="154" t="str">
        <f t="shared" si="385"/>
        <v>HFO</v>
      </c>
      <c r="AM422" s="164">
        <f t="shared" si="386"/>
        <v>1.0647364305056337</v>
      </c>
    </row>
    <row r="423" spans="33:39" x14ac:dyDescent="0.25">
      <c r="AG423" s="154" t="s">
        <v>423</v>
      </c>
      <c r="AH423" s="154" t="s">
        <v>422</v>
      </c>
      <c r="AI423" s="154">
        <v>2034</v>
      </c>
      <c r="AJ423" s="154" t="str">
        <f t="shared" si="383"/>
        <v>Sea</v>
      </c>
      <c r="AK423" s="154" t="str">
        <f t="shared" si="384"/>
        <v>Container</v>
      </c>
      <c r="AL423" s="154" t="str">
        <f t="shared" si="385"/>
        <v>MGO</v>
      </c>
      <c r="AM423" s="164">
        <f t="shared" si="386"/>
        <v>1.1014596585562899</v>
      </c>
    </row>
    <row r="424" spans="33:39" x14ac:dyDescent="0.25">
      <c r="AG424" s="154" t="s">
        <v>103</v>
      </c>
      <c r="AH424" s="154" t="s">
        <v>422</v>
      </c>
      <c r="AI424" s="154">
        <v>2034</v>
      </c>
      <c r="AJ424" s="154" t="str">
        <f t="shared" si="383"/>
        <v>Sea</v>
      </c>
      <c r="AK424" s="154" t="str">
        <f t="shared" si="384"/>
        <v>Container</v>
      </c>
      <c r="AL424" s="154" t="str">
        <f t="shared" si="385"/>
        <v>Hydrogen</v>
      </c>
      <c r="AM424" s="164">
        <f t="shared" si="386"/>
        <v>1.0868590869949228</v>
      </c>
    </row>
    <row r="425" spans="33:39" x14ac:dyDescent="0.25">
      <c r="AG425" s="154" t="s">
        <v>103</v>
      </c>
      <c r="AH425" s="154" t="s">
        <v>422</v>
      </c>
      <c r="AI425" s="154">
        <v>2034</v>
      </c>
      <c r="AJ425" s="154" t="str">
        <f t="shared" si="383"/>
        <v>Sea</v>
      </c>
      <c r="AK425" s="154" t="str">
        <f t="shared" si="384"/>
        <v>Container</v>
      </c>
      <c r="AL425" s="154" t="str">
        <f t="shared" si="385"/>
        <v>Ammonia</v>
      </c>
      <c r="AM425" s="164">
        <f t="shared" si="386"/>
        <v>1.0999974356701199</v>
      </c>
    </row>
    <row r="426" spans="33:39" x14ac:dyDescent="0.25">
      <c r="AG426" s="154" t="s">
        <v>103</v>
      </c>
      <c r="AH426" s="154" t="s">
        <v>422</v>
      </c>
      <c r="AI426" s="154">
        <v>2034</v>
      </c>
      <c r="AJ426" s="154" t="str">
        <f t="shared" si="383"/>
        <v>Sea</v>
      </c>
      <c r="AK426" s="154" t="str">
        <f t="shared" si="384"/>
        <v>Container</v>
      </c>
      <c r="AL426" s="154" t="str">
        <f t="shared" si="385"/>
        <v>Methanol</v>
      </c>
      <c r="AM426" s="164">
        <f t="shared" si="386"/>
        <v>1.0853023375839761</v>
      </c>
    </row>
    <row r="427" spans="33:39" x14ac:dyDescent="0.25">
      <c r="AG427" s="154" t="s">
        <v>423</v>
      </c>
      <c r="AH427" s="154" t="s">
        <v>422</v>
      </c>
      <c r="AI427" s="154">
        <v>2034</v>
      </c>
      <c r="AJ427" s="154" t="str">
        <f t="shared" si="383"/>
        <v>Sea</v>
      </c>
      <c r="AK427" s="154" t="str">
        <f t="shared" si="384"/>
        <v>Break bulk</v>
      </c>
      <c r="AL427" s="154" t="str">
        <f t="shared" si="385"/>
        <v>HFO</v>
      </c>
      <c r="AM427" s="164">
        <f t="shared" si="386"/>
        <v>1.0704325587661827</v>
      </c>
    </row>
    <row r="428" spans="33:39" x14ac:dyDescent="0.25">
      <c r="AG428" s="154" t="s">
        <v>423</v>
      </c>
      <c r="AH428" s="154" t="s">
        <v>422</v>
      </c>
      <c r="AI428" s="154">
        <v>2034</v>
      </c>
      <c r="AJ428" s="154" t="str">
        <f t="shared" si="383"/>
        <v>Sea</v>
      </c>
      <c r="AK428" s="154" t="str">
        <f t="shared" si="384"/>
        <v>Break bulk</v>
      </c>
      <c r="AL428" s="154" t="str">
        <f t="shared" si="385"/>
        <v>MGO</v>
      </c>
      <c r="AM428" s="164">
        <f t="shared" si="386"/>
        <v>1.1075717549137987</v>
      </c>
    </row>
    <row r="429" spans="33:39" x14ac:dyDescent="0.25">
      <c r="AG429" s="154" t="s">
        <v>103</v>
      </c>
      <c r="AH429" s="154" t="s">
        <v>422</v>
      </c>
      <c r="AI429" s="154">
        <v>2034</v>
      </c>
      <c r="AJ429" s="154" t="str">
        <f t="shared" si="383"/>
        <v>Sea</v>
      </c>
      <c r="AK429" s="154" t="str">
        <f t="shared" si="384"/>
        <v>Break bulk</v>
      </c>
      <c r="AL429" s="154" t="str">
        <f t="shared" si="385"/>
        <v>Hydrogen</v>
      </c>
      <c r="AM429" s="164">
        <f t="shared" si="386"/>
        <v>1.0893737630168694</v>
      </c>
    </row>
    <row r="430" spans="33:39" x14ac:dyDescent="0.25">
      <c r="AG430" s="154" t="s">
        <v>103</v>
      </c>
      <c r="AH430" s="154" t="s">
        <v>422</v>
      </c>
      <c r="AI430" s="154">
        <v>2034</v>
      </c>
      <c r="AJ430" s="154" t="str">
        <f t="shared" si="383"/>
        <v>Sea</v>
      </c>
      <c r="AK430" s="154" t="str">
        <f t="shared" si="384"/>
        <v>Break bulk</v>
      </c>
      <c r="AL430" s="154" t="str">
        <f t="shared" si="385"/>
        <v>Ammonia</v>
      </c>
      <c r="AM430" s="164">
        <f t="shared" si="386"/>
        <v>1.1029491170353949</v>
      </c>
    </row>
    <row r="431" spans="33:39" x14ac:dyDescent="0.25">
      <c r="AG431" s="154" t="s">
        <v>103</v>
      </c>
      <c r="AH431" s="154" t="s">
        <v>422</v>
      </c>
      <c r="AI431" s="154">
        <v>2034</v>
      </c>
      <c r="AJ431" s="154" t="str">
        <f t="shared" si="383"/>
        <v>Sea</v>
      </c>
      <c r="AK431" s="154" t="str">
        <f t="shared" si="384"/>
        <v>Break bulk</v>
      </c>
      <c r="AL431" s="154" t="str">
        <f t="shared" si="385"/>
        <v>Methanol</v>
      </c>
      <c r="AM431" s="164">
        <f t="shared" si="386"/>
        <v>1.0870397055857457</v>
      </c>
    </row>
    <row r="432" spans="33:39" x14ac:dyDescent="0.25">
      <c r="AG432" s="154" t="s">
        <v>423</v>
      </c>
      <c r="AH432" s="154" t="s">
        <v>422</v>
      </c>
      <c r="AI432" s="154">
        <v>2034</v>
      </c>
      <c r="AJ432" s="154" t="str">
        <f t="shared" si="383"/>
        <v>Sea</v>
      </c>
      <c r="AK432" s="154" t="str">
        <f t="shared" si="384"/>
        <v>Neo bulk</v>
      </c>
      <c r="AL432" s="154" t="str">
        <f t="shared" si="385"/>
        <v>HFO</v>
      </c>
      <c r="AM432" s="164">
        <f t="shared" si="386"/>
        <v>1.0704701791882731</v>
      </c>
    </row>
    <row r="433" spans="33:39" x14ac:dyDescent="0.25">
      <c r="AG433" s="154" t="s">
        <v>423</v>
      </c>
      <c r="AH433" s="154" t="s">
        <v>422</v>
      </c>
      <c r="AI433" s="154">
        <v>2034</v>
      </c>
      <c r="AJ433" s="154" t="str">
        <f t="shared" si="383"/>
        <v>Sea</v>
      </c>
      <c r="AK433" s="154" t="str">
        <f t="shared" si="384"/>
        <v>Neo bulk</v>
      </c>
      <c r="AL433" s="154" t="str">
        <f t="shared" si="385"/>
        <v>MGO</v>
      </c>
      <c r="AM433" s="164">
        <f t="shared" si="386"/>
        <v>1.1076110864663196</v>
      </c>
    </row>
    <row r="434" spans="33:39" x14ac:dyDescent="0.25">
      <c r="AG434" s="154" t="s">
        <v>103</v>
      </c>
      <c r="AH434" s="154" t="s">
        <v>422</v>
      </c>
      <c r="AI434" s="154">
        <v>2034</v>
      </c>
      <c r="AJ434" s="154" t="str">
        <f t="shared" si="383"/>
        <v>Sea</v>
      </c>
      <c r="AK434" s="154" t="str">
        <f t="shared" si="384"/>
        <v>Neo bulk</v>
      </c>
      <c r="AL434" s="154" t="str">
        <f t="shared" si="385"/>
        <v>Hydrogen</v>
      </c>
      <c r="AM434" s="164">
        <f t="shared" si="386"/>
        <v>1.089387531496508</v>
      </c>
    </row>
    <row r="435" spans="33:39" x14ac:dyDescent="0.25">
      <c r="AG435" s="154" t="s">
        <v>103</v>
      </c>
      <c r="AH435" s="154" t="s">
        <v>422</v>
      </c>
      <c r="AI435" s="154">
        <v>2034</v>
      </c>
      <c r="AJ435" s="154" t="str">
        <f t="shared" si="383"/>
        <v>Sea</v>
      </c>
      <c r="AK435" s="154" t="str">
        <f t="shared" si="384"/>
        <v>Neo bulk</v>
      </c>
      <c r="AL435" s="154" t="str">
        <f t="shared" si="385"/>
        <v>Ammonia</v>
      </c>
      <c r="AM435" s="164">
        <f t="shared" si="386"/>
        <v>1.1029657276594071</v>
      </c>
    </row>
    <row r="436" spans="33:39" x14ac:dyDescent="0.25">
      <c r="AG436" s="154" t="s">
        <v>103</v>
      </c>
      <c r="AH436" s="154" t="s">
        <v>422</v>
      </c>
      <c r="AI436" s="154">
        <v>2034</v>
      </c>
      <c r="AJ436" s="154" t="str">
        <f t="shared" si="383"/>
        <v>Sea</v>
      </c>
      <c r="AK436" s="154" t="str">
        <f t="shared" si="384"/>
        <v>Neo bulk</v>
      </c>
      <c r="AL436" s="154" t="str">
        <f t="shared" si="385"/>
        <v>Methanol</v>
      </c>
      <c r="AM436" s="164">
        <f t="shared" si="386"/>
        <v>1.0870499226124619</v>
      </c>
    </row>
    <row r="437" spans="33:39" x14ac:dyDescent="0.25">
      <c r="AG437" s="154" t="s">
        <v>423</v>
      </c>
      <c r="AH437" s="154" t="s">
        <v>420</v>
      </c>
      <c r="AI437" s="154">
        <v>2050</v>
      </c>
      <c r="AJ437" s="154" t="str">
        <f>A48</f>
        <v>Sea</v>
      </c>
      <c r="AK437" s="154" t="str">
        <f t="shared" ref="AK437:AL437" si="387">B48</f>
        <v>Dry bulk</v>
      </c>
      <c r="AL437" s="154" t="str">
        <f t="shared" si="387"/>
        <v>HFO</v>
      </c>
      <c r="AM437" s="164">
        <f>AB48</f>
        <v>1</v>
      </c>
    </row>
    <row r="438" spans="33:39" x14ac:dyDescent="0.25">
      <c r="AG438" s="154" t="s">
        <v>423</v>
      </c>
      <c r="AH438" s="154" t="s">
        <v>420</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25">
      <c r="AG439" s="154" t="s">
        <v>103</v>
      </c>
      <c r="AH439" s="154" t="s">
        <v>420</v>
      </c>
      <c r="AI439" s="154">
        <v>2050</v>
      </c>
      <c r="AJ439" s="154" t="str">
        <f t="shared" si="388"/>
        <v>Sea</v>
      </c>
      <c r="AK439" s="154" t="str">
        <f t="shared" si="389"/>
        <v>Dry bulk</v>
      </c>
      <c r="AL439" s="154" t="str">
        <f t="shared" si="390"/>
        <v>Hydrogen</v>
      </c>
      <c r="AM439" s="164">
        <f t="shared" si="391"/>
        <v>1</v>
      </c>
    </row>
    <row r="440" spans="33:39" x14ac:dyDescent="0.25">
      <c r="AG440" s="154" t="s">
        <v>103</v>
      </c>
      <c r="AH440" s="154" t="s">
        <v>420</v>
      </c>
      <c r="AI440" s="154">
        <v>2050</v>
      </c>
      <c r="AJ440" s="154" t="str">
        <f t="shared" si="388"/>
        <v>Sea</v>
      </c>
      <c r="AK440" s="154" t="str">
        <f t="shared" si="389"/>
        <v>Dry bulk</v>
      </c>
      <c r="AL440" s="154" t="str">
        <f t="shared" si="390"/>
        <v>Ammonia</v>
      </c>
      <c r="AM440" s="164">
        <f t="shared" si="391"/>
        <v>1</v>
      </c>
    </row>
    <row r="441" spans="33:39" x14ac:dyDescent="0.25">
      <c r="AG441" s="154" t="s">
        <v>103</v>
      </c>
      <c r="AH441" s="154" t="s">
        <v>420</v>
      </c>
      <c r="AI441" s="154">
        <v>2050</v>
      </c>
      <c r="AJ441" s="154" t="str">
        <f t="shared" si="388"/>
        <v>Sea</v>
      </c>
      <c r="AK441" s="154" t="str">
        <f t="shared" si="389"/>
        <v>Dry bulk</v>
      </c>
      <c r="AL441" s="154" t="str">
        <f t="shared" si="390"/>
        <v>Methanol</v>
      </c>
      <c r="AM441" s="164">
        <f t="shared" si="391"/>
        <v>1</v>
      </c>
    </row>
    <row r="442" spans="33:39" x14ac:dyDescent="0.25">
      <c r="AG442" s="154" t="s">
        <v>423</v>
      </c>
      <c r="AH442" s="154" t="s">
        <v>420</v>
      </c>
      <c r="AI442" s="154">
        <v>2050</v>
      </c>
      <c r="AJ442" s="154" t="str">
        <f t="shared" si="388"/>
        <v>Sea</v>
      </c>
      <c r="AK442" s="154" t="str">
        <f t="shared" si="389"/>
        <v>Container</v>
      </c>
      <c r="AL442" s="154" t="str">
        <f t="shared" si="390"/>
        <v>HFO</v>
      </c>
      <c r="AM442" s="164">
        <f t="shared" si="391"/>
        <v>1</v>
      </c>
    </row>
    <row r="443" spans="33:39" x14ac:dyDescent="0.25">
      <c r="AG443" s="154" t="s">
        <v>423</v>
      </c>
      <c r="AH443" s="154" t="s">
        <v>420</v>
      </c>
      <c r="AI443" s="154">
        <v>2050</v>
      </c>
      <c r="AJ443" s="154" t="str">
        <f t="shared" si="388"/>
        <v>Sea</v>
      </c>
      <c r="AK443" s="154" t="str">
        <f t="shared" si="389"/>
        <v>Container</v>
      </c>
      <c r="AL443" s="154" t="str">
        <f t="shared" si="390"/>
        <v>MGO</v>
      </c>
      <c r="AM443" s="164">
        <f t="shared" si="391"/>
        <v>1</v>
      </c>
    </row>
    <row r="444" spans="33:39" x14ac:dyDescent="0.25">
      <c r="AG444" s="154" t="s">
        <v>103</v>
      </c>
      <c r="AH444" s="154" t="s">
        <v>420</v>
      </c>
      <c r="AI444" s="154">
        <v>2050</v>
      </c>
      <c r="AJ444" s="154" t="str">
        <f t="shared" si="388"/>
        <v>Sea</v>
      </c>
      <c r="AK444" s="154" t="str">
        <f t="shared" si="389"/>
        <v>Container</v>
      </c>
      <c r="AL444" s="154" t="str">
        <f t="shared" si="390"/>
        <v>Hydrogen</v>
      </c>
      <c r="AM444" s="164">
        <f t="shared" si="391"/>
        <v>1</v>
      </c>
    </row>
    <row r="445" spans="33:39" x14ac:dyDescent="0.25">
      <c r="AG445" s="154" t="s">
        <v>103</v>
      </c>
      <c r="AH445" s="154" t="s">
        <v>420</v>
      </c>
      <c r="AI445" s="154">
        <v>2050</v>
      </c>
      <c r="AJ445" s="154" t="str">
        <f t="shared" si="388"/>
        <v>Sea</v>
      </c>
      <c r="AK445" s="154" t="str">
        <f t="shared" si="389"/>
        <v>Container</v>
      </c>
      <c r="AL445" s="154" t="str">
        <f t="shared" si="390"/>
        <v>Ammonia</v>
      </c>
      <c r="AM445" s="164">
        <f t="shared" si="391"/>
        <v>1</v>
      </c>
    </row>
    <row r="446" spans="33:39" x14ac:dyDescent="0.25">
      <c r="AG446" s="154" t="s">
        <v>103</v>
      </c>
      <c r="AH446" s="154" t="s">
        <v>420</v>
      </c>
      <c r="AI446" s="154">
        <v>2050</v>
      </c>
      <c r="AJ446" s="154" t="str">
        <f t="shared" si="388"/>
        <v>Sea</v>
      </c>
      <c r="AK446" s="154" t="str">
        <f t="shared" si="389"/>
        <v>Container</v>
      </c>
      <c r="AL446" s="154" t="str">
        <f t="shared" si="390"/>
        <v>Methanol</v>
      </c>
      <c r="AM446" s="164">
        <f t="shared" si="391"/>
        <v>1</v>
      </c>
    </row>
    <row r="447" spans="33:39" x14ac:dyDescent="0.25">
      <c r="AG447" s="154" t="s">
        <v>423</v>
      </c>
      <c r="AH447" s="154" t="s">
        <v>420</v>
      </c>
      <c r="AI447" s="154">
        <v>2050</v>
      </c>
      <c r="AJ447" s="154" t="str">
        <f t="shared" si="388"/>
        <v>Sea</v>
      </c>
      <c r="AK447" s="154" t="str">
        <f t="shared" si="389"/>
        <v>Break bulk</v>
      </c>
      <c r="AL447" s="154" t="str">
        <f t="shared" si="390"/>
        <v>HFO</v>
      </c>
      <c r="AM447" s="164">
        <f t="shared" si="391"/>
        <v>1</v>
      </c>
    </row>
    <row r="448" spans="33:39" x14ac:dyDescent="0.25">
      <c r="AG448" s="154" t="s">
        <v>423</v>
      </c>
      <c r="AH448" s="154" t="s">
        <v>420</v>
      </c>
      <c r="AI448" s="154">
        <v>2050</v>
      </c>
      <c r="AJ448" s="154" t="str">
        <f t="shared" si="388"/>
        <v>Sea</v>
      </c>
      <c r="AK448" s="154" t="str">
        <f t="shared" si="389"/>
        <v>Break bulk</v>
      </c>
      <c r="AL448" s="154" t="str">
        <f t="shared" si="390"/>
        <v>MGO</v>
      </c>
      <c r="AM448" s="164">
        <f t="shared" si="391"/>
        <v>1</v>
      </c>
    </row>
    <row r="449" spans="33:39" x14ac:dyDescent="0.25">
      <c r="AG449" s="154" t="s">
        <v>103</v>
      </c>
      <c r="AH449" s="154" t="s">
        <v>420</v>
      </c>
      <c r="AI449" s="154">
        <v>2050</v>
      </c>
      <c r="AJ449" s="154" t="str">
        <f t="shared" si="388"/>
        <v>Sea</v>
      </c>
      <c r="AK449" s="154" t="str">
        <f t="shared" si="389"/>
        <v>Break bulk</v>
      </c>
      <c r="AL449" s="154" t="str">
        <f t="shared" si="390"/>
        <v>Hydrogen</v>
      </c>
      <c r="AM449" s="164">
        <f t="shared" si="391"/>
        <v>1</v>
      </c>
    </row>
    <row r="450" spans="33:39" x14ac:dyDescent="0.25">
      <c r="AG450" s="154" t="s">
        <v>103</v>
      </c>
      <c r="AH450" s="154" t="s">
        <v>420</v>
      </c>
      <c r="AI450" s="154">
        <v>2050</v>
      </c>
      <c r="AJ450" s="154" t="str">
        <f t="shared" si="388"/>
        <v>Sea</v>
      </c>
      <c r="AK450" s="154" t="str">
        <f t="shared" si="389"/>
        <v>Break bulk</v>
      </c>
      <c r="AL450" s="154" t="str">
        <f t="shared" si="390"/>
        <v>Ammonia</v>
      </c>
      <c r="AM450" s="164">
        <f t="shared" si="391"/>
        <v>1</v>
      </c>
    </row>
    <row r="451" spans="33:39" x14ac:dyDescent="0.25">
      <c r="AG451" s="154" t="s">
        <v>103</v>
      </c>
      <c r="AH451" s="154" t="s">
        <v>420</v>
      </c>
      <c r="AI451" s="154">
        <v>2050</v>
      </c>
      <c r="AJ451" s="154" t="str">
        <f t="shared" si="388"/>
        <v>Sea</v>
      </c>
      <c r="AK451" s="154" t="str">
        <f t="shared" si="389"/>
        <v>Break bulk</v>
      </c>
      <c r="AL451" s="154" t="str">
        <f t="shared" si="390"/>
        <v>Methanol</v>
      </c>
      <c r="AM451" s="164">
        <f t="shared" si="391"/>
        <v>1</v>
      </c>
    </row>
    <row r="452" spans="33:39" x14ac:dyDescent="0.25">
      <c r="AG452" s="154" t="s">
        <v>423</v>
      </c>
      <c r="AH452" s="154" t="s">
        <v>420</v>
      </c>
      <c r="AI452" s="154">
        <v>2050</v>
      </c>
      <c r="AJ452" s="154" t="str">
        <f t="shared" si="388"/>
        <v>Sea</v>
      </c>
      <c r="AK452" s="154" t="str">
        <f t="shared" si="389"/>
        <v>Neo bulk</v>
      </c>
      <c r="AL452" s="154" t="str">
        <f t="shared" si="390"/>
        <v>HFO</v>
      </c>
      <c r="AM452" s="164">
        <f t="shared" si="391"/>
        <v>1</v>
      </c>
    </row>
    <row r="453" spans="33:39" x14ac:dyDescent="0.25">
      <c r="AG453" s="154" t="s">
        <v>423</v>
      </c>
      <c r="AH453" s="154" t="s">
        <v>420</v>
      </c>
      <c r="AI453" s="154">
        <v>2050</v>
      </c>
      <c r="AJ453" s="154" t="str">
        <f>A64</f>
        <v>Sea</v>
      </c>
      <c r="AK453" s="154" t="str">
        <f t="shared" si="389"/>
        <v>Neo bulk</v>
      </c>
      <c r="AL453" s="154" t="str">
        <f t="shared" si="390"/>
        <v>MGO</v>
      </c>
      <c r="AM453" s="164">
        <f>AB64</f>
        <v>1</v>
      </c>
    </row>
    <row r="454" spans="33:39" x14ac:dyDescent="0.25">
      <c r="AG454" s="154" t="s">
        <v>103</v>
      </c>
      <c r="AH454" s="154" t="s">
        <v>420</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25">
      <c r="AG455" s="154" t="s">
        <v>103</v>
      </c>
      <c r="AH455" s="154" t="s">
        <v>420</v>
      </c>
      <c r="AI455" s="154">
        <v>2050</v>
      </c>
      <c r="AJ455" s="154" t="str">
        <f t="shared" si="392"/>
        <v>Sea</v>
      </c>
      <c r="AK455" s="154" t="str">
        <f t="shared" si="393"/>
        <v>Neo bulk</v>
      </c>
      <c r="AL455" s="154" t="str">
        <f t="shared" si="394"/>
        <v>Ammonia</v>
      </c>
      <c r="AM455" s="164">
        <f t="shared" si="395"/>
        <v>1</v>
      </c>
    </row>
    <row r="456" spans="33:39" x14ac:dyDescent="0.25">
      <c r="AG456" s="154" t="s">
        <v>103</v>
      </c>
      <c r="AH456" s="154" t="s">
        <v>420</v>
      </c>
      <c r="AI456" s="154">
        <v>2050</v>
      </c>
      <c r="AJ456" s="154" t="str">
        <f t="shared" si="392"/>
        <v>Sea</v>
      </c>
      <c r="AK456" s="154" t="str">
        <f t="shared" si="393"/>
        <v>Neo bulk</v>
      </c>
      <c r="AL456" s="154" t="str">
        <f t="shared" si="394"/>
        <v>Methanol</v>
      </c>
      <c r="AM456" s="164">
        <f t="shared" si="395"/>
        <v>1</v>
      </c>
    </row>
    <row r="457" spans="33:39" x14ac:dyDescent="0.25">
      <c r="AG457" s="154" t="s">
        <v>423</v>
      </c>
      <c r="AH457" s="154" t="s">
        <v>421</v>
      </c>
      <c r="AI457" s="154">
        <v>2050</v>
      </c>
      <c r="AJ457" s="154" t="str">
        <f>A48</f>
        <v>Sea</v>
      </c>
      <c r="AK457" s="154" t="str">
        <f t="shared" ref="AK457:AL457" si="396">B48</f>
        <v>Dry bulk</v>
      </c>
      <c r="AL457" s="154" t="str">
        <f t="shared" si="396"/>
        <v>HFO</v>
      </c>
      <c r="AM457" s="164">
        <f>AC48</f>
        <v>0.81532004109965084</v>
      </c>
    </row>
    <row r="458" spans="33:39" x14ac:dyDescent="0.25">
      <c r="AG458" s="154" t="s">
        <v>423</v>
      </c>
      <c r="AH458" s="154" t="s">
        <v>421</v>
      </c>
      <c r="AI458" s="154">
        <v>2050</v>
      </c>
      <c r="AJ458" s="154" t="str">
        <f t="shared" ref="AJ458:AJ476" si="397">A49</f>
        <v>Sea</v>
      </c>
      <c r="AK458" s="154" t="str">
        <f t="shared" ref="AK458:AK476" si="398">B49</f>
        <v>Dry bulk</v>
      </c>
      <c r="AL458" s="154" t="str">
        <f t="shared" ref="AL458:AL476" si="399">C49</f>
        <v>MGO</v>
      </c>
      <c r="AM458" s="164">
        <f t="shared" ref="AM458:AM476" si="400">AC49</f>
        <v>0.70353751502792938</v>
      </c>
    </row>
    <row r="459" spans="33:39" x14ac:dyDescent="0.25">
      <c r="AG459" s="154" t="s">
        <v>103</v>
      </c>
      <c r="AH459" s="154" t="s">
        <v>421</v>
      </c>
      <c r="AI459" s="154">
        <v>2050</v>
      </c>
      <c r="AJ459" s="154" t="str">
        <f t="shared" si="397"/>
        <v>Sea</v>
      </c>
      <c r="AK459" s="154" t="str">
        <f t="shared" si="398"/>
        <v>Dry bulk</v>
      </c>
      <c r="AL459" s="154" t="str">
        <f t="shared" si="399"/>
        <v>Hydrogen</v>
      </c>
      <c r="AM459" s="164">
        <f t="shared" si="400"/>
        <v>0.90430088955906274</v>
      </c>
    </row>
    <row r="460" spans="33:39" x14ac:dyDescent="0.25">
      <c r="AG460" s="154" t="s">
        <v>103</v>
      </c>
      <c r="AH460" s="154" t="s">
        <v>421</v>
      </c>
      <c r="AI460" s="154">
        <v>2050</v>
      </c>
      <c r="AJ460" s="154" t="str">
        <f t="shared" si="397"/>
        <v>Sea</v>
      </c>
      <c r="AK460" s="154" t="str">
        <f t="shared" si="398"/>
        <v>Dry bulk</v>
      </c>
      <c r="AL460" s="154" t="str">
        <f t="shared" si="399"/>
        <v>Ammonia</v>
      </c>
      <c r="AM460" s="164">
        <f t="shared" si="400"/>
        <v>0.89370673662032452</v>
      </c>
    </row>
    <row r="461" spans="33:39" x14ac:dyDescent="0.25">
      <c r="AG461" s="154" t="s">
        <v>103</v>
      </c>
      <c r="AH461" s="154" t="s">
        <v>421</v>
      </c>
      <c r="AI461" s="154">
        <v>2050</v>
      </c>
      <c r="AJ461" s="154" t="str">
        <f t="shared" si="397"/>
        <v>Sea</v>
      </c>
      <c r="AK461" s="154" t="str">
        <f t="shared" si="398"/>
        <v>Dry bulk</v>
      </c>
      <c r="AL461" s="154" t="str">
        <f t="shared" si="399"/>
        <v>Methanol</v>
      </c>
      <c r="AM461" s="164">
        <f t="shared" si="400"/>
        <v>0.89553183496293787</v>
      </c>
    </row>
    <row r="462" spans="33:39" x14ac:dyDescent="0.25">
      <c r="AG462" s="154" t="s">
        <v>423</v>
      </c>
      <c r="AH462" s="154" t="s">
        <v>421</v>
      </c>
      <c r="AI462" s="154">
        <v>2050</v>
      </c>
      <c r="AJ462" s="154" t="str">
        <f t="shared" si="397"/>
        <v>Sea</v>
      </c>
      <c r="AK462" s="154" t="str">
        <f t="shared" si="398"/>
        <v>Container</v>
      </c>
      <c r="AL462" s="154" t="str">
        <f t="shared" si="399"/>
        <v>HFO</v>
      </c>
      <c r="AM462" s="164">
        <f t="shared" si="400"/>
        <v>0.83119752026718741</v>
      </c>
    </row>
    <row r="463" spans="33:39" x14ac:dyDescent="0.25">
      <c r="AG463" s="154" t="s">
        <v>423</v>
      </c>
      <c r="AH463" s="154" t="s">
        <v>421</v>
      </c>
      <c r="AI463" s="154">
        <v>2050</v>
      </c>
      <c r="AJ463" s="154" t="str">
        <f t="shared" si="397"/>
        <v>Sea</v>
      </c>
      <c r="AK463" s="154" t="str">
        <f t="shared" si="398"/>
        <v>Container</v>
      </c>
      <c r="AL463" s="154" t="str">
        <f t="shared" si="399"/>
        <v>MGO</v>
      </c>
      <c r="AM463" s="164">
        <f t="shared" si="400"/>
        <v>0.72233155842612773</v>
      </c>
    </row>
    <row r="464" spans="33:39" x14ac:dyDescent="0.25">
      <c r="AG464" s="154" t="s">
        <v>103</v>
      </c>
      <c r="AH464" s="154" t="s">
        <v>421</v>
      </c>
      <c r="AI464" s="154">
        <v>2050</v>
      </c>
      <c r="AJ464" s="154" t="str">
        <f t="shared" si="397"/>
        <v>Sea</v>
      </c>
      <c r="AK464" s="154" t="str">
        <f t="shared" si="398"/>
        <v>Container</v>
      </c>
      <c r="AL464" s="154" t="str">
        <f t="shared" si="399"/>
        <v>Hydrogen</v>
      </c>
      <c r="AM464" s="164">
        <f t="shared" si="400"/>
        <v>0.9082311684216422</v>
      </c>
    </row>
    <row r="465" spans="33:39" x14ac:dyDescent="0.25">
      <c r="AG465" s="154" t="s">
        <v>103</v>
      </c>
      <c r="AH465" s="154" t="s">
        <v>421</v>
      </c>
      <c r="AI465" s="154">
        <v>2050</v>
      </c>
      <c r="AJ465" s="154" t="str">
        <f t="shared" si="397"/>
        <v>Sea</v>
      </c>
      <c r="AK465" s="154" t="str">
        <f t="shared" si="398"/>
        <v>Container</v>
      </c>
      <c r="AL465" s="154" t="str">
        <f t="shared" si="399"/>
        <v>Ammonia</v>
      </c>
      <c r="AM465" s="164">
        <f t="shared" si="400"/>
        <v>0.89800367098986189</v>
      </c>
    </row>
    <row r="466" spans="33:39" x14ac:dyDescent="0.25">
      <c r="AG466" s="154" t="s">
        <v>103</v>
      </c>
      <c r="AH466" s="154" t="s">
        <v>421</v>
      </c>
      <c r="AI466" s="154">
        <v>2050</v>
      </c>
      <c r="AJ466" s="154" t="str">
        <f t="shared" si="397"/>
        <v>Sea</v>
      </c>
      <c r="AK466" s="154" t="str">
        <f t="shared" si="398"/>
        <v>Container</v>
      </c>
      <c r="AL466" s="154" t="str">
        <f t="shared" si="399"/>
        <v>Methanol</v>
      </c>
      <c r="AM466" s="164">
        <f t="shared" si="400"/>
        <v>0.89880257328573265</v>
      </c>
    </row>
    <row r="467" spans="33:39" x14ac:dyDescent="0.25">
      <c r="AG467" s="154" t="s">
        <v>423</v>
      </c>
      <c r="AH467" s="154" t="s">
        <v>421</v>
      </c>
      <c r="AI467" s="154">
        <v>2050</v>
      </c>
      <c r="AJ467" s="154" t="str">
        <f t="shared" si="397"/>
        <v>Sea</v>
      </c>
      <c r="AK467" s="154" t="str">
        <f t="shared" si="398"/>
        <v>Break bulk</v>
      </c>
      <c r="AL467" s="154" t="str">
        <f t="shared" si="399"/>
        <v>HFO</v>
      </c>
      <c r="AM467" s="164">
        <f t="shared" si="400"/>
        <v>0.81525849060209021</v>
      </c>
    </row>
    <row r="468" spans="33:39" x14ac:dyDescent="0.25">
      <c r="AG468" s="154" t="s">
        <v>423</v>
      </c>
      <c r="AH468" s="154" t="s">
        <v>421</v>
      </c>
      <c r="AI468" s="154">
        <v>2050</v>
      </c>
      <c r="AJ468" s="154" t="str">
        <f t="shared" si="397"/>
        <v>Sea</v>
      </c>
      <c r="AK468" s="154" t="str">
        <f t="shared" si="398"/>
        <v>Break bulk</v>
      </c>
      <c r="AL468" s="154" t="str">
        <f t="shared" si="399"/>
        <v>MGO</v>
      </c>
      <c r="AM468" s="164">
        <f t="shared" si="400"/>
        <v>0.70346642119445302</v>
      </c>
    </row>
    <row r="469" spans="33:39" x14ac:dyDescent="0.25">
      <c r="AG469" s="154" t="s">
        <v>103</v>
      </c>
      <c r="AH469" s="154" t="s">
        <v>421</v>
      </c>
      <c r="AI469" s="154">
        <v>2050</v>
      </c>
      <c r="AJ469" s="154" t="str">
        <f t="shared" si="397"/>
        <v>Sea</v>
      </c>
      <c r="AK469" s="154" t="str">
        <f t="shared" si="398"/>
        <v>Break bulk</v>
      </c>
      <c r="AL469" s="154" t="str">
        <f t="shared" si="399"/>
        <v>Hydrogen</v>
      </c>
      <c r="AM469" s="164">
        <f t="shared" si="400"/>
        <v>0.90428400973451495</v>
      </c>
    </row>
    <row r="470" spans="33:39" x14ac:dyDescent="0.25">
      <c r="AG470" s="154" t="s">
        <v>103</v>
      </c>
      <c r="AH470" s="154" t="s">
        <v>421</v>
      </c>
      <c r="AI470" s="154">
        <v>2050</v>
      </c>
      <c r="AJ470" s="154" t="str">
        <f t="shared" si="397"/>
        <v>Sea</v>
      </c>
      <c r="AK470" s="154" t="str">
        <f t="shared" si="398"/>
        <v>Break bulk</v>
      </c>
      <c r="AL470" s="154" t="str">
        <f t="shared" si="399"/>
        <v>Ammonia</v>
      </c>
      <c r="AM470" s="164">
        <f t="shared" si="400"/>
        <v>0.89368862124159154</v>
      </c>
    </row>
    <row r="471" spans="33:39" x14ac:dyDescent="0.25">
      <c r="AG471" s="154" t="s">
        <v>103</v>
      </c>
      <c r="AH471" s="154" t="s">
        <v>421</v>
      </c>
      <c r="AI471" s="154">
        <v>2050</v>
      </c>
      <c r="AJ471" s="154" t="str">
        <f t="shared" si="397"/>
        <v>Sea</v>
      </c>
      <c r="AK471" s="154" t="str">
        <f t="shared" si="398"/>
        <v>Break bulk</v>
      </c>
      <c r="AL471" s="154" t="str">
        <f t="shared" si="399"/>
        <v>Methanol</v>
      </c>
      <c r="AM471" s="164">
        <f t="shared" si="400"/>
        <v>0.89551890682952884</v>
      </c>
    </row>
    <row r="472" spans="33:39" x14ac:dyDescent="0.25">
      <c r="AG472" s="154" t="s">
        <v>423</v>
      </c>
      <c r="AH472" s="154" t="s">
        <v>421</v>
      </c>
      <c r="AI472" s="154">
        <v>2050</v>
      </c>
      <c r="AJ472" s="154" t="str">
        <f t="shared" si="397"/>
        <v>Sea</v>
      </c>
      <c r="AK472" s="154" t="str">
        <f t="shared" si="398"/>
        <v>Neo bulk</v>
      </c>
      <c r="AL472" s="154" t="str">
        <f t="shared" si="399"/>
        <v>HFO</v>
      </c>
      <c r="AM472" s="164">
        <f t="shared" si="400"/>
        <v>0.81515259359266967</v>
      </c>
    </row>
    <row r="473" spans="33:39" x14ac:dyDescent="0.25">
      <c r="AG473" s="154" t="s">
        <v>423</v>
      </c>
      <c r="AH473" s="154" t="s">
        <v>421</v>
      </c>
      <c r="AI473" s="154">
        <v>2050</v>
      </c>
      <c r="AJ473" s="154" t="str">
        <f t="shared" si="397"/>
        <v>Sea</v>
      </c>
      <c r="AK473" s="154" t="str">
        <f t="shared" si="398"/>
        <v>Neo bulk</v>
      </c>
      <c r="AL473" s="154" t="str">
        <f t="shared" si="399"/>
        <v>MGO</v>
      </c>
      <c r="AM473" s="164">
        <f t="shared" si="400"/>
        <v>0.70334413606128077</v>
      </c>
    </row>
    <row r="474" spans="33:39" x14ac:dyDescent="0.25">
      <c r="AG474" s="154" t="s">
        <v>103</v>
      </c>
      <c r="AH474" s="154" t="s">
        <v>421</v>
      </c>
      <c r="AI474" s="154">
        <v>2050</v>
      </c>
      <c r="AJ474" s="154" t="str">
        <f t="shared" si="397"/>
        <v>Sea</v>
      </c>
      <c r="AK474" s="154" t="str">
        <f t="shared" si="398"/>
        <v>Neo bulk</v>
      </c>
      <c r="AL474" s="154" t="str">
        <f t="shared" si="399"/>
        <v>Hydrogen</v>
      </c>
      <c r="AM474" s="164">
        <f t="shared" si="400"/>
        <v>0.90426154805164216</v>
      </c>
    </row>
    <row r="475" spans="33:39" x14ac:dyDescent="0.25">
      <c r="AG475" s="154" t="s">
        <v>103</v>
      </c>
      <c r="AH475" s="154" t="s">
        <v>421</v>
      </c>
      <c r="AI475" s="154">
        <v>2050</v>
      </c>
      <c r="AJ475" s="154" t="str">
        <f t="shared" si="397"/>
        <v>Sea</v>
      </c>
      <c r="AK475" s="154" t="str">
        <f t="shared" si="398"/>
        <v>Neo bulk</v>
      </c>
      <c r="AL475" s="154" t="str">
        <f t="shared" si="399"/>
        <v>Ammonia</v>
      </c>
      <c r="AM475" s="164">
        <f t="shared" si="400"/>
        <v>0.89366373306301206</v>
      </c>
    </row>
    <row r="476" spans="33:39" x14ac:dyDescent="0.25">
      <c r="AG476" s="154" t="s">
        <v>103</v>
      </c>
      <c r="AH476" s="154" t="s">
        <v>421</v>
      </c>
      <c r="AI476" s="154">
        <v>2050</v>
      </c>
      <c r="AJ476" s="154" t="str">
        <f t="shared" si="397"/>
        <v>Sea</v>
      </c>
      <c r="AK476" s="154" t="str">
        <f t="shared" si="398"/>
        <v>Neo bulk</v>
      </c>
      <c r="AL476" s="154" t="str">
        <f t="shared" si="399"/>
        <v>Methanol</v>
      </c>
      <c r="AM476" s="164">
        <f t="shared" si="400"/>
        <v>0.89549936641626593</v>
      </c>
    </row>
    <row r="477" spans="33:39" x14ac:dyDescent="0.25">
      <c r="AG477" s="154" t="s">
        <v>423</v>
      </c>
      <c r="AH477" s="154" t="s">
        <v>422</v>
      </c>
      <c r="AI477" s="154">
        <v>2050</v>
      </c>
      <c r="AJ477" s="154" t="str">
        <f>A48</f>
        <v>Sea</v>
      </c>
      <c r="AK477" s="154" t="str">
        <f t="shared" ref="AK477:AL477" si="401">B48</f>
        <v>Dry bulk</v>
      </c>
      <c r="AL477" s="154" t="str">
        <f t="shared" si="401"/>
        <v>HFO</v>
      </c>
      <c r="AM477" s="164">
        <f>AD48</f>
        <v>1.121361115848801</v>
      </c>
    </row>
    <row r="478" spans="33:39" x14ac:dyDescent="0.25">
      <c r="AG478" s="154" t="s">
        <v>423</v>
      </c>
      <c r="AH478" s="154" t="s">
        <v>422</v>
      </c>
      <c r="AI478" s="154">
        <v>2050</v>
      </c>
      <c r="AJ478" s="154" t="str">
        <f t="shared" ref="AJ478:AJ496" si="402">A49</f>
        <v>Sea</v>
      </c>
      <c r="AK478" s="154" t="str">
        <f t="shared" ref="AK478:AK496" si="403">B49</f>
        <v>Dry bulk</v>
      </c>
      <c r="AL478" s="154" t="str">
        <f t="shared" ref="AL478:AL496" si="404">C49</f>
        <v>MGO</v>
      </c>
      <c r="AM478" s="164">
        <f t="shared" ref="AM478:AM496" si="405">AD49</f>
        <v>1.1948182044102178</v>
      </c>
    </row>
    <row r="479" spans="33:39" x14ac:dyDescent="0.25">
      <c r="AG479" s="154" t="s">
        <v>103</v>
      </c>
      <c r="AH479" s="154" t="s">
        <v>422</v>
      </c>
      <c r="AI479" s="154">
        <v>2050</v>
      </c>
      <c r="AJ479" s="154" t="str">
        <f t="shared" si="402"/>
        <v>Sea</v>
      </c>
      <c r="AK479" s="154" t="str">
        <f t="shared" si="403"/>
        <v>Dry bulk</v>
      </c>
      <c r="AL479" s="154" t="str">
        <f t="shared" si="404"/>
        <v>Hydrogen</v>
      </c>
      <c r="AM479" s="164">
        <f t="shared" si="405"/>
        <v>1.0897179160383792</v>
      </c>
    </row>
    <row r="480" spans="33:39" x14ac:dyDescent="0.25">
      <c r="AG480" s="154" t="s">
        <v>103</v>
      </c>
      <c r="AH480" s="154" t="s">
        <v>422</v>
      </c>
      <c r="AI480" s="154">
        <v>2050</v>
      </c>
      <c r="AJ480" s="154" t="str">
        <f t="shared" si="402"/>
        <v>Sea</v>
      </c>
      <c r="AK480" s="154" t="str">
        <f t="shared" si="403"/>
        <v>Dry bulk</v>
      </c>
      <c r="AL480" s="154" t="str">
        <f t="shared" si="404"/>
        <v>Ammonia</v>
      </c>
      <c r="AM480" s="164">
        <f t="shared" si="405"/>
        <v>1.0996499344184461</v>
      </c>
    </row>
    <row r="481" spans="33:39" x14ac:dyDescent="0.25">
      <c r="AG481" s="154" t="s">
        <v>103</v>
      </c>
      <c r="AH481" s="154" t="s">
        <v>422</v>
      </c>
      <c r="AI481" s="154">
        <v>2050</v>
      </c>
      <c r="AJ481" s="154" t="str">
        <f t="shared" si="402"/>
        <v>Sea</v>
      </c>
      <c r="AK481" s="154" t="str">
        <f t="shared" si="403"/>
        <v>Dry bulk</v>
      </c>
      <c r="AL481" s="154" t="str">
        <f t="shared" si="404"/>
        <v>Methanol</v>
      </c>
      <c r="AM481" s="164">
        <f t="shared" si="405"/>
        <v>1.0979389047222459</v>
      </c>
    </row>
    <row r="482" spans="33:39" x14ac:dyDescent="0.25">
      <c r="AG482" s="154" t="s">
        <v>423</v>
      </c>
      <c r="AH482" s="154" t="s">
        <v>422</v>
      </c>
      <c r="AI482" s="154">
        <v>2050</v>
      </c>
      <c r="AJ482" s="154" t="str">
        <f t="shared" si="402"/>
        <v>Sea</v>
      </c>
      <c r="AK482" s="154" t="str">
        <f t="shared" si="403"/>
        <v>Container</v>
      </c>
      <c r="AL482" s="154" t="str">
        <f t="shared" si="404"/>
        <v>HFO</v>
      </c>
      <c r="AM482" s="164">
        <f t="shared" si="405"/>
        <v>1.1109273438244194</v>
      </c>
    </row>
    <row r="483" spans="33:39" x14ac:dyDescent="0.25">
      <c r="AG483" s="154" t="s">
        <v>423</v>
      </c>
      <c r="AH483" s="154" t="s">
        <v>422</v>
      </c>
      <c r="AI483" s="154">
        <v>2050</v>
      </c>
      <c r="AJ483" s="154" t="str">
        <f t="shared" si="402"/>
        <v>Sea</v>
      </c>
      <c r="AK483" s="154" t="str">
        <f t="shared" si="403"/>
        <v>Container</v>
      </c>
      <c r="AL483" s="154" t="str">
        <f t="shared" si="404"/>
        <v>MGO</v>
      </c>
      <c r="AM483" s="164">
        <f t="shared" si="405"/>
        <v>1.1824678330342591</v>
      </c>
    </row>
    <row r="484" spans="33:39" x14ac:dyDescent="0.25">
      <c r="AG484" s="154" t="s">
        <v>103</v>
      </c>
      <c r="AH484" s="154" t="s">
        <v>422</v>
      </c>
      <c r="AI484" s="154">
        <v>2050</v>
      </c>
      <c r="AJ484" s="154" t="str">
        <f t="shared" si="402"/>
        <v>Sea</v>
      </c>
      <c r="AK484" s="154" t="str">
        <f t="shared" si="403"/>
        <v>Container</v>
      </c>
      <c r="AL484" s="154" t="str">
        <f t="shared" si="404"/>
        <v>Hydrogen</v>
      </c>
      <c r="AM484" s="164">
        <f t="shared" si="405"/>
        <v>1.0860332796047107</v>
      </c>
    </row>
    <row r="485" spans="33:39" x14ac:dyDescent="0.25">
      <c r="AG485" s="154" t="s">
        <v>103</v>
      </c>
      <c r="AH485" s="154" t="s">
        <v>422</v>
      </c>
      <c r="AI485" s="154">
        <v>2050</v>
      </c>
      <c r="AJ485" s="154" t="str">
        <f t="shared" si="402"/>
        <v>Sea</v>
      </c>
      <c r="AK485" s="154" t="str">
        <f t="shared" si="403"/>
        <v>Container</v>
      </c>
      <c r="AL485" s="154" t="str">
        <f t="shared" si="404"/>
        <v>Ammonia</v>
      </c>
      <c r="AM485" s="164">
        <f t="shared" si="405"/>
        <v>1.0956215584470046</v>
      </c>
    </row>
    <row r="486" spans="33:39" x14ac:dyDescent="0.25">
      <c r="AG486" s="154" t="s">
        <v>103</v>
      </c>
      <c r="AH486" s="154" t="s">
        <v>422</v>
      </c>
      <c r="AI486" s="154">
        <v>2050</v>
      </c>
      <c r="AJ486" s="154" t="str">
        <f t="shared" si="402"/>
        <v>Sea</v>
      </c>
      <c r="AK486" s="154" t="str">
        <f t="shared" si="403"/>
        <v>Container</v>
      </c>
      <c r="AL486" s="154" t="str">
        <f t="shared" si="404"/>
        <v>Methanol</v>
      </c>
      <c r="AM486" s="164">
        <f t="shared" si="405"/>
        <v>1.0948725875446259</v>
      </c>
    </row>
    <row r="487" spans="33:39" x14ac:dyDescent="0.25">
      <c r="AG487" s="154" t="s">
        <v>423</v>
      </c>
      <c r="AH487" s="154" t="s">
        <v>422</v>
      </c>
      <c r="AI487" s="154">
        <v>2050</v>
      </c>
      <c r="AJ487" s="154" t="str">
        <f t="shared" si="402"/>
        <v>Sea</v>
      </c>
      <c r="AK487" s="154" t="str">
        <f t="shared" si="403"/>
        <v>Break bulk</v>
      </c>
      <c r="AL487" s="154" t="str">
        <f t="shared" si="404"/>
        <v>HFO</v>
      </c>
      <c r="AM487" s="164">
        <f t="shared" si="405"/>
        <v>1.1214015633186263</v>
      </c>
    </row>
    <row r="488" spans="33:39" x14ac:dyDescent="0.25">
      <c r="AG488" s="154" t="s">
        <v>423</v>
      </c>
      <c r="AH488" s="154" t="s">
        <v>422</v>
      </c>
      <c r="AI488" s="154">
        <v>2050</v>
      </c>
      <c r="AJ488" s="154" t="str">
        <f t="shared" si="402"/>
        <v>Sea</v>
      </c>
      <c r="AK488" s="154" t="str">
        <f t="shared" si="403"/>
        <v>Break bulk</v>
      </c>
      <c r="AL488" s="154" t="str">
        <f t="shared" si="404"/>
        <v>MGO</v>
      </c>
      <c r="AM488" s="164">
        <f t="shared" si="405"/>
        <v>1.1948649232150734</v>
      </c>
    </row>
    <row r="489" spans="33:39" x14ac:dyDescent="0.25">
      <c r="AG489" s="154" t="s">
        <v>103</v>
      </c>
      <c r="AH489" s="154" t="s">
        <v>422</v>
      </c>
      <c r="AI489" s="154">
        <v>2050</v>
      </c>
      <c r="AJ489" s="154" t="str">
        <f t="shared" si="402"/>
        <v>Sea</v>
      </c>
      <c r="AK489" s="154" t="str">
        <f t="shared" si="403"/>
        <v>Break bulk</v>
      </c>
      <c r="AL489" s="154" t="str">
        <f t="shared" si="404"/>
        <v>Hydrogen</v>
      </c>
      <c r="AM489" s="164">
        <f t="shared" si="405"/>
        <v>1.0897337408738921</v>
      </c>
    </row>
    <row r="490" spans="33:39" x14ac:dyDescent="0.25">
      <c r="AG490" s="154" t="s">
        <v>103</v>
      </c>
      <c r="AH490" s="154" t="s">
        <v>422</v>
      </c>
      <c r="AI490" s="154">
        <v>2050</v>
      </c>
      <c r="AJ490" s="154" t="str">
        <f t="shared" si="402"/>
        <v>Sea</v>
      </c>
      <c r="AK490" s="154" t="str">
        <f t="shared" si="403"/>
        <v>Break bulk</v>
      </c>
      <c r="AL490" s="154" t="str">
        <f t="shared" si="404"/>
        <v>Ammonia</v>
      </c>
      <c r="AM490" s="164">
        <f t="shared" si="405"/>
        <v>1.0996669175860081</v>
      </c>
    </row>
    <row r="491" spans="33:39" x14ac:dyDescent="0.25">
      <c r="AG491" s="154" t="s">
        <v>103</v>
      </c>
      <c r="AH491" s="154" t="s">
        <v>422</v>
      </c>
      <c r="AI491" s="154">
        <v>2050</v>
      </c>
      <c r="AJ491" s="154" t="str">
        <f t="shared" si="402"/>
        <v>Sea</v>
      </c>
      <c r="AK491" s="154" t="str">
        <f t="shared" si="403"/>
        <v>Break bulk</v>
      </c>
      <c r="AL491" s="154" t="str">
        <f t="shared" si="404"/>
        <v>Methanol</v>
      </c>
      <c r="AM491" s="164">
        <f t="shared" si="405"/>
        <v>1.0979510248473168</v>
      </c>
    </row>
    <row r="492" spans="33:39" x14ac:dyDescent="0.25">
      <c r="AG492" s="154" t="s">
        <v>423</v>
      </c>
      <c r="AH492" s="154" t="s">
        <v>422</v>
      </c>
      <c r="AI492" s="154">
        <v>2050</v>
      </c>
      <c r="AJ492" s="154" t="str">
        <f t="shared" si="402"/>
        <v>Sea</v>
      </c>
      <c r="AK492" s="154" t="str">
        <f t="shared" si="403"/>
        <v>Neo bulk</v>
      </c>
      <c r="AL492" s="154" t="str">
        <f t="shared" si="404"/>
        <v>HFO</v>
      </c>
      <c r="AM492" s="164">
        <f t="shared" si="405"/>
        <v>1.1214711527819601</v>
      </c>
    </row>
    <row r="493" spans="33:39" x14ac:dyDescent="0.25">
      <c r="AG493" s="154" t="s">
        <v>423</v>
      </c>
      <c r="AH493" s="154" t="s">
        <v>422</v>
      </c>
      <c r="AI493" s="154">
        <v>2050</v>
      </c>
      <c r="AJ493" s="154" t="str">
        <f t="shared" si="402"/>
        <v>Sea</v>
      </c>
      <c r="AK493" s="154" t="str">
        <f t="shared" si="403"/>
        <v>Neo bulk</v>
      </c>
      <c r="AL493" s="154" t="str">
        <f t="shared" si="404"/>
        <v>MGO</v>
      </c>
      <c r="AM493" s="164">
        <f t="shared" si="405"/>
        <v>1.1949452820168729</v>
      </c>
    </row>
    <row r="494" spans="33:39" x14ac:dyDescent="0.25">
      <c r="AG494" s="154" t="s">
        <v>103</v>
      </c>
      <c r="AH494" s="154" t="s">
        <v>422</v>
      </c>
      <c r="AI494" s="154">
        <v>2050</v>
      </c>
      <c r="AJ494" s="154" t="str">
        <f t="shared" si="402"/>
        <v>Sea</v>
      </c>
      <c r="AK494" s="154" t="str">
        <f t="shared" si="403"/>
        <v>Neo bulk</v>
      </c>
      <c r="AL494" s="154" t="str">
        <f t="shared" si="404"/>
        <v>Hydrogen</v>
      </c>
      <c r="AM494" s="164">
        <f t="shared" si="405"/>
        <v>1.0897547987015856</v>
      </c>
    </row>
    <row r="495" spans="33:39" x14ac:dyDescent="0.25">
      <c r="AG495" s="154" t="s">
        <v>103</v>
      </c>
      <c r="AH495" s="154" t="s">
        <v>422</v>
      </c>
      <c r="AI495" s="154">
        <v>2050</v>
      </c>
      <c r="AJ495" s="154" t="str">
        <f t="shared" si="402"/>
        <v>Sea</v>
      </c>
      <c r="AK495" s="154" t="str">
        <f t="shared" si="403"/>
        <v>Neo bulk</v>
      </c>
      <c r="AL495" s="154" t="str">
        <f t="shared" si="404"/>
        <v>Ammonia</v>
      </c>
      <c r="AM495" s="164">
        <f t="shared" si="405"/>
        <v>1.0996902502534263</v>
      </c>
    </row>
    <row r="496" spans="33:39" x14ac:dyDescent="0.25">
      <c r="AG496" s="154" t="s">
        <v>103</v>
      </c>
      <c r="AH496" s="154" t="s">
        <v>422</v>
      </c>
      <c r="AI496" s="154">
        <v>2050</v>
      </c>
      <c r="AJ496" s="154" t="str">
        <f t="shared" si="402"/>
        <v>Sea</v>
      </c>
      <c r="AK496" s="154" t="str">
        <f t="shared" si="403"/>
        <v>Neo bulk</v>
      </c>
      <c r="AL496" s="154" t="str">
        <f t="shared" si="404"/>
        <v>Methanol</v>
      </c>
      <c r="AM496" s="164">
        <f t="shared" si="405"/>
        <v>1.0979693439847511</v>
      </c>
    </row>
    <row r="497" spans="39:39" x14ac:dyDescent="0.25">
      <c r="AM497" s="164"/>
    </row>
    <row r="498" spans="39:39" x14ac:dyDescent="0.25">
      <c r="AM498" s="164"/>
    </row>
    <row r="499" spans="39:39" x14ac:dyDescent="0.25">
      <c r="AM499" s="164"/>
    </row>
    <row r="500" spans="39:39" x14ac:dyDescent="0.25">
      <c r="AM500" s="164"/>
    </row>
    <row r="501" spans="39:39" x14ac:dyDescent="0.25">
      <c r="AM501" s="164"/>
    </row>
    <row r="502" spans="39:39" x14ac:dyDescent="0.25">
      <c r="AM502" s="164"/>
    </row>
    <row r="503" spans="39:39" x14ac:dyDescent="0.25">
      <c r="AM503" s="164"/>
    </row>
    <row r="504" spans="39:39" x14ac:dyDescent="0.25">
      <c r="AM504" s="164"/>
    </row>
    <row r="505" spans="39:39" x14ac:dyDescent="0.25">
      <c r="AM505" s="164"/>
    </row>
    <row r="506" spans="39:39" x14ac:dyDescent="0.25">
      <c r="AM506" s="164"/>
    </row>
    <row r="507" spans="39:39" x14ac:dyDescent="0.25">
      <c r="AM507" s="164"/>
    </row>
    <row r="508" spans="39:39" x14ac:dyDescent="0.25">
      <c r="AM508" s="164"/>
    </row>
    <row r="509" spans="39:39" x14ac:dyDescent="0.25">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7109375" defaultRowHeight="15" x14ac:dyDescent="0.25"/>
  <cols>
    <col min="1" max="1" width="31.42578125" style="154" bestFit="1" customWidth="1"/>
    <col min="2" max="2" width="18.7109375" style="154" bestFit="1" customWidth="1"/>
    <col min="3" max="3" width="19.42578125" style="154" bestFit="1" customWidth="1"/>
    <col min="4" max="4" width="23.5703125" style="154" bestFit="1" customWidth="1"/>
    <col min="5" max="5" width="23.7109375" style="154" bestFit="1" customWidth="1"/>
    <col min="6" max="6" width="24" style="154" bestFit="1" customWidth="1"/>
    <col min="7" max="7" width="20.28515625" style="154" bestFit="1" customWidth="1"/>
    <col min="8" max="8" width="20.7109375" style="154" bestFit="1" customWidth="1"/>
    <col min="9" max="9" width="25.28515625" style="154" bestFit="1" customWidth="1"/>
    <col min="10" max="10" width="25.42578125" style="154" bestFit="1" customWidth="1"/>
    <col min="11" max="11" width="25.5703125" style="154" bestFit="1" customWidth="1"/>
    <col min="12" max="12" width="21.28515625" style="154" bestFit="1" customWidth="1"/>
    <col min="13" max="13" width="21.7109375" style="154" bestFit="1" customWidth="1"/>
    <col min="14" max="15" width="26.28515625" style="154" bestFit="1" customWidth="1"/>
    <col min="16" max="16" width="26.42578125" style="154" bestFit="1" customWidth="1"/>
    <col min="17" max="17" width="20.5703125" style="154" bestFit="1" customWidth="1"/>
    <col min="18" max="18" width="21.5703125" style="154" bestFit="1" customWidth="1"/>
    <col min="19" max="19" width="25.7109375" style="154" bestFit="1" customWidth="1"/>
    <col min="20" max="20" width="26" style="154" bestFit="1" customWidth="1"/>
    <col min="21" max="21" width="26.28515625" style="154" bestFit="1" customWidth="1"/>
    <col min="22" max="22" width="21.5703125" style="154" bestFit="1" customWidth="1"/>
    <col min="23" max="23" width="23.42578125" style="154" bestFit="1" customWidth="1"/>
    <col min="24" max="24" width="21.7109375" style="154" bestFit="1" customWidth="1"/>
    <col min="25" max="25" width="24" style="154" bestFit="1" customWidth="1"/>
    <col min="26" max="26" width="24.42578125" style="154" bestFit="1" customWidth="1"/>
    <col min="27" max="27" width="26.28515625" style="154" bestFit="1" customWidth="1"/>
    <col min="28" max="28" width="24.5703125" style="154" bestFit="1" customWidth="1"/>
    <col min="29" max="29" width="26.7109375" style="154" bestFit="1" customWidth="1"/>
    <col min="30" max="30" width="23" style="154" bestFit="1" customWidth="1"/>
    <col min="31" max="31" width="24.7109375" style="154" bestFit="1" customWidth="1"/>
    <col min="32" max="32" width="23.42578125" style="154" bestFit="1" customWidth="1"/>
    <col min="33" max="33" width="25.5703125" style="154" bestFit="1" customWidth="1"/>
    <col min="34" max="34" width="23.7109375" style="154" bestFit="1" customWidth="1"/>
    <col min="35" max="35" width="25.7109375" style="154" bestFit="1" customWidth="1"/>
    <col min="36" max="36" width="24.28515625" style="154" bestFit="1" customWidth="1"/>
    <col min="37" max="37" width="26.42578125" style="154" bestFit="1" customWidth="1"/>
    <col min="38" max="38" width="23.42578125" style="154" bestFit="1" customWidth="1"/>
    <col min="39" max="39" width="25.42578125" style="154" bestFit="1" customWidth="1"/>
    <col min="40" max="40" width="23.7109375" style="154" bestFit="1" customWidth="1"/>
    <col min="41" max="41" width="26.28515625" style="154" bestFit="1" customWidth="1"/>
    <col min="42" max="42" width="22.42578125" style="154" bestFit="1" customWidth="1"/>
    <col min="43" max="43" width="22.7109375" style="154" bestFit="1" customWidth="1"/>
    <col min="44" max="44" width="25" style="154" bestFit="1" customWidth="1"/>
    <col min="45" max="45" width="25.42578125" style="154" bestFit="1" customWidth="1"/>
    <col min="46" max="46" width="25.7109375" style="154" bestFit="1" customWidth="1"/>
    <col min="47" max="47" width="27.7109375" style="154" bestFit="1" customWidth="1"/>
    <col min="48" max="48" width="24" style="154" bestFit="1" customWidth="1"/>
    <col min="49" max="49" width="24.42578125" style="154" bestFit="1" customWidth="1"/>
    <col min="50" max="50" width="26.5703125" style="154" bestFit="1" customWidth="1"/>
    <col min="51" max="51" width="24.7109375" style="154" bestFit="1" customWidth="1"/>
    <col min="52" max="52" width="25.28515625" style="154" bestFit="1" customWidth="1"/>
    <col min="53" max="53" width="27.42578125" style="154" bestFit="1" customWidth="1"/>
    <col min="54" max="54" width="24.42578125" style="154" bestFit="1" customWidth="1"/>
    <col min="55" max="55" width="24.7109375" style="154" bestFit="1" customWidth="1"/>
    <col min="56" max="56" width="27.28515625" style="154" bestFit="1" customWidth="1"/>
    <col min="57" max="57" width="18.7109375" style="154" bestFit="1" customWidth="1"/>
    <col min="58" max="58" width="19.42578125" style="154" bestFit="1" customWidth="1"/>
    <col min="59" max="59" width="23.5703125" style="154" bestFit="1" customWidth="1"/>
    <col min="60" max="60" width="23.7109375" style="154" bestFit="1" customWidth="1"/>
    <col min="61" max="61" width="24" style="154" bestFit="1" customWidth="1"/>
    <col min="62" max="62" width="20.28515625" style="154" bestFit="1" customWidth="1"/>
    <col min="63" max="63" width="20.7109375" style="154" bestFit="1" customWidth="1"/>
    <col min="64" max="64" width="25.28515625" style="154" bestFit="1" customWidth="1"/>
    <col min="65" max="65" width="25.42578125" style="154" bestFit="1" customWidth="1"/>
    <col min="66" max="66" width="25.5703125" style="154" bestFit="1" customWidth="1"/>
    <col min="67" max="67" width="21.28515625" style="154" bestFit="1" customWidth="1"/>
    <col min="68" max="68" width="21.7109375" style="154" bestFit="1" customWidth="1"/>
    <col min="69" max="70" width="26.28515625" style="154" bestFit="1" customWidth="1"/>
    <col min="71" max="71" width="26.42578125" style="154" bestFit="1" customWidth="1"/>
    <col min="72" max="72" width="20.5703125" style="154" bestFit="1" customWidth="1"/>
    <col min="73" max="73" width="21.5703125" style="154" bestFit="1" customWidth="1"/>
    <col min="74" max="74" width="25.7109375" style="154" bestFit="1" customWidth="1"/>
    <col min="75" max="75" width="26" style="154" bestFit="1" customWidth="1"/>
    <col min="76" max="76" width="26.28515625" style="154" bestFit="1" customWidth="1"/>
    <col min="77" max="77" width="21.5703125" style="154" bestFit="1" customWidth="1"/>
    <col min="78" max="78" width="23.42578125" style="154" bestFit="1" customWidth="1"/>
    <col min="79" max="79" width="21.7109375" style="154" bestFit="1" customWidth="1"/>
    <col min="80" max="80" width="24" style="154" bestFit="1" customWidth="1"/>
    <col min="81" max="81" width="24.42578125" style="154" bestFit="1" customWidth="1"/>
    <col min="82" max="82" width="26.28515625" style="154" bestFit="1" customWidth="1"/>
    <col min="83" max="83" width="24.5703125" style="154" bestFit="1" customWidth="1"/>
    <col min="84" max="84" width="26.7109375" style="154" bestFit="1" customWidth="1"/>
    <col min="85" max="85" width="23" style="154" bestFit="1" customWidth="1"/>
    <col min="86" max="86" width="24.7109375" style="154" bestFit="1" customWidth="1"/>
    <col min="87" max="87" width="23.42578125" style="154" bestFit="1" customWidth="1"/>
    <col min="88" max="88" width="25.5703125" style="154" bestFit="1" customWidth="1"/>
    <col min="89" max="89" width="23.7109375" style="154" bestFit="1" customWidth="1"/>
    <col min="90" max="90" width="25.7109375" style="154" bestFit="1" customWidth="1"/>
    <col min="91" max="91" width="24.28515625" style="154" bestFit="1" customWidth="1"/>
    <col min="92" max="92" width="26.42578125" style="154" bestFit="1" customWidth="1"/>
    <col min="93" max="93" width="23.42578125" style="154" bestFit="1" customWidth="1"/>
    <col min="94" max="94" width="25.42578125" style="154" bestFit="1" customWidth="1"/>
    <col min="95" max="95" width="23.7109375" style="154" bestFit="1" customWidth="1"/>
    <col min="96" max="96" width="26.28515625" style="154" bestFit="1" customWidth="1"/>
    <col min="97" max="97" width="22.42578125" style="154" bestFit="1" customWidth="1"/>
    <col min="98" max="98" width="22.7109375" style="154" bestFit="1" customWidth="1"/>
    <col min="99" max="99" width="25" style="154" bestFit="1" customWidth="1"/>
    <col min="100" max="100" width="25.42578125" style="154" bestFit="1" customWidth="1"/>
    <col min="101" max="101" width="25.7109375" style="154" bestFit="1" customWidth="1"/>
    <col min="102" max="102" width="27.7109375" style="154" bestFit="1" customWidth="1"/>
    <col min="103" max="103" width="24" style="154" bestFit="1" customWidth="1"/>
    <col min="104" max="104" width="24.42578125" style="154" bestFit="1" customWidth="1"/>
    <col min="105" max="105" width="26.5703125" style="154" bestFit="1" customWidth="1"/>
    <col min="106" max="106" width="24.7109375" style="154" bestFit="1" customWidth="1"/>
    <col min="107" max="107" width="25.28515625" style="154" bestFit="1" customWidth="1"/>
    <col min="108" max="108" width="27.42578125" style="154" bestFit="1" customWidth="1"/>
    <col min="109" max="109" width="24.42578125" style="154" bestFit="1" customWidth="1"/>
    <col min="110" max="110" width="24.7109375" style="154" bestFit="1" customWidth="1"/>
    <col min="111" max="111" width="27.28515625" style="154" bestFit="1" customWidth="1"/>
    <col min="112" max="112" width="18.7109375" style="154" bestFit="1" customWidth="1"/>
    <col min="113" max="113" width="19.42578125" style="154" bestFit="1" customWidth="1"/>
    <col min="114" max="114" width="23.5703125" style="154" bestFit="1" customWidth="1"/>
    <col min="115" max="115" width="23.7109375" style="154" bestFit="1" customWidth="1"/>
    <col min="116" max="116" width="24" style="154" bestFit="1" customWidth="1"/>
    <col min="117" max="117" width="20.28515625" style="154" bestFit="1" customWidth="1"/>
    <col min="118" max="118" width="20.7109375" style="154" bestFit="1" customWidth="1"/>
    <col min="119" max="119" width="25.28515625" style="154" bestFit="1" customWidth="1"/>
    <col min="120" max="120" width="25.42578125" style="154" bestFit="1" customWidth="1"/>
    <col min="121" max="121" width="25.5703125" style="154" bestFit="1" customWidth="1"/>
    <col min="122" max="122" width="21.28515625" style="154" bestFit="1" customWidth="1"/>
    <col min="123" max="123" width="21.7109375" style="154" bestFit="1" customWidth="1"/>
    <col min="124" max="125" width="26.28515625" style="154" bestFit="1" customWidth="1"/>
    <col min="126" max="126" width="26.42578125" style="154" bestFit="1" customWidth="1"/>
    <col min="127" max="127" width="20.5703125" style="154" bestFit="1" customWidth="1"/>
    <col min="128" max="128" width="21.5703125" style="154" bestFit="1" customWidth="1"/>
    <col min="129" max="129" width="25.7109375" style="154" bestFit="1" customWidth="1"/>
    <col min="130" max="130" width="26" style="154" bestFit="1" customWidth="1"/>
    <col min="131" max="131" width="26.28515625" style="154" bestFit="1" customWidth="1"/>
    <col min="132" max="132" width="21.5703125" style="154" bestFit="1" customWidth="1"/>
    <col min="133" max="133" width="23.42578125" style="154" bestFit="1" customWidth="1"/>
    <col min="134" max="134" width="21.7109375" style="154" bestFit="1" customWidth="1"/>
    <col min="135" max="135" width="24" style="154" bestFit="1" customWidth="1"/>
    <col min="136" max="136" width="24.42578125" style="154" bestFit="1" customWidth="1"/>
    <col min="137" max="137" width="26.28515625" style="154" bestFit="1" customWidth="1"/>
    <col min="138" max="138" width="24.5703125" style="154" bestFit="1" customWidth="1"/>
    <col min="139" max="139" width="26.7109375" style="154" bestFit="1" customWidth="1"/>
    <col min="140" max="140" width="23" style="154" bestFit="1" customWidth="1"/>
    <col min="141" max="141" width="24.7109375" style="154" bestFit="1" customWidth="1"/>
    <col min="142" max="142" width="23.42578125" style="154" bestFit="1" customWidth="1"/>
    <col min="143" max="143" width="25.5703125" style="154" bestFit="1" customWidth="1"/>
    <col min="144" max="144" width="23.7109375" style="154" bestFit="1" customWidth="1"/>
    <col min="145" max="145" width="25.7109375" style="154" bestFit="1" customWidth="1"/>
    <col min="146" max="146" width="24.28515625" style="154" bestFit="1" customWidth="1"/>
    <col min="147" max="147" width="26.42578125" style="154" bestFit="1" customWidth="1"/>
    <col min="148" max="148" width="23.42578125" style="154" bestFit="1" customWidth="1"/>
    <col min="149" max="149" width="25.42578125" style="154" bestFit="1" customWidth="1"/>
    <col min="150" max="150" width="23.7109375" style="154" bestFit="1" customWidth="1"/>
    <col min="151" max="151" width="26.28515625" style="154" bestFit="1" customWidth="1"/>
    <col min="152" max="152" width="22.42578125" style="154" bestFit="1" customWidth="1"/>
    <col min="153" max="153" width="22.7109375" style="154" bestFit="1" customWidth="1"/>
    <col min="154" max="154" width="25" style="154" bestFit="1" customWidth="1"/>
    <col min="155" max="155" width="25.42578125" style="154" bestFit="1" customWidth="1"/>
    <col min="156" max="156" width="25.7109375" style="154" bestFit="1" customWidth="1"/>
    <col min="157" max="157" width="27.7109375" style="154" bestFit="1" customWidth="1"/>
    <col min="158" max="158" width="24" style="154" bestFit="1" customWidth="1"/>
    <col min="159" max="159" width="24.42578125" style="154" bestFit="1" customWidth="1"/>
    <col min="160" max="160" width="26.5703125" style="154" bestFit="1" customWidth="1"/>
    <col min="161" max="161" width="24.7109375" style="154" bestFit="1" customWidth="1"/>
    <col min="162" max="162" width="25.28515625" style="154" bestFit="1" customWidth="1"/>
    <col min="163" max="163" width="27.42578125" style="154" bestFit="1" customWidth="1"/>
    <col min="164" max="164" width="24.42578125" style="154" bestFit="1" customWidth="1"/>
    <col min="165" max="165" width="24.7109375" style="154" bestFit="1" customWidth="1"/>
    <col min="166" max="166" width="27.28515625" style="154" bestFit="1" customWidth="1"/>
    <col min="167" max="16384" width="8.7109375" style="154"/>
  </cols>
  <sheetData>
    <row r="1" spans="1:174" x14ac:dyDescent="0.25">
      <c r="A1" s="161" t="s">
        <v>397</v>
      </c>
    </row>
    <row r="4" spans="1:174" x14ac:dyDescent="0.25">
      <c r="B4" s="197">
        <v>2023</v>
      </c>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v>2034</v>
      </c>
      <c r="BF4" s="197"/>
      <c r="BG4" s="197"/>
      <c r="BH4" s="197"/>
      <c r="BI4" s="197"/>
      <c r="BJ4" s="197"/>
      <c r="BK4" s="197"/>
      <c r="BL4" s="197"/>
      <c r="BM4" s="197"/>
      <c r="BN4" s="197"/>
      <c r="BO4" s="197"/>
      <c r="BP4" s="197"/>
      <c r="BQ4" s="197"/>
      <c r="BR4" s="197"/>
      <c r="BS4" s="197"/>
      <c r="BT4" s="197"/>
      <c r="BU4" s="197"/>
      <c r="BV4" s="197"/>
      <c r="BW4" s="197"/>
      <c r="BX4" s="197"/>
      <c r="BY4" s="197"/>
      <c r="BZ4" s="197"/>
      <c r="CA4" s="197"/>
      <c r="CB4" s="197"/>
      <c r="CC4" s="197"/>
      <c r="CD4" s="197"/>
      <c r="CE4" s="197"/>
      <c r="CF4" s="197"/>
      <c r="CG4" s="197"/>
      <c r="CH4" s="197"/>
      <c r="CI4" s="197"/>
      <c r="CJ4" s="197"/>
      <c r="CK4" s="197"/>
      <c r="CL4" s="197"/>
      <c r="CM4" s="197"/>
      <c r="CN4" s="197"/>
      <c r="CO4" s="197"/>
      <c r="CP4" s="197"/>
      <c r="CQ4" s="197"/>
      <c r="CR4" s="197"/>
      <c r="CS4" s="197"/>
      <c r="CT4" s="197"/>
      <c r="CU4" s="197"/>
      <c r="CV4" s="197"/>
      <c r="CW4" s="197"/>
      <c r="CX4" s="197"/>
      <c r="CY4" s="197"/>
      <c r="CZ4" s="197"/>
      <c r="DA4" s="197"/>
      <c r="DB4" s="197"/>
      <c r="DC4" s="197"/>
      <c r="DD4" s="197"/>
      <c r="DE4" s="197"/>
      <c r="DF4" s="197"/>
      <c r="DG4" s="197"/>
      <c r="DH4" s="197">
        <v>2050</v>
      </c>
      <c r="DI4" s="197"/>
      <c r="DJ4" s="197"/>
      <c r="DK4" s="197"/>
      <c r="DL4" s="197"/>
      <c r="DM4" s="197"/>
      <c r="DN4" s="197"/>
      <c r="DO4" s="197"/>
      <c r="DP4" s="197"/>
      <c r="DQ4" s="197"/>
      <c r="DR4" s="197"/>
      <c r="DS4" s="197"/>
      <c r="DT4" s="197"/>
      <c r="DU4" s="197"/>
      <c r="DV4" s="197"/>
      <c r="DW4" s="197"/>
      <c r="DX4" s="197"/>
      <c r="DY4" s="197"/>
      <c r="DZ4" s="197"/>
      <c r="EA4" s="197"/>
      <c r="EB4" s="197"/>
      <c r="EC4" s="197"/>
      <c r="ED4" s="197"/>
      <c r="EE4" s="197"/>
      <c r="EF4" s="197"/>
      <c r="EG4" s="197"/>
      <c r="EH4" s="197"/>
      <c r="EI4" s="197"/>
      <c r="EJ4" s="197"/>
      <c r="EK4" s="197"/>
      <c r="EL4" s="197"/>
      <c r="EM4" s="197"/>
      <c r="EN4" s="197"/>
      <c r="EO4" s="197"/>
      <c r="EP4" s="197"/>
      <c r="EQ4" s="197"/>
      <c r="ER4" s="197"/>
      <c r="ES4" s="197"/>
      <c r="ET4" s="197"/>
      <c r="EU4" s="197"/>
      <c r="EV4" s="197"/>
      <c r="EW4" s="197"/>
      <c r="EX4" s="197"/>
      <c r="EY4" s="197"/>
      <c r="EZ4" s="197"/>
      <c r="FA4" s="197"/>
      <c r="FB4" s="197"/>
      <c r="FC4" s="197"/>
      <c r="FD4" s="197"/>
      <c r="FE4" s="197"/>
      <c r="FF4" s="197"/>
      <c r="FG4" s="197"/>
      <c r="FH4" s="197"/>
      <c r="FI4" s="197"/>
      <c r="FJ4" s="197"/>
    </row>
    <row r="5" spans="1:174" x14ac:dyDescent="0.25">
      <c r="B5" s="154" t="s">
        <v>378</v>
      </c>
      <c r="C5" s="154" t="s">
        <v>374</v>
      </c>
      <c r="D5" s="154" t="s">
        <v>327</v>
      </c>
      <c r="E5" s="154" t="s">
        <v>328</v>
      </c>
      <c r="F5" s="154" t="s">
        <v>329</v>
      </c>
      <c r="G5" s="154" t="s">
        <v>379</v>
      </c>
      <c r="H5" s="154" t="s">
        <v>375</v>
      </c>
      <c r="I5" s="154" t="s">
        <v>330</v>
      </c>
      <c r="J5" s="154" t="s">
        <v>331</v>
      </c>
      <c r="K5" s="154" t="s">
        <v>332</v>
      </c>
      <c r="L5" s="154" t="s">
        <v>380</v>
      </c>
      <c r="M5" s="154" t="s">
        <v>376</v>
      </c>
      <c r="N5" s="154" t="s">
        <v>333</v>
      </c>
      <c r="O5" s="154" t="s">
        <v>334</v>
      </c>
      <c r="P5" s="154" t="s">
        <v>335</v>
      </c>
      <c r="Q5" s="154" t="s">
        <v>381</v>
      </c>
      <c r="R5" s="154" t="s">
        <v>377</v>
      </c>
      <c r="S5" s="154" t="s">
        <v>336</v>
      </c>
      <c r="T5" s="154" t="s">
        <v>337</v>
      </c>
      <c r="U5" s="154" t="s">
        <v>338</v>
      </c>
      <c r="V5" s="154" t="s">
        <v>339</v>
      </c>
      <c r="W5" s="154" t="s">
        <v>340</v>
      </c>
      <c r="X5" s="154" t="s">
        <v>341</v>
      </c>
      <c r="Y5" s="154" t="s">
        <v>342</v>
      </c>
      <c r="Z5" s="154" t="s">
        <v>343</v>
      </c>
      <c r="AA5" s="154" t="s">
        <v>344</v>
      </c>
      <c r="AB5" s="154" t="s">
        <v>345</v>
      </c>
      <c r="AC5" s="154" t="s">
        <v>346</v>
      </c>
      <c r="AD5" s="154" t="s">
        <v>347</v>
      </c>
      <c r="AE5" s="154" t="s">
        <v>348</v>
      </c>
      <c r="AF5" s="154" t="s">
        <v>349</v>
      </c>
      <c r="AG5" s="154" t="s">
        <v>350</v>
      </c>
      <c r="AH5" s="154" t="s">
        <v>351</v>
      </c>
      <c r="AI5" s="154" t="s">
        <v>352</v>
      </c>
      <c r="AJ5" s="154" t="s">
        <v>353</v>
      </c>
      <c r="AK5" s="154" t="s">
        <v>354</v>
      </c>
      <c r="AL5" s="154" t="s">
        <v>355</v>
      </c>
      <c r="AM5" s="154" t="s">
        <v>356</v>
      </c>
      <c r="AN5" s="154" t="s">
        <v>357</v>
      </c>
      <c r="AO5" s="154" t="s">
        <v>358</v>
      </c>
      <c r="AP5" s="154" t="s">
        <v>359</v>
      </c>
      <c r="AQ5" s="154" t="s">
        <v>360</v>
      </c>
      <c r="AR5" s="154" t="s">
        <v>361</v>
      </c>
      <c r="AS5" s="154" t="s">
        <v>362</v>
      </c>
      <c r="AT5" s="154" t="s">
        <v>363</v>
      </c>
      <c r="AU5" s="154" t="s">
        <v>364</v>
      </c>
      <c r="AV5" s="154" t="s">
        <v>365</v>
      </c>
      <c r="AW5" s="154" t="s">
        <v>366</v>
      </c>
      <c r="AX5" s="154" t="s">
        <v>367</v>
      </c>
      <c r="AY5" s="154" t="s">
        <v>368</v>
      </c>
      <c r="AZ5" s="154" t="s">
        <v>369</v>
      </c>
      <c r="BA5" s="154" t="s">
        <v>370</v>
      </c>
      <c r="BB5" s="154" t="s">
        <v>371</v>
      </c>
      <c r="BC5" s="154" t="s">
        <v>372</v>
      </c>
      <c r="BD5" s="154" t="s">
        <v>373</v>
      </c>
      <c r="BE5" s="154" t="s">
        <v>378</v>
      </c>
      <c r="BF5" s="154" t="s">
        <v>374</v>
      </c>
      <c r="BG5" s="154" t="s">
        <v>327</v>
      </c>
      <c r="BH5" s="154" t="s">
        <v>328</v>
      </c>
      <c r="BI5" s="154" t="s">
        <v>329</v>
      </c>
      <c r="BJ5" s="154" t="s">
        <v>379</v>
      </c>
      <c r="BK5" s="154" t="s">
        <v>375</v>
      </c>
      <c r="BL5" s="154" t="s">
        <v>330</v>
      </c>
      <c r="BM5" s="154" t="s">
        <v>331</v>
      </c>
      <c r="BN5" s="154" t="s">
        <v>332</v>
      </c>
      <c r="BO5" s="154" t="s">
        <v>380</v>
      </c>
      <c r="BP5" s="154" t="s">
        <v>376</v>
      </c>
      <c r="BQ5" s="154" t="s">
        <v>333</v>
      </c>
      <c r="BR5" s="154" t="s">
        <v>334</v>
      </c>
      <c r="BS5" s="154" t="s">
        <v>335</v>
      </c>
      <c r="BT5" s="154" t="s">
        <v>381</v>
      </c>
      <c r="BU5" s="154" t="s">
        <v>377</v>
      </c>
      <c r="BV5" s="154" t="s">
        <v>336</v>
      </c>
      <c r="BW5" s="154" t="s">
        <v>337</v>
      </c>
      <c r="BX5" s="154" t="s">
        <v>338</v>
      </c>
      <c r="BY5" s="154" t="s">
        <v>339</v>
      </c>
      <c r="BZ5" s="154" t="s">
        <v>340</v>
      </c>
      <c r="CA5" s="154" t="s">
        <v>341</v>
      </c>
      <c r="CB5" s="154" t="s">
        <v>342</v>
      </c>
      <c r="CC5" s="154" t="s">
        <v>343</v>
      </c>
      <c r="CD5" s="154" t="s">
        <v>344</v>
      </c>
      <c r="CE5" s="154" t="s">
        <v>345</v>
      </c>
      <c r="CF5" s="154" t="s">
        <v>346</v>
      </c>
      <c r="CG5" s="154" t="s">
        <v>347</v>
      </c>
      <c r="CH5" s="154" t="s">
        <v>348</v>
      </c>
      <c r="CI5" s="154" t="s">
        <v>349</v>
      </c>
      <c r="CJ5" s="154" t="s">
        <v>350</v>
      </c>
      <c r="CK5" s="154" t="s">
        <v>351</v>
      </c>
      <c r="CL5" s="154" t="s">
        <v>352</v>
      </c>
      <c r="CM5" s="154" t="s">
        <v>353</v>
      </c>
      <c r="CN5" s="154" t="s">
        <v>354</v>
      </c>
      <c r="CO5" s="154" t="s">
        <v>355</v>
      </c>
      <c r="CP5" s="154" t="s">
        <v>356</v>
      </c>
      <c r="CQ5" s="154" t="s">
        <v>357</v>
      </c>
      <c r="CR5" s="154" t="s">
        <v>358</v>
      </c>
      <c r="CS5" s="154" t="s">
        <v>359</v>
      </c>
      <c r="CT5" s="154" t="s">
        <v>360</v>
      </c>
      <c r="CU5" s="154" t="s">
        <v>361</v>
      </c>
      <c r="CV5" s="154" t="s">
        <v>362</v>
      </c>
      <c r="CW5" s="154" t="s">
        <v>363</v>
      </c>
      <c r="CX5" s="154" t="s">
        <v>364</v>
      </c>
      <c r="CY5" s="154" t="s">
        <v>365</v>
      </c>
      <c r="CZ5" s="154" t="s">
        <v>366</v>
      </c>
      <c r="DA5" s="154" t="s">
        <v>367</v>
      </c>
      <c r="DB5" s="154" t="s">
        <v>368</v>
      </c>
      <c r="DC5" s="154" t="s">
        <v>369</v>
      </c>
      <c r="DD5" s="154" t="s">
        <v>370</v>
      </c>
      <c r="DE5" s="154" t="s">
        <v>371</v>
      </c>
      <c r="DF5" s="154" t="s">
        <v>372</v>
      </c>
      <c r="DG5" s="154" t="s">
        <v>373</v>
      </c>
      <c r="DH5" s="154" t="s">
        <v>378</v>
      </c>
      <c r="DI5" s="154" t="s">
        <v>374</v>
      </c>
      <c r="DJ5" s="154" t="s">
        <v>327</v>
      </c>
      <c r="DK5" s="154" t="s">
        <v>328</v>
      </c>
      <c r="DL5" s="154" t="s">
        <v>329</v>
      </c>
      <c r="DM5" s="154" t="s">
        <v>379</v>
      </c>
      <c r="DN5" s="154" t="s">
        <v>375</v>
      </c>
      <c r="DO5" s="154" t="s">
        <v>330</v>
      </c>
      <c r="DP5" s="154" t="s">
        <v>331</v>
      </c>
      <c r="DQ5" s="154" t="s">
        <v>332</v>
      </c>
      <c r="DR5" s="154" t="s">
        <v>380</v>
      </c>
      <c r="DS5" s="154" t="s">
        <v>376</v>
      </c>
      <c r="DT5" s="154" t="s">
        <v>333</v>
      </c>
      <c r="DU5" s="154" t="s">
        <v>334</v>
      </c>
      <c r="DV5" s="154" t="s">
        <v>335</v>
      </c>
      <c r="DW5" s="154" t="s">
        <v>381</v>
      </c>
      <c r="DX5" s="154" t="s">
        <v>377</v>
      </c>
      <c r="DY5" s="154" t="s">
        <v>336</v>
      </c>
      <c r="DZ5" s="154" t="s">
        <v>337</v>
      </c>
      <c r="EA5" s="154" t="s">
        <v>338</v>
      </c>
      <c r="EB5" s="154" t="s">
        <v>339</v>
      </c>
      <c r="EC5" s="154" t="s">
        <v>340</v>
      </c>
      <c r="ED5" s="154" t="s">
        <v>341</v>
      </c>
      <c r="EE5" s="154" t="s">
        <v>342</v>
      </c>
      <c r="EF5" s="154" t="s">
        <v>343</v>
      </c>
      <c r="EG5" s="154" t="s">
        <v>344</v>
      </c>
      <c r="EH5" s="154" t="s">
        <v>345</v>
      </c>
      <c r="EI5" s="154" t="s">
        <v>346</v>
      </c>
      <c r="EJ5" s="154" t="s">
        <v>347</v>
      </c>
      <c r="EK5" s="154" t="s">
        <v>348</v>
      </c>
      <c r="EL5" s="154" t="s">
        <v>349</v>
      </c>
      <c r="EM5" s="154" t="s">
        <v>350</v>
      </c>
      <c r="EN5" s="154" t="s">
        <v>351</v>
      </c>
      <c r="EO5" s="154" t="s">
        <v>352</v>
      </c>
      <c r="EP5" s="154" t="s">
        <v>353</v>
      </c>
      <c r="EQ5" s="154" t="s">
        <v>354</v>
      </c>
      <c r="ER5" s="154" t="s">
        <v>355</v>
      </c>
      <c r="ES5" s="154" t="s">
        <v>356</v>
      </c>
      <c r="ET5" s="154" t="s">
        <v>357</v>
      </c>
      <c r="EU5" s="154" t="s">
        <v>358</v>
      </c>
      <c r="EV5" s="154" t="s">
        <v>359</v>
      </c>
      <c r="EW5" s="154" t="s">
        <v>360</v>
      </c>
      <c r="EX5" s="154" t="s">
        <v>361</v>
      </c>
      <c r="EY5" s="154" t="s">
        <v>362</v>
      </c>
      <c r="EZ5" s="154" t="s">
        <v>363</v>
      </c>
      <c r="FA5" s="154" t="s">
        <v>364</v>
      </c>
      <c r="FB5" s="154" t="s">
        <v>365</v>
      </c>
      <c r="FC5" s="154" t="s">
        <v>366</v>
      </c>
      <c r="FD5" s="154" t="s">
        <v>367</v>
      </c>
      <c r="FE5" s="154" t="s">
        <v>368</v>
      </c>
      <c r="FF5" s="154" t="s">
        <v>369</v>
      </c>
      <c r="FG5" s="154" t="s">
        <v>370</v>
      </c>
      <c r="FH5" s="154" t="s">
        <v>371</v>
      </c>
      <c r="FI5" s="154" t="s">
        <v>372</v>
      </c>
      <c r="FJ5" s="154" t="s">
        <v>373</v>
      </c>
    </row>
    <row r="6" spans="1:174" x14ac:dyDescent="0.25">
      <c r="A6" s="154" t="s">
        <v>18</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25">
      <c r="A7" s="154" t="s">
        <v>28</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25">
      <c r="A8" s="154" t="s">
        <v>14</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25">
      <c r="A9" s="154" t="s">
        <v>25</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25">
      <c r="A10" s="154" t="s">
        <v>37</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25">
      <c r="A11" s="154" t="s">
        <v>52</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25">
      <c r="A12" s="154" t="s">
        <v>262</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25">
      <c r="A13" s="154" t="s">
        <v>67</v>
      </c>
      <c r="B13" s="157">
        <f>'Short-sea (HFO)'!B81</f>
        <v>1.9885516794763114E-3</v>
      </c>
      <c r="C13" s="156">
        <f>'Short-sea (MGO)'!B81</f>
        <v>4.4360443997863777E-3</v>
      </c>
      <c r="D13" s="156">
        <f>'Short-sea (Hydrogen)'!B81</f>
        <v>1.0998500789181229E-2</v>
      </c>
      <c r="E13" s="156">
        <f>'Short-sea (Ammonia)'!B81</f>
        <v>9.8428104466493447E-3</v>
      </c>
      <c r="F13" s="156">
        <f>'Short-sea (Methanol)'!B81</f>
        <v>2.3179426482003523E-2</v>
      </c>
      <c r="G13" s="154">
        <f>'Short-sea (HFO)'!B187</f>
        <v>1.9885516794763114E-3</v>
      </c>
      <c r="H13" s="156">
        <f>'Short-sea (MGO)'!B187</f>
        <v>4.4360443997863777E-3</v>
      </c>
      <c r="I13" s="156">
        <f>'Short-sea (Hydrogen)'!B187</f>
        <v>1.0998500789181229E-2</v>
      </c>
      <c r="J13" s="156">
        <f>'Short-sea (Ammonia)'!B187</f>
        <v>9.8428104466493447E-3</v>
      </c>
      <c r="K13" s="156">
        <f>'Short-sea (Methanol)'!B187</f>
        <v>2.3179426482003523E-2</v>
      </c>
      <c r="L13" s="156">
        <f>'Short-sea (HFO)'!B295</f>
        <v>1.9885516794763114E-3</v>
      </c>
      <c r="M13" s="156">
        <f>'Short-sea (MGO)'!B295</f>
        <v>4.4360443997863777E-3</v>
      </c>
      <c r="N13" s="156">
        <f>'Short-sea (Hydrogen)'!B295</f>
        <v>1.0998500789181229E-2</v>
      </c>
      <c r="O13" s="156">
        <f>'Short-sea (Ammonia)'!B295</f>
        <v>9.8428104466493447E-3</v>
      </c>
      <c r="P13" s="156">
        <f>'Short-sea (Methanol)'!B295</f>
        <v>2.3179426482003523E-2</v>
      </c>
      <c r="Q13" s="156">
        <f>'Short-sea (HFO)'!B404</f>
        <v>1.9885516794763114E-3</v>
      </c>
      <c r="R13" s="156">
        <f>'Short-sea (MGO)'!B404</f>
        <v>4.4360443997863777E-3</v>
      </c>
      <c r="S13" s="156">
        <f>'Short-sea (Hydrogen)'!B404</f>
        <v>1.0998500789181229E-2</v>
      </c>
      <c r="T13" s="156">
        <f>'Short-sea (Ammonia)'!B404</f>
        <v>9.8428104466493447E-3</v>
      </c>
      <c r="U13" s="156">
        <f>'Short-sea (Methanol)'!B404</f>
        <v>2.3179426482003523E-2</v>
      </c>
      <c r="V13" s="156">
        <f>'Railway (Diesel)'!B81</f>
        <v>2.2211568098096379E-3</v>
      </c>
      <c r="W13" s="156">
        <f>'Railway (Catenary)'!B81</f>
        <v>1.1431958244874703E-3</v>
      </c>
      <c r="X13" s="156">
        <f>'Railway (Battery)'!B81</f>
        <v>1.2146455635179375E-3</v>
      </c>
      <c r="Y13" s="156">
        <f>'Railway (Hydrogen)'!B81</f>
        <v>3.8421317513793731E-3</v>
      </c>
      <c r="Z13" s="156">
        <f>'Railway (Diesel)'!B187</f>
        <v>2.2211568098096379E-3</v>
      </c>
      <c r="AA13" s="156">
        <f>'Railway (Catenary)'!B187</f>
        <v>1.1431958244874703E-3</v>
      </c>
      <c r="AB13" s="156">
        <f>'Railway (Battery)'!B187</f>
        <v>1.2146455635179375E-3</v>
      </c>
      <c r="AC13" s="156">
        <f>'Railway (Hydrogen)'!B187</f>
        <v>3.8421317513793731E-3</v>
      </c>
      <c r="AD13" s="156">
        <f>'Railway (Diesel)'!B295</f>
        <v>2.2211568098096379E-3</v>
      </c>
      <c r="AE13" s="156">
        <f>'Railway (Catenary)'!B295</f>
        <v>1.1431958244874703E-3</v>
      </c>
      <c r="AF13" s="156">
        <f>'Railway (Battery)'!B295</f>
        <v>1.2146455635179375E-3</v>
      </c>
      <c r="AG13" s="156">
        <f>'Railway (Hydrogen)'!B295</f>
        <v>3.8421317513793731E-3</v>
      </c>
      <c r="AH13" s="156">
        <f>'Railway (Diesel)'!B404</f>
        <v>2.2211568098096379E-3</v>
      </c>
      <c r="AI13" s="156">
        <f>'Railway (Catenary)'!B404</f>
        <v>1.1431958244874703E-3</v>
      </c>
      <c r="AJ13" s="156">
        <f>'Railway (Battery)'!B404</f>
        <v>1.2146455635179375E-3</v>
      </c>
      <c r="AK13" s="156">
        <f>'Railway (Hydrogen)'!B404</f>
        <v>3.8421317513793731E-3</v>
      </c>
      <c r="AL13" s="156">
        <f>'Railway (Diesel)'!B509</f>
        <v>1.7769254478477103E-3</v>
      </c>
      <c r="AM13" s="156">
        <f>'Railway (Catenary)'!B509</f>
        <v>9.1455665958997635E-4</v>
      </c>
      <c r="AN13" s="156">
        <f>'Railway (Battery)'!B509</f>
        <v>9.717164508143499E-4</v>
      </c>
      <c r="AO13" s="156">
        <f>'Railway (Hydrogen)'!B509</f>
        <v>3.0737054011034984E-3</v>
      </c>
      <c r="AP13" s="156">
        <f>'Semi-trailer truck (Diesel)'!B81</f>
        <v>7.4999956937941573E-3</v>
      </c>
      <c r="AQ13" s="156">
        <f>'Semi-trailer truck (Battery)'!B81</f>
        <v>4.8598821824262202E-3</v>
      </c>
      <c r="AR13" s="156">
        <f>'Semi-trailer truck (Hydrogen)'!B81</f>
        <v>1.7662855635614476E-2</v>
      </c>
      <c r="AS13" s="156">
        <f>'Semi-trailer truck (Diesel)'!B187</f>
        <v>7.4999956937941573E-3</v>
      </c>
      <c r="AT13" s="156">
        <f>'Semi-trailer truck (Battery)'!B187</f>
        <v>4.8598821824262202E-3</v>
      </c>
      <c r="AU13" s="156">
        <f>'Semi-trailer truck (Hydrogen)'!B187</f>
        <v>1.7662855635614476E-2</v>
      </c>
      <c r="AV13" s="156">
        <f>'Semi-trailer truck (Diesel)'!B295</f>
        <v>7.4999956937941573E-3</v>
      </c>
      <c r="AW13" s="156">
        <f>'Semi-trailer truck (Battery)'!B295</f>
        <v>4.8598821824262202E-3</v>
      </c>
      <c r="AX13" s="156">
        <f>'Semi-trailer truck (Hydrogen)'!B295</f>
        <v>1.7662855635614476E-2</v>
      </c>
      <c r="AY13" s="156">
        <f>'Semi-trailer truck (Diesel)'!B404</f>
        <v>7.4999956937941573E-3</v>
      </c>
      <c r="AZ13" s="156">
        <f>'Semi-trailer truck (Battery)'!B404</f>
        <v>4.8598821824262202E-3</v>
      </c>
      <c r="BA13" s="156">
        <f>'Semi-trailer truck (Hydrogen)'!B404</f>
        <v>1.7662855635614472E-2</v>
      </c>
      <c r="BB13" s="156">
        <f>'Semi-trailer truck (Diesel)'!B509</f>
        <v>7.4999956937941573E-3</v>
      </c>
      <c r="BC13" s="156">
        <f>'Semi-trailer truck (Battery)'!B509</f>
        <v>4.8598821824262202E-3</v>
      </c>
      <c r="BD13" s="156">
        <f>'Semi-trailer truck (Hydrogen)'!B509</f>
        <v>1.7662855635614476E-2</v>
      </c>
      <c r="BE13" s="157">
        <f>'Short-sea (HFO)'!M81</f>
        <v>1.5474706053674888E-3</v>
      </c>
      <c r="BF13" s="156">
        <f>'Short-sea (MGO)'!M81</f>
        <v>3.4520844409647441E-3</v>
      </c>
      <c r="BG13" s="156">
        <f>'Short-sea (Hydrogen)'!M81</f>
        <v>9.2291415253648278E-3</v>
      </c>
      <c r="BH13" s="156">
        <f>'Short-sea (Ammonia)'!M81</f>
        <v>8.9836445575697966E-3</v>
      </c>
      <c r="BI13" s="156">
        <f>'Short-sea (Methanol)'!M81</f>
        <v>1.5009822198599115E-2</v>
      </c>
      <c r="BJ13" s="154">
        <f>'Short-sea (HFO)'!M187</f>
        <v>1.5474706053674888E-3</v>
      </c>
      <c r="BK13" s="156">
        <f>'Short-sea (MGO)'!M187</f>
        <v>3.4520844409647441E-3</v>
      </c>
      <c r="BL13" s="156">
        <f>'Short-sea (Hydrogen)'!M187</f>
        <v>9.2291415253648278E-3</v>
      </c>
      <c r="BM13" s="156">
        <f>'Short-sea (Ammonia)'!M187</f>
        <v>8.9836445575697966E-3</v>
      </c>
      <c r="BN13" s="156">
        <f>'Short-sea (Methanol)'!M187</f>
        <v>1.5009822198599115E-2</v>
      </c>
      <c r="BO13" s="156">
        <f>'Short-sea (HFO)'!M295</f>
        <v>1.5474706053674888E-3</v>
      </c>
      <c r="BP13" s="156">
        <f>'Short-sea (MGO)'!M295</f>
        <v>3.4520844409647441E-3</v>
      </c>
      <c r="BQ13" s="156">
        <f>'Short-sea (Hydrogen)'!M295</f>
        <v>9.2291415253648278E-3</v>
      </c>
      <c r="BR13" s="156">
        <f>'Short-sea (Ammonia)'!M295</f>
        <v>8.9836445575697966E-3</v>
      </c>
      <c r="BS13" s="156">
        <f>'Short-sea (Methanol)'!M295</f>
        <v>1.5009822198599115E-2</v>
      </c>
      <c r="BT13" s="156">
        <f>'Short-sea (HFO)'!M404</f>
        <v>1.5474706053674888E-3</v>
      </c>
      <c r="BU13" s="156">
        <f>'Short-sea (MGO)'!M404</f>
        <v>3.4520844409647441E-3</v>
      </c>
      <c r="BV13" s="156">
        <f>'Short-sea (Hydrogen)'!M404</f>
        <v>9.2291415253648278E-3</v>
      </c>
      <c r="BW13" s="156">
        <f>'Short-sea (Ammonia)'!M404</f>
        <v>8.9836445575697966E-3</v>
      </c>
      <c r="BX13" s="156">
        <f>'Short-sea (Methanol)'!M404</f>
        <v>1.5009822198599115E-2</v>
      </c>
      <c r="BY13" s="156">
        <f>'Railway (Diesel)'!M81</f>
        <v>1.7417000535071175E-3</v>
      </c>
      <c r="BZ13" s="156">
        <f>'Railway (Catenary)'!M81</f>
        <v>1.2598676559575413E-3</v>
      </c>
      <c r="CA13" s="156">
        <f>'Railway (Battery)'!M81</f>
        <v>1.3386093844548876E-3</v>
      </c>
      <c r="CB13" s="156">
        <f>'Railway (Hydrogen)'!M81</f>
        <v>3.0499460445107076E-3</v>
      </c>
      <c r="CC13" s="156">
        <f>'Railway (Diesel)'!M187</f>
        <v>1.7417000535071175E-3</v>
      </c>
      <c r="CD13" s="156">
        <f>'Railway (Catenary)'!M187</f>
        <v>1.2598676559575413E-3</v>
      </c>
      <c r="CE13" s="156">
        <f>'Railway (Battery)'!M187</f>
        <v>1.3386093844548876E-3</v>
      </c>
      <c r="CF13" s="156">
        <f>'Railway (Hydrogen)'!M187</f>
        <v>3.0499460445107076E-3</v>
      </c>
      <c r="CG13" s="156">
        <f>'Railway (Diesel)'!M295</f>
        <v>1.7417000535071175E-3</v>
      </c>
      <c r="CH13" s="156">
        <f>'Railway (Catenary)'!M295</f>
        <v>1.2598676559575413E-3</v>
      </c>
      <c r="CI13" s="156">
        <f>'Railway (Battery)'!M295</f>
        <v>1.3386093844548876E-3</v>
      </c>
      <c r="CJ13" s="156">
        <f>'Railway (Hydrogen)'!M295</f>
        <v>3.0499460445107076E-3</v>
      </c>
      <c r="CK13" s="156">
        <f>'Railway (Diesel)'!M404</f>
        <v>1.7417000535071175E-3</v>
      </c>
      <c r="CL13" s="156">
        <f>'Railway (Catenary)'!M404</f>
        <v>1.2598676559575413E-3</v>
      </c>
      <c r="CM13" s="156">
        <f>'Railway (Battery)'!M404</f>
        <v>1.3386093844548876E-3</v>
      </c>
      <c r="CN13" s="156">
        <f>'Railway (Hydrogen)'!M404</f>
        <v>3.0499460445107076E-3</v>
      </c>
      <c r="CO13" s="156">
        <f>'Railway (Diesel)'!M509</f>
        <v>1.3933600428056938E-3</v>
      </c>
      <c r="CP13" s="156">
        <f>'Railway (Catenary)'!M509</f>
        <v>1.0078941247660331E-3</v>
      </c>
      <c r="CQ13" s="156">
        <f>'Railway (Battery)'!M509</f>
        <v>1.0708875075639099E-3</v>
      </c>
      <c r="CR13" s="156">
        <f>'Railway (Hydrogen)'!M509</f>
        <v>2.4399568356085659E-3</v>
      </c>
      <c r="CS13" s="156">
        <f>'Semi-trailer truck (Diesel)'!M81</f>
        <v>5.4476320290995812E-3</v>
      </c>
      <c r="CT13" s="156">
        <f>'Semi-trailer truck (Battery)'!M81</f>
        <v>5.5719568088488311E-3</v>
      </c>
      <c r="CU13" s="156">
        <f>'Semi-trailer truck (Hydrogen)'!M81</f>
        <v>1.1998664665103829E-2</v>
      </c>
      <c r="CV13" s="156">
        <f>'Semi-trailer truck (Diesel)'!M187</f>
        <v>5.4476320290995812E-3</v>
      </c>
      <c r="CW13" s="156">
        <f>'Semi-trailer truck (Battery)'!M187</f>
        <v>4.3849921608221393E-3</v>
      </c>
      <c r="CX13" s="156">
        <f>'Semi-trailer truck (Hydrogen)'!M187</f>
        <v>1.1998664665103829E-2</v>
      </c>
      <c r="CY13" s="156">
        <f>'Semi-trailer truck (Diesel)'!M295</f>
        <v>5.4476320290995812E-3</v>
      </c>
      <c r="CZ13" s="156">
        <f>'Semi-trailer truck (Battery)'!M295</f>
        <v>4.3849921608221393E-3</v>
      </c>
      <c r="DA13" s="156">
        <f>'Semi-trailer truck (Hydrogen)'!M295</f>
        <v>1.1998664665103829E-2</v>
      </c>
      <c r="DB13" s="156">
        <f>'Semi-trailer truck (Diesel)'!M404</f>
        <v>5.4476320290995812E-3</v>
      </c>
      <c r="DC13" s="156">
        <f>'Semi-trailer truck (Battery)'!M404</f>
        <v>4.3849921608221393E-3</v>
      </c>
      <c r="DD13" s="156">
        <f>'Semi-trailer truck (Hydrogen)'!M404</f>
        <v>1.1998664665103829E-2</v>
      </c>
      <c r="DE13" s="156">
        <f>'Semi-trailer truck (Diesel)'!M509</f>
        <v>5.4476320290995812E-3</v>
      </c>
      <c r="DF13" s="156">
        <f>'Semi-trailer truck (Battery)'!M509</f>
        <v>4.3849921608221393E-3</v>
      </c>
      <c r="DG13" s="156">
        <f>'Semi-trailer truck (Hydrogen)'!M509</f>
        <v>1.1998664665103829E-2</v>
      </c>
      <c r="DH13" s="157">
        <f>'Short-sea (HFO)'!AC81</f>
        <v>1.2203078195589308E-3</v>
      </c>
      <c r="DI13" s="156">
        <f>'Short-sea (MGO)'!AC81</f>
        <v>2.7222524437461601E-3</v>
      </c>
      <c r="DJ13" s="156">
        <f>'Short-sea (Hydrogen)'!AC81</f>
        <v>5.7533619435061857E-3</v>
      </c>
      <c r="DK13" s="156">
        <f>'Short-sea (Ammonia)'!AC81</f>
        <v>5.981953183602064E-3</v>
      </c>
      <c r="DL13" s="156">
        <f>'Short-sea (Methanol)'!AC81</f>
        <v>8.648815138865713E-3</v>
      </c>
      <c r="DM13" s="154">
        <f>'Short-sea (HFO)'!AC187</f>
        <v>1.2203078195589308E-3</v>
      </c>
      <c r="DN13" s="156">
        <f>'Short-sea (MGO)'!AC187</f>
        <v>2.7222524437461601E-3</v>
      </c>
      <c r="DO13" s="156">
        <f>'Short-sea (Hydrogen)'!AC187</f>
        <v>5.7533619435061857E-3</v>
      </c>
      <c r="DP13" s="156">
        <f>'Short-sea (Ammonia)'!AC187</f>
        <v>5.981953183602064E-3</v>
      </c>
      <c r="DQ13" s="156">
        <f>'Short-sea (Methanol)'!AC187</f>
        <v>8.648815138865713E-3</v>
      </c>
      <c r="DR13" s="156">
        <f>'Short-sea (HFO)'!AC295</f>
        <v>1.2203078195589308E-3</v>
      </c>
      <c r="DS13" s="156">
        <f>'Short-sea (MGO)'!AC295</f>
        <v>2.7222524437461601E-3</v>
      </c>
      <c r="DT13" s="156">
        <f>'Short-sea (Hydrogen)'!AC295</f>
        <v>5.7533619435061857E-3</v>
      </c>
      <c r="DU13" s="156">
        <f>'Short-sea (Ammonia)'!AC295</f>
        <v>5.981953183602064E-3</v>
      </c>
      <c r="DV13" s="156">
        <f>'Short-sea (Methanol)'!AC295</f>
        <v>8.648815138865713E-3</v>
      </c>
      <c r="DW13" s="156">
        <f>'Short-sea (HFO)'!AC404</f>
        <v>1.2203078195589308E-3</v>
      </c>
      <c r="DX13" s="156">
        <f>'Short-sea (MGO)'!AC404</f>
        <v>2.7222524437461601E-3</v>
      </c>
      <c r="DY13" s="156">
        <f>'Short-sea (Hydrogen)'!AC404</f>
        <v>5.7533619435061857E-3</v>
      </c>
      <c r="DZ13" s="156">
        <f>'Short-sea (Ammonia)'!AC404</f>
        <v>5.981953183602064E-3</v>
      </c>
      <c r="EA13" s="156">
        <f>'Short-sea (Methanol)'!AC404</f>
        <v>8.648815138865713E-3</v>
      </c>
      <c r="EB13" s="156">
        <f>'Railway (Diesel)'!AC81</f>
        <v>1.4677247641913908E-3</v>
      </c>
      <c r="EC13" s="156">
        <f>'Railway (Catenary)'!AC81</f>
        <v>1.1055597498197058E-3</v>
      </c>
      <c r="ED13" s="156">
        <f>'Railway (Battery)'!AC81</f>
        <v>1.1746572341834374E-3</v>
      </c>
      <c r="EE13" s="156">
        <f>'Railway (Hydrogen)'!AC81</f>
        <v>1.9299899093780208E-3</v>
      </c>
      <c r="EF13" s="156">
        <f>'Railway (Diesel)'!AC187</f>
        <v>1.4677247641913908E-3</v>
      </c>
      <c r="EG13" s="156">
        <f>'Railway (Catenary)'!AC187</f>
        <v>1.1055597498197058E-3</v>
      </c>
      <c r="EH13" s="156">
        <f>'Railway (Battery)'!AC187</f>
        <v>1.1746572341834374E-3</v>
      </c>
      <c r="EI13" s="156">
        <f>'Railway (Hydrogen)'!AC187</f>
        <v>1.9299899093780208E-3</v>
      </c>
      <c r="EJ13" s="156">
        <f>'Railway (Diesel)'!AC295</f>
        <v>1.4677247641913908E-3</v>
      </c>
      <c r="EK13" s="156">
        <f>'Railway (Catenary)'!AC295</f>
        <v>1.1055597498197058E-3</v>
      </c>
      <c r="EL13" s="156">
        <f>'Railway (Battery)'!AC295</f>
        <v>1.1746572341834374E-3</v>
      </c>
      <c r="EM13" s="156">
        <f>'Railway (Hydrogen)'!AC295</f>
        <v>1.9299899093780208E-3</v>
      </c>
      <c r="EN13" s="156">
        <f>'Railway (Diesel)'!AC404</f>
        <v>1.4677247641913908E-3</v>
      </c>
      <c r="EO13" s="156">
        <f>'Railway (Catenary)'!AC404</f>
        <v>1.1055597498197058E-3</v>
      </c>
      <c r="EP13" s="156">
        <f>'Railway (Battery)'!AC404</f>
        <v>1.1746572341834374E-3</v>
      </c>
      <c r="EQ13" s="156">
        <f>'Railway (Hydrogen)'!AC404</f>
        <v>1.9299899093780208E-3</v>
      </c>
      <c r="ER13" s="156">
        <f>'Railway (Diesel)'!AC509</f>
        <v>1.1741798113531128E-3</v>
      </c>
      <c r="ES13" s="156">
        <f>'Railway (Catenary)'!AC509</f>
        <v>8.8444779985576464E-4</v>
      </c>
      <c r="ET13" s="156">
        <f>'Railway (Battery)'!AC509</f>
        <v>9.3972578734674984E-4</v>
      </c>
      <c r="EU13" s="156">
        <f>'Railway (Hydrogen)'!AC509</f>
        <v>1.5439919275024167E-3</v>
      </c>
      <c r="EV13" s="156">
        <f>'Semi-trailer truck (Diesel)'!AC81</f>
        <v>4.1127344164172209E-3</v>
      </c>
      <c r="EW13" s="156">
        <f>'Semi-trailer truck (Battery)'!AC81</f>
        <v>4.0342174151229478E-3</v>
      </c>
      <c r="EX13" s="156">
        <f>'Semi-trailer truck (Hydrogen)'!AC81</f>
        <v>7.4863769124855761E-3</v>
      </c>
      <c r="EY13" s="156">
        <f>'Semi-trailer truck (Diesel)'!AC187</f>
        <v>4.1127344164172209E-3</v>
      </c>
      <c r="EZ13" s="156">
        <f>'Semi-trailer truck (Battery)'!AC187</f>
        <v>3.6038550798649731E-3</v>
      </c>
      <c r="FA13" s="156">
        <f>'Semi-trailer truck (Hydrogen)'!AC187</f>
        <v>7.4863769124855761E-3</v>
      </c>
      <c r="FB13" s="156">
        <f>'Semi-trailer truck (Diesel)'!AC295</f>
        <v>4.1127344164172217E-3</v>
      </c>
      <c r="FC13" s="156">
        <f>'Semi-trailer truck (Battery)'!AC295</f>
        <v>3.6038550798649727E-3</v>
      </c>
      <c r="FD13" s="156">
        <f>'Semi-trailer truck (Hydrogen)'!AC295</f>
        <v>7.486376912485577E-3</v>
      </c>
      <c r="FE13" s="156">
        <f>'Semi-trailer truck (Diesel)'!AC404</f>
        <v>4.1127344164172209E-3</v>
      </c>
      <c r="FF13" s="156">
        <f>'Semi-trailer truck (Battery)'!AC404</f>
        <v>3.6038550798649731E-3</v>
      </c>
      <c r="FG13" s="156">
        <f>'Semi-trailer truck (Hydrogen)'!AC404</f>
        <v>7.4863769124855761E-3</v>
      </c>
      <c r="FH13" s="156">
        <f>'Semi-trailer truck (Diesel)'!AC509</f>
        <v>4.11273441641722E-3</v>
      </c>
      <c r="FI13" s="156">
        <f>'Semi-trailer truck (Battery)'!AC509</f>
        <v>3.6038550798649731E-3</v>
      </c>
      <c r="FJ13" s="156">
        <f>'Semi-trailer truck (Hydrogen)'!AC509</f>
        <v>7.486376912485577E-3</v>
      </c>
      <c r="FK13" s="156"/>
      <c r="FL13" s="156"/>
      <c r="FM13" s="156"/>
      <c r="FN13" s="156"/>
      <c r="FP13" s="156"/>
      <c r="FQ13" s="156"/>
      <c r="FR13" s="156"/>
    </row>
    <row r="14" spans="1:174" x14ac:dyDescent="0.25">
      <c r="A14" s="154" t="s">
        <v>56</v>
      </c>
      <c r="B14" s="157">
        <f>'Short-sea (HFO)'!B82</f>
        <v>2.1559179817390011E-3</v>
      </c>
      <c r="C14" s="156">
        <f>'Short-sea (MGO)'!B82</f>
        <v>3.3076792618849139E-3</v>
      </c>
      <c r="D14" s="156">
        <f>'Short-sea (Hydrogen)'!B82</f>
        <v>6.8199956541845873E-3</v>
      </c>
      <c r="E14" s="156">
        <f>'Short-sea (Ammonia)'!B82</f>
        <v>6.2760451256054419E-3</v>
      </c>
      <c r="F14" s="156">
        <f>'Short-sea (Methanol)'!B82</f>
        <v>1.2290807122381234E-2</v>
      </c>
      <c r="G14" s="154">
        <f>'Short-sea (HFO)'!B188</f>
        <v>3.7016151138716128E-3</v>
      </c>
      <c r="H14" s="156">
        <f>'Short-sea (MGO)'!B188</f>
        <v>5.5230050452651511E-3</v>
      </c>
      <c r="I14" s="156">
        <f>'Short-sea (Hydrogen)'!B188</f>
        <v>1.1077365851692542E-2</v>
      </c>
      <c r="J14" s="156">
        <f>'Short-sea (Ammonia)'!B188</f>
        <v>1.0217165015799936E-2</v>
      </c>
      <c r="K14" s="156">
        <f>'Short-sea (Methanol)'!B188</f>
        <v>1.9728881661863987E-2</v>
      </c>
      <c r="L14" s="156">
        <f>'Short-sea (HFO)'!B296</f>
        <v>4.2256929718494868E-3</v>
      </c>
      <c r="M14" s="156">
        <f>'Short-sea (MGO)'!B296</f>
        <v>6.4849170213664717E-3</v>
      </c>
      <c r="N14" s="156">
        <f>'Short-sea (Hydrogen)'!B296</f>
        <v>1.3374460713954293E-2</v>
      </c>
      <c r="O14" s="156">
        <f>'Short-sea (Ammonia)'!B296</f>
        <v>1.230748083097212E-2</v>
      </c>
      <c r="P14" s="156">
        <f>'Short-sea (Methanol)'!B296</f>
        <v>2.4105667824647722E-2</v>
      </c>
      <c r="Q14" s="156">
        <f>'Short-sea (HFO)'!B405</f>
        <v>2.1542748483938546E-3</v>
      </c>
      <c r="R14" s="156">
        <f>'Short-sea (MGO)'!B405</f>
        <v>3.3060361285397683E-3</v>
      </c>
      <c r="S14" s="156">
        <f>'Short-sea (Hydrogen)'!B405</f>
        <v>6.8183525208394408E-3</v>
      </c>
      <c r="T14" s="156">
        <f>'Short-sea (Ammonia)'!B405</f>
        <v>6.2744019922602937E-3</v>
      </c>
      <c r="U14" s="156">
        <f>'Short-sea (Methanol)'!B405</f>
        <v>1.2289163989036088E-2</v>
      </c>
      <c r="V14" s="156">
        <f>'Railway (Diesel)'!B82</f>
        <v>5.4419257673008932E-3</v>
      </c>
      <c r="W14" s="156">
        <f>'Railway (Catenary)'!B82</f>
        <v>4.4286626162296418E-3</v>
      </c>
      <c r="X14" s="156">
        <f>'Railway (Battery)'!B82</f>
        <v>6.0113711596236075E-3</v>
      </c>
      <c r="Y14" s="156">
        <f>'Railway (Hydrogen)'!B82</f>
        <v>7.6203695927016587E-3</v>
      </c>
      <c r="Z14" s="156">
        <f>'Railway (Diesel)'!B188</f>
        <v>1.3090202775817922E-2</v>
      </c>
      <c r="AA14" s="156">
        <f>'Railway (Catenary)'!B188</f>
        <v>1.0669629692703261E-2</v>
      </c>
      <c r="AB14" s="156">
        <f>'Railway (Battery)'!B188</f>
        <v>1.4450544546366626E-2</v>
      </c>
      <c r="AC14" s="156">
        <f>'Railway (Hydrogen)'!B188</f>
        <v>1.829426302538641E-2</v>
      </c>
      <c r="AD14" s="156">
        <f>'Railway (Diesel)'!B296</f>
        <v>1.2338786944597011E-2</v>
      </c>
      <c r="AE14" s="156">
        <f>'Railway (Catenary)'!B296</f>
        <v>9.9182138614823563E-3</v>
      </c>
      <c r="AF14" s="156">
        <f>'Railway (Battery)'!B296</f>
        <v>1.369912871514572E-2</v>
      </c>
      <c r="AG14" s="156">
        <f>'Railway (Hydrogen)'!B296</f>
        <v>1.754284719416551E-2</v>
      </c>
      <c r="AH14" s="156">
        <f>'Railway (Diesel)'!B405</f>
        <v>5.4157582024372992E-3</v>
      </c>
      <c r="AI14" s="156">
        <f>'Railway (Catenary)'!B405</f>
        <v>4.7152305918201406E-3</v>
      </c>
      <c r="AJ14" s="156">
        <f>'Railway (Battery)'!B405</f>
        <v>5.8094488440431271E-3</v>
      </c>
      <c r="AK14" s="156">
        <f>'Railway (Hydrogen)'!B405</f>
        <v>6.9218428224674562E-3</v>
      </c>
      <c r="AL14" s="156">
        <f>'Railway (Diesel)'!B510</f>
        <v>1.4728901620926023E-2</v>
      </c>
      <c r="AM14" s="156">
        <f>'Railway (Catenary)'!B510</f>
        <v>1.1948057195208257E-2</v>
      </c>
      <c r="AN14" s="156">
        <f>'Railway (Battery)'!B510</f>
        <v>1.6291712864300586E-2</v>
      </c>
      <c r="AO14" s="156">
        <f>'Railway (Hydrogen)'!B510</f>
        <v>2.0707519675081457E-2</v>
      </c>
      <c r="AP14" s="156">
        <f>'Semi-trailer truck (Diesel)'!B82</f>
        <v>7.1930209617625959E-2</v>
      </c>
      <c r="AQ14" s="156">
        <f>'Semi-trailer truck (Battery)'!B82</f>
        <v>8.986363136102013E-2</v>
      </c>
      <c r="AR14" s="156">
        <f>'Semi-trailer truck (Hydrogen)'!B82</f>
        <v>0.10564710855761061</v>
      </c>
      <c r="AS14" s="156">
        <f>'Semi-trailer truck (Diesel)'!B188</f>
        <v>2.9789398608815854E-2</v>
      </c>
      <c r="AT14" s="156">
        <f>'Semi-trailer truck (Battery)'!B188</f>
        <v>3.5466216512344939E-2</v>
      </c>
      <c r="AU14" s="156">
        <f>'Semi-trailer truck (Hydrogen)'!B188</f>
        <v>4.4716820201651866E-2</v>
      </c>
      <c r="AV14" s="156">
        <f>'Semi-trailer truck (Diesel)'!B296</f>
        <v>3.3396114676104878E-2</v>
      </c>
      <c r="AW14" s="156">
        <f>'Semi-trailer truck (Battery)'!B296</f>
        <v>4.0140769240826754E-2</v>
      </c>
      <c r="AX14" s="156">
        <f>'Semi-trailer truck (Hydrogen)'!B296</f>
        <v>5.0617947339419211E-2</v>
      </c>
      <c r="AY14" s="156">
        <f>'Semi-trailer truck (Diesel)'!B405</f>
        <v>4.2908478999872157E-2</v>
      </c>
      <c r="AZ14" s="156">
        <f>'Semi-trailer truck (Battery)'!B405</f>
        <v>5.2563966855782907E-2</v>
      </c>
      <c r="BA14" s="156">
        <f>'Semi-trailer truck (Hydrogen)'!B405</f>
        <v>6.3873900524220817E-2</v>
      </c>
      <c r="BB14" s="156">
        <f>'Semi-trailer truck (Diesel)'!B510</f>
        <v>3.3860297081009468E-2</v>
      </c>
      <c r="BC14" s="156">
        <f>'Semi-trailer truck (Battery)'!B510</f>
        <v>4.1128644263132688E-2</v>
      </c>
      <c r="BD14" s="156">
        <f>'Semi-trailer truck (Hydrogen)'!B510</f>
        <v>5.0834565979525945E-2</v>
      </c>
      <c r="BE14" s="157">
        <f>'Short-sea (HFO)'!M82</f>
        <v>1.9508936771299827E-3</v>
      </c>
      <c r="BF14" s="156">
        <f>'Short-sea (MGO)'!M82</f>
        <v>2.8471825409404541E-3</v>
      </c>
      <c r="BG14" s="156">
        <f>'Short-sea (Hydrogen)'!M82</f>
        <v>5.9502244093326464E-3</v>
      </c>
      <c r="BH14" s="156">
        <f>'Short-sea (Ammonia)'!M82</f>
        <v>5.8300223073278357E-3</v>
      </c>
      <c r="BI14" s="156">
        <f>'Short-sea (Methanol)'!M82</f>
        <v>8.4292476197635399E-3</v>
      </c>
      <c r="BJ14" s="154">
        <f>'Short-sea (HFO)'!M188</f>
        <v>3.3773906321643262E-3</v>
      </c>
      <c r="BK14" s="156">
        <f>'Short-sea (MGO)'!M188</f>
        <v>4.7947776726087951E-3</v>
      </c>
      <c r="BL14" s="156">
        <f>'Short-sea (Hydrogen)'!M188</f>
        <v>9.7019136505313314E-3</v>
      </c>
      <c r="BM14" s="156">
        <f>'Short-sea (Ammonia)'!M188</f>
        <v>9.5118266055004737E-3</v>
      </c>
      <c r="BN14" s="156">
        <f>'Short-sea (Methanol)'!M188</f>
        <v>1.3622229425166239E-2</v>
      </c>
      <c r="BO14" s="156">
        <f>'Short-sea (HFO)'!M296</f>
        <v>3.8235299128087192E-3</v>
      </c>
      <c r="BP14" s="156">
        <f>'Short-sea (MGO)'!M296</f>
        <v>5.5816349918215687E-3</v>
      </c>
      <c r="BQ14" s="156">
        <f>'Short-sea (Hydrogen)'!M296</f>
        <v>1.1668370964437022E-2</v>
      </c>
      <c r="BR14" s="156">
        <f>'Short-sea (Ammonia)'!M296</f>
        <v>1.1432589918196824E-2</v>
      </c>
      <c r="BS14" s="156">
        <f>'Short-sea (Methanol)'!M296</f>
        <v>1.6531070338743781E-2</v>
      </c>
      <c r="BT14" s="156">
        <f>'Short-sea (HFO)'!M405</f>
        <v>1.9492505437848362E-3</v>
      </c>
      <c r="BU14" s="156">
        <f>'Short-sea (MGO)'!M405</f>
        <v>2.8455394075953084E-3</v>
      </c>
      <c r="BV14" s="156">
        <f>'Short-sea (Hydrogen)'!M405</f>
        <v>5.9485812759874999E-3</v>
      </c>
      <c r="BW14" s="156">
        <f>'Short-sea (Ammonia)'!M405</f>
        <v>5.828379173982691E-3</v>
      </c>
      <c r="BX14" s="156">
        <f>'Short-sea (Methanol)'!M405</f>
        <v>8.4276044864183934E-3</v>
      </c>
      <c r="BY14" s="156">
        <f>'Railway (Diesel)'!M82</f>
        <v>5.1905392137826505E-3</v>
      </c>
      <c r="BZ14" s="156">
        <f>'Railway (Catenary)'!M82</f>
        <v>4.4942905214315574E-3</v>
      </c>
      <c r="CA14" s="156">
        <f>'Railway (Battery)'!M82</f>
        <v>5.569574338381466E-3</v>
      </c>
      <c r="CB14" s="156">
        <f>'Railway (Hydrogen)'!M82</f>
        <v>6.3517094432929966E-3</v>
      </c>
      <c r="CC14" s="156">
        <f>'Railway (Diesel)'!M188</f>
        <v>1.2489668231302119E-2</v>
      </c>
      <c r="CD14" s="156">
        <f>'Railway (Catenary)'!M188</f>
        <v>1.0826407466241172E-2</v>
      </c>
      <c r="CE14" s="156">
        <f>'Railway (Battery)'!M188</f>
        <v>1.3395141028954841E-2</v>
      </c>
      <c r="CF14" s="156">
        <f>'Railway (Hydrogen)'!M188</f>
        <v>1.5263574890687939E-2</v>
      </c>
      <c r="CG14" s="156">
        <f>'Railway (Diesel)'!M296</f>
        <v>1.1738252400081211E-2</v>
      </c>
      <c r="CH14" s="156">
        <f>'Railway (Catenary)'!M296</f>
        <v>1.0074991635020264E-2</v>
      </c>
      <c r="CI14" s="156">
        <f>'Railway (Battery)'!M296</f>
        <v>1.2643725197733935E-2</v>
      </c>
      <c r="CJ14" s="156">
        <f>'Railway (Hydrogen)'!M296</f>
        <v>1.4512159059467034E-2</v>
      </c>
      <c r="CK14" s="156">
        <f>'Railway (Diesel)'!M405</f>
        <v>5.241960091362961E-3</v>
      </c>
      <c r="CL14" s="156">
        <f>'Railway (Catenary)'!M405</f>
        <v>4.7606029707251678E-3</v>
      </c>
      <c r="CM14" s="156">
        <f>'Railway (Battery)'!M405</f>
        <v>5.5040090663942397E-3</v>
      </c>
      <c r="CN14" s="156">
        <f>'Railway (Hydrogen)'!M405</f>
        <v>6.0447444475676421E-3</v>
      </c>
      <c r="CO14" s="156">
        <f>'Railway (Diesel)'!M510</f>
        <v>1.4038985190714847E-2</v>
      </c>
      <c r="CP14" s="156">
        <f>'Railway (Catenary)'!M510</f>
        <v>1.2128169335040177E-2</v>
      </c>
      <c r="CQ14" s="156">
        <f>'Railway (Battery)'!M510</f>
        <v>1.5079226032669374E-2</v>
      </c>
      <c r="CR14" s="156">
        <f>'Railway (Hydrogen)'!M510</f>
        <v>1.722575237614879E-2</v>
      </c>
      <c r="CS14" s="156">
        <f>'Semi-trailer truck (Diesel)'!M82</f>
        <v>7.1063283561263069E-2</v>
      </c>
      <c r="CT14" s="156">
        <f>'Semi-trailer truck (Battery)'!M82</f>
        <v>7.4785156649354201E-2</v>
      </c>
      <c r="CU14" s="156">
        <f>'Semi-trailer truck (Hydrogen)'!M82</f>
        <v>8.4671826672179554E-2</v>
      </c>
      <c r="CV14" s="156">
        <f>'Semi-trailer truck (Diesel)'!M188</f>
        <v>2.8901851205672423E-2</v>
      </c>
      <c r="CW14" s="156">
        <f>'Semi-trailer truck (Battery)'!M188</f>
        <v>2.9601411324949055E-2</v>
      </c>
      <c r="CX14" s="156">
        <f>'Semi-trailer truck (Hydrogen)'!M188</f>
        <v>3.5615568998115327E-2</v>
      </c>
      <c r="CY14" s="156">
        <f>'Semi-trailer truck (Diesel)'!M296</f>
        <v>3.2415620430095805E-2</v>
      </c>
      <c r="CZ14" s="156">
        <f>'Semi-trailer truck (Battery)'!M296</f>
        <v>3.3268905305089622E-2</v>
      </c>
      <c r="DA14" s="156">
        <f>'Semi-trailer truck (Hydrogen)'!M296</f>
        <v>4.0101819154188284E-2</v>
      </c>
      <c r="DB14" s="156">
        <f>'Semi-trailer truck (Diesel)'!M405</f>
        <v>4.203646493667039E-2</v>
      </c>
      <c r="DC14" s="156">
        <f>'Semi-trailer truck (Battery)'!M405</f>
        <v>4.3417014814898194E-2</v>
      </c>
      <c r="DD14" s="156">
        <f>'Semi-trailer truck (Hydrogen)'!M405</f>
        <v>5.0953655929807329E-2</v>
      </c>
      <c r="DE14" s="156">
        <f>'Semi-trailer truck (Diesel)'!M510</f>
        <v>3.3032062379698766E-2</v>
      </c>
      <c r="DF14" s="156">
        <f>'Semi-trailer truck (Battery)'!M510</f>
        <v>3.4019910286793777E-2</v>
      </c>
      <c r="DG14" s="156">
        <f>'Semi-trailer truck (Hydrogen)'!M510</f>
        <v>4.0418838379850677E-2</v>
      </c>
      <c r="DH14" s="157">
        <f>'Short-sea (HFO)'!AC82</f>
        <v>1.818290452292674E-3</v>
      </c>
      <c r="DI14" s="156">
        <f>'Short-sea (MGO)'!AC82</f>
        <v>2.5250879224984297E-3</v>
      </c>
      <c r="DJ14" s="156">
        <f>'Short-sea (Hydrogen)'!AC82</f>
        <v>4.0027697250568268E-3</v>
      </c>
      <c r="DK14" s="156">
        <f>'Short-sea (Ammonia)'!AC82</f>
        <v>4.0672276364347049E-3</v>
      </c>
      <c r="DL14" s="156">
        <f>'Short-sea (Methanol)'!AC82</f>
        <v>5.2927491204555095E-3</v>
      </c>
      <c r="DM14" s="154">
        <f>'Short-sea (HFO)'!AC188</f>
        <v>3.1676925091657935E-3</v>
      </c>
      <c r="DN14" s="156">
        <f>'Short-sea (MGO)'!AC188</f>
        <v>4.2854187411190793E-3</v>
      </c>
      <c r="DO14" s="156">
        <f>'Short-sea (Hydrogen)'!AC188</f>
        <v>6.622217870746315E-3</v>
      </c>
      <c r="DP14" s="156">
        <f>'Short-sea (Ammonia)'!AC188</f>
        <v>6.7241513119950507E-3</v>
      </c>
      <c r="DQ14" s="156">
        <f>'Short-sea (Methanol)'!AC188</f>
        <v>8.6621852867256287E-3</v>
      </c>
      <c r="DR14" s="156">
        <f>'Short-sea (HFO)'!AC296</f>
        <v>3.5634235871663065E-3</v>
      </c>
      <c r="DS14" s="156">
        <f>'Short-sea (MGO)'!AC296</f>
        <v>4.9498340094929804E-3</v>
      </c>
      <c r="DT14" s="156">
        <f>'Short-sea (Hydrogen)'!AC296</f>
        <v>7.848363699126764E-3</v>
      </c>
      <c r="DU14" s="156">
        <f>'Short-sea (Ammonia)'!AC296</f>
        <v>7.9748003714449085E-3</v>
      </c>
      <c r="DV14" s="156">
        <f>'Short-sea (Methanol)'!AC296</f>
        <v>1.037870789779341E-2</v>
      </c>
      <c r="DW14" s="156">
        <f>'Short-sea (HFO)'!AC405</f>
        <v>1.8166473189475275E-3</v>
      </c>
      <c r="DX14" s="156">
        <f>'Short-sea (MGO)'!AC405</f>
        <v>2.5234447891532832E-3</v>
      </c>
      <c r="DY14" s="156">
        <f>'Short-sea (Hydrogen)'!AC405</f>
        <v>4.0011265917116803E-3</v>
      </c>
      <c r="DZ14" s="156">
        <f>'Short-sea (Ammonia)'!AC405</f>
        <v>4.0655845030895584E-3</v>
      </c>
      <c r="EA14" s="156">
        <f>'Short-sea (Methanol)'!AC405</f>
        <v>5.291105987110363E-3</v>
      </c>
      <c r="EB14" s="156">
        <f>'Railway (Diesel)'!AC82</f>
        <v>5.0603862736520542E-3</v>
      </c>
      <c r="EC14" s="156">
        <f>'Railway (Catenary)'!AC82</f>
        <v>4.4074923242290245E-3</v>
      </c>
      <c r="ED14" s="156">
        <f>'Railway (Battery)'!AC82</f>
        <v>4.8079543328682396E-3</v>
      </c>
      <c r="EE14" s="156">
        <f>'Railway (Hydrogen)'!AC82</f>
        <v>4.6446619109206718E-3</v>
      </c>
      <c r="EF14" s="156">
        <f>'Railway (Diesel)'!AC188</f>
        <v>1.217874731876792E-2</v>
      </c>
      <c r="EG14" s="156">
        <f>'Railway (Catenary)'!AC188</f>
        <v>1.0619056217368455E-2</v>
      </c>
      <c r="EH14" s="156">
        <f>'Railway (Battery)'!AC188</f>
        <v>1.1575715460228803E-2</v>
      </c>
      <c r="EI14" s="156">
        <f>'Railway (Hydrogen)'!AC188</f>
        <v>1.1185628007798506E-2</v>
      </c>
      <c r="EJ14" s="156">
        <f>'Railway (Diesel)'!AC296</f>
        <v>1.1427331487547009E-2</v>
      </c>
      <c r="EK14" s="156">
        <f>'Railway (Catenary)'!AC296</f>
        <v>9.8676403861475467E-3</v>
      </c>
      <c r="EL14" s="156">
        <f>'Railway (Battery)'!AC296</f>
        <v>1.0824299629007892E-2</v>
      </c>
      <c r="EM14" s="156">
        <f>'Railway (Hydrogen)'!AC296</f>
        <v>1.0434212176577595E-2</v>
      </c>
      <c r="EN14" s="156">
        <f>'Railway (Diesel)'!AC405</f>
        <v>5.1519778117664998E-3</v>
      </c>
      <c r="EO14" s="156">
        <f>'Railway (Catenary)'!AC405</f>
        <v>4.7005943405604537E-3</v>
      </c>
      <c r="EP14" s="156">
        <f>'Railway (Battery)'!AC405</f>
        <v>4.9774569638171944E-3</v>
      </c>
      <c r="EQ14" s="156">
        <f>'Railway (Hydrogen)'!AC405</f>
        <v>4.864563437532457E-3</v>
      </c>
      <c r="ER14" s="156">
        <f>'Railway (Diesel)'!AC510</f>
        <v>1.3681787677245327E-2</v>
      </c>
      <c r="ES14" s="156">
        <f>'Railway (Catenary)'!AC510</f>
        <v>1.1889956504939896E-2</v>
      </c>
      <c r="ET14" s="156">
        <f>'Railway (Battery)'!AC510</f>
        <v>1.298900223976085E-2</v>
      </c>
      <c r="EU14" s="156">
        <f>'Railway (Hydrogen)'!AC510</f>
        <v>1.2540855259526976E-2</v>
      </c>
      <c r="EV14" s="156">
        <f>'Semi-trailer truck (Diesel)'!AC82</f>
        <v>7.0990206506489656E-2</v>
      </c>
      <c r="EW14" s="156">
        <f>'Semi-trailer truck (Battery)'!AC82</f>
        <v>6.9097068904093562E-2</v>
      </c>
      <c r="EX14" s="156">
        <f>'Semi-trailer truck (Hydrogen)'!AC82</f>
        <v>7.4220708916393957E-2</v>
      </c>
      <c r="EY14" s="156">
        <f>'Semi-trailer truck (Diesel)'!AC188</f>
        <v>2.8500252988180937E-2</v>
      </c>
      <c r="EZ14" s="156">
        <f>'Semi-trailer truck (Battery)'!AC188</f>
        <v>2.7558434058035715E-2</v>
      </c>
      <c r="FA14" s="156">
        <f>'Semi-trailer truck (Hydrogen)'!AC188</f>
        <v>3.0605462961927267E-2</v>
      </c>
      <c r="FB14" s="156">
        <f>'Semi-trailer truck (Diesel)'!AC296</f>
        <v>3.1984161225213935E-2</v>
      </c>
      <c r="FC14" s="156">
        <f>'Semi-trailer truck (Battery)'!AC296</f>
        <v>3.0893607954903105E-2</v>
      </c>
      <c r="FD14" s="156">
        <f>'Semi-trailer truck (Hydrogen)'!AC296</f>
        <v>3.4354699840411625E-2</v>
      </c>
      <c r="FE14" s="156">
        <f>'Semi-trailer truck (Diesel)'!AC405</f>
        <v>4.1746965736879652E-2</v>
      </c>
      <c r="FF14" s="156">
        <f>'Semi-trailer truck (Battery)'!AC405</f>
        <v>4.0389964684738933E-2</v>
      </c>
      <c r="FG14" s="156">
        <f>'Semi-trailer truck (Hydrogen)'!AC405</f>
        <v>4.4201854097242907E-2</v>
      </c>
      <c r="FH14" s="156">
        <f>'Semi-trailer truck (Diesel)'!AC510</f>
        <v>3.2708082315461143E-2</v>
      </c>
      <c r="FI14" s="156">
        <f>'Semi-trailer truck (Battery)'!AC510</f>
        <v>3.1620580206797116E-2</v>
      </c>
      <c r="FJ14" s="156">
        <f>'Semi-trailer truck (Hydrogen)'!AC510</f>
        <v>3.485941141580922E-2</v>
      </c>
      <c r="FK14" s="156"/>
      <c r="FL14" s="156"/>
      <c r="FM14" s="156"/>
      <c r="FN14" s="156"/>
      <c r="FP14" s="156"/>
      <c r="FQ14" s="156"/>
      <c r="FR14" s="156"/>
    </row>
    <row r="15" spans="1:174" x14ac:dyDescent="0.25">
      <c r="A15" s="154" t="s">
        <v>73</v>
      </c>
      <c r="B15" s="157">
        <f>'Short-sea (HFO)'!B83</f>
        <v>0</v>
      </c>
      <c r="C15" s="156">
        <f>'Short-sea (MGO)'!B83</f>
        <v>0</v>
      </c>
      <c r="D15" s="156">
        <f>'Short-sea (Hydrogen)'!B83</f>
        <v>1.6094908838890122E-3</v>
      </c>
      <c r="E15" s="156">
        <f>'Short-sea (Ammonia)'!B83</f>
        <v>1.1593579383751725E-3</v>
      </c>
      <c r="F15" s="156">
        <f>'Short-sea (Methanol)'!B83</f>
        <v>1.0882485472941718E-3</v>
      </c>
      <c r="G15" s="154">
        <f>'Short-sea (HFO)'!B189</f>
        <v>0</v>
      </c>
      <c r="H15" s="156">
        <f>'Short-sea (MGO)'!B189</f>
        <v>0</v>
      </c>
      <c r="I15" s="156">
        <f>'Short-sea (Hydrogen)'!B189</f>
        <v>1.6531050992271978E-3</v>
      </c>
      <c r="J15" s="156">
        <f>'Short-sea (Ammonia)'!B189</f>
        <v>1.1934972785237041E-3</v>
      </c>
      <c r="K15" s="156">
        <f>'Short-sea (Methanol)'!B189</f>
        <v>1.1046118638804031E-3</v>
      </c>
      <c r="L15" s="156">
        <f>'Short-sea (HFO)'!B297</f>
        <v>0</v>
      </c>
      <c r="M15" s="156">
        <f>'Short-sea (MGO)'!B297</f>
        <v>0</v>
      </c>
      <c r="N15" s="156">
        <f>'Short-sea (Hydrogen)'!B297</f>
        <v>1.609103111187369E-3</v>
      </c>
      <c r="O15" s="156">
        <f>'Short-sea (Ammonia)'!B297</f>
        <v>1.1590544065092634E-3</v>
      </c>
      <c r="P15" s="156">
        <f>'Short-sea (Methanol)'!B297</f>
        <v>1.0881030615292366E-3</v>
      </c>
      <c r="Q15" s="156">
        <f>'Short-sea (HFO)'!B406</f>
        <v>0</v>
      </c>
      <c r="R15" s="156">
        <f>'Short-sea (MGO)'!B406</f>
        <v>0</v>
      </c>
      <c r="S15" s="156">
        <f>'Short-sea (Hydrogen)'!B406</f>
        <v>1.609103111187369E-3</v>
      </c>
      <c r="T15" s="156">
        <f>'Short-sea (Ammonia)'!B406</f>
        <v>1.1590544065092634E-3</v>
      </c>
      <c r="U15" s="156">
        <f>'Short-sea (Methanol)'!B406</f>
        <v>1.0881030615292366E-3</v>
      </c>
      <c r="V15" s="156">
        <f>'Railway (Diesel)'!B83</f>
        <v>0</v>
      </c>
      <c r="W15" s="156">
        <f>'Railway (Catenary)'!B83</f>
        <v>0</v>
      </c>
      <c r="X15" s="156">
        <f>'Railway (Battery)'!B83</f>
        <v>3.9310156750901361E-4</v>
      </c>
      <c r="Y15" s="156">
        <f>'Railway (Hydrogen)'!B83</f>
        <v>2.4631497673379202E-4</v>
      </c>
      <c r="Z15" s="156">
        <f>'Railway (Diesel)'!B189</f>
        <v>0</v>
      </c>
      <c r="AA15" s="156">
        <f>'Railway (Catenary)'!B189</f>
        <v>0</v>
      </c>
      <c r="AB15" s="156">
        <f>'Railway (Battery)'!B189</f>
        <v>3.955664910389612E-4</v>
      </c>
      <c r="AC15" s="156">
        <f>'Railway (Hydrogen)'!B189</f>
        <v>2.4753336863102098E-4</v>
      </c>
      <c r="AD15" s="156">
        <f>'Railway (Diesel)'!B297</f>
        <v>0</v>
      </c>
      <c r="AE15" s="156">
        <f>'Railway (Catenary)'!B297</f>
        <v>0</v>
      </c>
      <c r="AF15" s="156">
        <f>'Railway (Battery)'!B297</f>
        <v>3.749973752721833E-4</v>
      </c>
      <c r="AG15" s="156">
        <f>'Railway (Hydrogen)'!B297</f>
        <v>2.3736621996334022E-4</v>
      </c>
      <c r="AH15" s="156">
        <f>'Railway (Diesel)'!B406</f>
        <v>0</v>
      </c>
      <c r="AI15" s="156">
        <f>'Railway (Catenary)'!B406</f>
        <v>0</v>
      </c>
      <c r="AJ15" s="156">
        <f>'Railway (Battery)'!B406</f>
        <v>5.4949425457785639E-4</v>
      </c>
      <c r="AK15" s="156">
        <f>'Railway (Hydrogen)'!B406</f>
        <v>3.2361862546601006E-4</v>
      </c>
      <c r="AL15" s="156">
        <f>'Railway (Diesel)'!B511</f>
        <v>0</v>
      </c>
      <c r="AM15" s="156">
        <f>'Railway (Catenary)'!B511</f>
        <v>0</v>
      </c>
      <c r="AN15" s="156">
        <f>'Railway (Battery)'!B511</f>
        <v>2.4662677564051862E-4</v>
      </c>
      <c r="AO15" s="156">
        <f>'Railway (Hydrogen)'!B511</f>
        <v>1.5552206292380674E-4</v>
      </c>
      <c r="AP15" s="156">
        <f>'Semi-trailer truck (Diesel)'!B83</f>
        <v>0</v>
      </c>
      <c r="AQ15" s="156">
        <f>'Semi-trailer truck (Battery)'!B83</f>
        <v>1.2614849574781067E-2</v>
      </c>
      <c r="AR15" s="156">
        <f>'Semi-trailer truck (Hydrogen)'!B83</f>
        <v>7.0178563445111586E-3</v>
      </c>
      <c r="AS15" s="156">
        <f>'Semi-trailer truck (Diesel)'!B189</f>
        <v>0</v>
      </c>
      <c r="AT15" s="156">
        <f>'Semi-trailer truck (Battery)'!B189</f>
        <v>6.9543268032841721E-3</v>
      </c>
      <c r="AU15" s="156">
        <f>'Semi-trailer truck (Hydrogen)'!B189</f>
        <v>4.1491572511282715E-3</v>
      </c>
      <c r="AV15" s="156">
        <f>'Semi-trailer truck (Diesel)'!B297</f>
        <v>0</v>
      </c>
      <c r="AW15" s="156">
        <f>'Semi-trailer truck (Battery)'!B297</f>
        <v>7.0227674246001043E-3</v>
      </c>
      <c r="AX15" s="156">
        <f>'Semi-trailer truck (Hydrogen)'!B297</f>
        <v>4.1905967465577232E-3</v>
      </c>
      <c r="AY15" s="156">
        <f>'Semi-trailer truck (Diesel)'!B406</f>
        <v>0</v>
      </c>
      <c r="AZ15" s="156">
        <f>'Semi-trailer truck (Battery)'!B406</f>
        <v>9.196249128357481E-3</v>
      </c>
      <c r="BA15" s="156">
        <f>'Semi-trailer truck (Hydrogen)'!B406</f>
        <v>5.2880405823627769E-3</v>
      </c>
      <c r="BB15" s="156">
        <f>'Semi-trailer truck (Diesel)'!B511</f>
        <v>0</v>
      </c>
      <c r="BC15" s="156">
        <f>'Semi-trailer truck (Battery)'!B511</f>
        <v>8.0646333696825639E-3</v>
      </c>
      <c r="BD15" s="156">
        <f>'Semi-trailer truck (Hydrogen)'!B511</f>
        <v>4.7168069440258892E-3</v>
      </c>
      <c r="BE15" s="157">
        <f>'Short-sea (HFO)'!M83</f>
        <v>0</v>
      </c>
      <c r="BF15" s="156">
        <f>'Short-sea (MGO)'!M83</f>
        <v>0</v>
      </c>
      <c r="BG15" s="156">
        <f>'Short-sea (Hydrogen)'!M83</f>
        <v>1.3716946917484568E-3</v>
      </c>
      <c r="BH15" s="156">
        <f>'Short-sea (Ammonia)'!M83</f>
        <v>1.0616936109255053E-3</v>
      </c>
      <c r="BI15" s="156">
        <f>'Short-sea (Methanol)'!M83</f>
        <v>7.463396329998942E-4</v>
      </c>
      <c r="BJ15" s="154">
        <f>'Short-sea (HFO)'!M189</f>
        <v>0</v>
      </c>
      <c r="BK15" s="156">
        <f>'Short-sea (MGO)'!M189</f>
        <v>0</v>
      </c>
      <c r="BL15" s="156">
        <f>'Short-sea (Hydrogen)'!M189</f>
        <v>1.4142984344338184E-3</v>
      </c>
      <c r="BM15" s="156">
        <f>'Short-sea (Ammonia)'!M189</f>
        <v>1.0953488459406781E-3</v>
      </c>
      <c r="BN15" s="156">
        <f>'Short-sea (Methanol)'!M189</f>
        <v>7.6270294958613247E-4</v>
      </c>
      <c r="BO15" s="156">
        <f>'Short-sea (HFO)'!M297</f>
        <v>0</v>
      </c>
      <c r="BP15" s="156">
        <f>'Short-sea (MGO)'!M297</f>
        <v>0</v>
      </c>
      <c r="BQ15" s="156">
        <f>'Short-sea (Hydrogen)'!M297</f>
        <v>1.3713159031293522E-3</v>
      </c>
      <c r="BR15" s="156">
        <f>'Short-sea (Ammonia)'!M297</f>
        <v>1.0613943832240534E-3</v>
      </c>
      <c r="BS15" s="156">
        <f>'Short-sea (Methanol)'!M297</f>
        <v>7.4619414723496244E-4</v>
      </c>
      <c r="BT15" s="156">
        <f>'Short-sea (HFO)'!M406</f>
        <v>0</v>
      </c>
      <c r="BU15" s="156">
        <f>'Short-sea (MGO)'!M406</f>
        <v>0</v>
      </c>
      <c r="BV15" s="156">
        <f>'Short-sea (Hydrogen)'!M406</f>
        <v>1.3713159031293522E-3</v>
      </c>
      <c r="BW15" s="156">
        <f>'Short-sea (Ammonia)'!M406</f>
        <v>1.0613943832240534E-3</v>
      </c>
      <c r="BX15" s="156">
        <f>'Short-sea (Methanol)'!M406</f>
        <v>7.4619414723496244E-4</v>
      </c>
      <c r="BY15" s="156">
        <f>'Railway (Diesel)'!M83</f>
        <v>0</v>
      </c>
      <c r="BZ15" s="156">
        <f>'Railway (Catenary)'!M83</f>
        <v>0</v>
      </c>
      <c r="CA15" s="156">
        <f>'Railway (Battery)'!M83</f>
        <v>2.8379079159480611E-4</v>
      </c>
      <c r="CB15" s="156">
        <f>'Railway (Hydrogen)'!M83</f>
        <v>2.0530777998522924E-4</v>
      </c>
      <c r="CC15" s="156">
        <f>'Railway (Diesel)'!M189</f>
        <v>0</v>
      </c>
      <c r="CD15" s="156">
        <f>'Railway (Catenary)'!M189</f>
        <v>0</v>
      </c>
      <c r="CE15" s="156">
        <f>'Railway (Battery)'!M189</f>
        <v>2.857114428431156E-4</v>
      </c>
      <c r="CF15" s="156">
        <f>'Railway (Hydrogen)'!M189</f>
        <v>2.065261718824582E-4</v>
      </c>
      <c r="CG15" s="156">
        <f>'Railway (Diesel)'!M297</f>
        <v>0</v>
      </c>
      <c r="CH15" s="156">
        <f>'Railway (Catenary)'!M297</f>
        <v>0</v>
      </c>
      <c r="CI15" s="156">
        <f>'Railway (Battery)'!M297</f>
        <v>2.6968413108512633E-4</v>
      </c>
      <c r="CJ15" s="156">
        <f>'Railway (Hydrogen)'!M297</f>
        <v>1.9635902321477744E-4</v>
      </c>
      <c r="CK15" s="156">
        <f>'Railway (Diesel)'!M406</f>
        <v>0</v>
      </c>
      <c r="CL15" s="156">
        <f>'Railway (Catenary)'!M406</f>
        <v>0</v>
      </c>
      <c r="CM15" s="156">
        <f>'Railway (Battery)'!M406</f>
        <v>4.0565088420853671E-4</v>
      </c>
      <c r="CN15" s="156">
        <f>'Railway (Hydrogen)'!M406</f>
        <v>2.8261142871744728E-4</v>
      </c>
      <c r="CO15" s="156">
        <f>'Railway (Diesel)'!M511</f>
        <v>0</v>
      </c>
      <c r="CP15" s="156">
        <f>'Railway (Catenary)'!M511</f>
        <v>0</v>
      </c>
      <c r="CQ15" s="156">
        <f>'Railway (Battery)'!M511</f>
        <v>1.7815518981820211E-4</v>
      </c>
      <c r="CR15" s="156">
        <f>'Railway (Hydrogen)'!M511</f>
        <v>1.2937254615660691E-4</v>
      </c>
      <c r="CS15" s="156">
        <f>'Semi-trailer truck (Diesel)'!M83</f>
        <v>0</v>
      </c>
      <c r="CT15" s="156">
        <f>'Semi-trailer truck (Battery)'!M83</f>
        <v>8.054003272115931E-3</v>
      </c>
      <c r="CU15" s="156">
        <f>'Semi-trailer truck (Hydrogen)'!M83</f>
        <v>4.118358446684442E-3</v>
      </c>
      <c r="CV15" s="156">
        <f>'Semi-trailer truck (Diesel)'!M189</f>
        <v>0</v>
      </c>
      <c r="CW15" s="156">
        <f>'Semi-trailer truck (Battery)'!M189</f>
        <v>4.4529819465365245E-3</v>
      </c>
      <c r="CX15" s="156">
        <f>'Semi-trailer truck (Hydrogen)'!M189</f>
        <v>2.4197317550514602E-3</v>
      </c>
      <c r="CY15" s="156">
        <f>'Semi-trailer truck (Diesel)'!M297</f>
        <v>0</v>
      </c>
      <c r="CZ15" s="156">
        <f>'Semi-trailer truck (Battery)'!M297</f>
        <v>4.4653899249899945E-3</v>
      </c>
      <c r="DA15" s="156">
        <f>'Semi-trailer truck (Hydrogen)'!M297</f>
        <v>2.4309373790494526E-3</v>
      </c>
      <c r="DB15" s="156">
        <f>'Semi-trailer truck (Diesel)'!M406</f>
        <v>0</v>
      </c>
      <c r="DC15" s="156">
        <f>'Semi-trailer truck (Battery)'!M406</f>
        <v>5.827480608384436E-3</v>
      </c>
      <c r="DD15" s="156">
        <f>'Semi-trailer truck (Hydrogen)'!M406</f>
        <v>3.0887662807201344E-3</v>
      </c>
      <c r="DE15" s="156">
        <f>'Semi-trailer truck (Diesel)'!M511</f>
        <v>0</v>
      </c>
      <c r="DF15" s="156">
        <f>'Semi-trailer truck (Battery)'!M511</f>
        <v>5.1176629609617288E-3</v>
      </c>
      <c r="DG15" s="156">
        <f>'Semi-trailer truck (Hydrogen)'!M511</f>
        <v>2.7460672251282264E-3</v>
      </c>
      <c r="DH15" s="157">
        <f>'Short-sea (HFO)'!AC83</f>
        <v>0</v>
      </c>
      <c r="DI15" s="156">
        <f>'Short-sea (MGO)'!AC83</f>
        <v>0</v>
      </c>
      <c r="DJ15" s="156">
        <f>'Short-sea (Hydrogen)'!AC83</f>
        <v>7.4289986388594367E-4</v>
      </c>
      <c r="DK15" s="156">
        <f>'Short-sea (Ammonia)'!AC83</f>
        <v>6.5215710970363897E-4</v>
      </c>
      <c r="DL15" s="156">
        <f>'Short-sea (Methanol)'!AC83</f>
        <v>4.6862882837366525E-4</v>
      </c>
      <c r="DM15" s="154">
        <f>'Short-sea (HFO)'!AC189</f>
        <v>0</v>
      </c>
      <c r="DN15" s="156">
        <f>'Short-sea (MGO)'!AC189</f>
        <v>0</v>
      </c>
      <c r="DO15" s="156">
        <f>'Short-sea (Hydrogen)'!AC189</f>
        <v>7.7719980012023494E-4</v>
      </c>
      <c r="DP15" s="156">
        <f>'Short-sea (Ammonia)'!AC189</f>
        <v>6.8179023065103976E-4</v>
      </c>
      <c r="DQ15" s="156">
        <f>'Short-sea (Methanol)'!AC189</f>
        <v>4.8499214495989831E-4</v>
      </c>
      <c r="DR15" s="156">
        <f>'Short-sea (HFO)'!AC297</f>
        <v>0</v>
      </c>
      <c r="DS15" s="156">
        <f>'Short-sea (MGO)'!AC297</f>
        <v>0</v>
      </c>
      <c r="DT15" s="156">
        <f>'Short-sea (Hydrogen)'!AC297</f>
        <v>7.4259490416497473E-4</v>
      </c>
      <c r="DU15" s="156">
        <f>'Short-sea (Ammonia)'!AC297</f>
        <v>6.5189364249968254E-4</v>
      </c>
      <c r="DV15" s="156">
        <f>'Short-sea (Methanol)'!AC297</f>
        <v>4.6848334260873002E-4</v>
      </c>
      <c r="DW15" s="156">
        <f>'Short-sea (HFO)'!AC406</f>
        <v>0</v>
      </c>
      <c r="DX15" s="156">
        <f>'Short-sea (MGO)'!AC406</f>
        <v>0</v>
      </c>
      <c r="DY15" s="156">
        <f>'Short-sea (Hydrogen)'!AC406</f>
        <v>7.4259490416497473E-4</v>
      </c>
      <c r="DZ15" s="156">
        <f>'Short-sea (Ammonia)'!AC406</f>
        <v>6.5189364249968254E-4</v>
      </c>
      <c r="EA15" s="156">
        <f>'Short-sea (Methanol)'!AC406</f>
        <v>4.6848334260873002E-4</v>
      </c>
      <c r="EB15" s="156">
        <f>'Railway (Diesel)'!AC83</f>
        <v>0</v>
      </c>
      <c r="EC15" s="156">
        <f>'Railway (Catenary)'!AC83</f>
        <v>0</v>
      </c>
      <c r="ED15" s="156">
        <f>'Railway (Battery)'!AC83</f>
        <v>1.5576081099902099E-4</v>
      </c>
      <c r="EE15" s="156">
        <f>'Railway (Hydrogen)'!AC83</f>
        <v>1.5013048600955731E-4</v>
      </c>
      <c r="EF15" s="156">
        <f>'Railway (Diesel)'!AC189</f>
        <v>0</v>
      </c>
      <c r="EG15" s="156">
        <f>'Railway (Catenary)'!AC189</f>
        <v>0</v>
      </c>
      <c r="EH15" s="156">
        <f>'Railway (Battery)'!AC189</f>
        <v>1.5698196400869627E-4</v>
      </c>
      <c r="EI15" s="156">
        <f>'Railway (Hydrogen)'!AC189</f>
        <v>1.5134887790678626E-4</v>
      </c>
      <c r="EJ15" s="156">
        <f>'Railway (Diesel)'!AC297</f>
        <v>0</v>
      </c>
      <c r="EK15" s="156">
        <f>'Railway (Catenary)'!AC297</f>
        <v>0</v>
      </c>
      <c r="EL15" s="156">
        <f>'Railway (Battery)'!AC297</f>
        <v>1.4679177460938386E-4</v>
      </c>
      <c r="EM15" s="156">
        <f>'Railway (Hydrogen)'!AC297</f>
        <v>1.4118172923910464E-4</v>
      </c>
      <c r="EN15" s="156">
        <f>'Railway (Diesel)'!AC406</f>
        <v>0</v>
      </c>
      <c r="EO15" s="156">
        <f>'Railway (Catenary)'!AC406</f>
        <v>0</v>
      </c>
      <c r="EP15" s="156">
        <f>'Railway (Battery)'!AC406</f>
        <v>2.3323964479862735E-4</v>
      </c>
      <c r="EQ15" s="156">
        <f>'Railway (Hydrogen)'!AC406</f>
        <v>2.2743413474177708E-4</v>
      </c>
      <c r="ER15" s="156">
        <f>'Railway (Diesel)'!AC511</f>
        <v>0</v>
      </c>
      <c r="ES15" s="156">
        <f>'Railway (Catenary)'!AC511</f>
        <v>0</v>
      </c>
      <c r="ET15" s="156">
        <f>'Railway (Battery)'!AC511</f>
        <v>9.7773065850501051E-5</v>
      </c>
      <c r="EU15" s="156">
        <f>'Railway (Hydrogen)'!AC511</f>
        <v>9.4187025360526096E-5</v>
      </c>
      <c r="EV15" s="156">
        <f>'Semi-trailer truck (Diesel)'!AC83</f>
        <v>0</v>
      </c>
      <c r="EW15" s="156">
        <f>'Semi-trailer truck (Battery)'!AC83</f>
        <v>4.6393566245115647E-3</v>
      </c>
      <c r="EX15" s="156">
        <f>'Semi-trailer truck (Hydrogen)'!AC83</f>
        <v>1.9343783214292448E-3</v>
      </c>
      <c r="EY15" s="156">
        <f>'Semi-trailer truck (Diesel)'!AC189</f>
        <v>0</v>
      </c>
      <c r="EZ15" s="156">
        <f>'Semi-trailer truck (Battery)'!AC189</f>
        <v>2.5846086391673115E-3</v>
      </c>
      <c r="FA15" s="156">
        <f>'Semi-trailer truck (Hydrogen)'!AC189</f>
        <v>1.1141852229948485E-3</v>
      </c>
      <c r="FB15" s="156">
        <f>'Semi-trailer truck (Diesel)'!AC297</f>
        <v>0</v>
      </c>
      <c r="FC15" s="156">
        <f>'Semi-trailer truck (Battery)'!AC297</f>
        <v>2.5851827358283549E-3</v>
      </c>
      <c r="FD15" s="156">
        <f>'Semi-trailer truck (Hydrogen)'!AC297</f>
        <v>1.1159043226988893E-3</v>
      </c>
      <c r="FE15" s="156">
        <f>'Semi-trailer truck (Diesel)'!AC406</f>
        <v>0</v>
      </c>
      <c r="FF15" s="156">
        <f>'Semi-trailer truck (Battery)'!AC406</f>
        <v>3.3798395951720461E-3</v>
      </c>
      <c r="FG15" s="156">
        <f>'Semi-trailer truck (Hydrogen)'!AC406</f>
        <v>1.4357581433559058E-3</v>
      </c>
      <c r="FH15" s="156">
        <f>'Semi-trailer truck (Diesel)'!AC511</f>
        <v>0</v>
      </c>
      <c r="FI15" s="156">
        <f>'Semi-trailer truck (Battery)'!AC511</f>
        <v>2.9655830445903045E-3</v>
      </c>
      <c r="FJ15" s="156">
        <f>'Semi-trailer truck (Hydrogen)'!AC511</f>
        <v>1.2690492913016507E-3</v>
      </c>
      <c r="FK15" s="156"/>
      <c r="FL15" s="156"/>
      <c r="FM15" s="156"/>
      <c r="FN15" s="156"/>
      <c r="FP15" s="156"/>
      <c r="FQ15" s="156"/>
      <c r="FR15" s="156"/>
    </row>
    <row r="16" spans="1:174" x14ac:dyDescent="0.25">
      <c r="A16" s="154" t="s">
        <v>206</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25">
      <c r="A17" s="158" t="s">
        <v>382</v>
      </c>
      <c r="B17" s="159">
        <f>SUM(B6:B16)</f>
        <v>6.723447093602411E-3</v>
      </c>
      <c r="C17" s="159">
        <f t="shared" ref="C17:BN17" si="0">SUM(C6:C16)</f>
        <v>1.032270109405839E-2</v>
      </c>
      <c r="D17" s="159">
        <f t="shared" si="0"/>
        <v>2.2908180703883885E-2</v>
      </c>
      <c r="E17" s="159">
        <f t="shared" si="0"/>
        <v>2.0758202356560212E-2</v>
      </c>
      <c r="F17" s="159">
        <f t="shared" si="0"/>
        <v>3.9483224205403566E-2</v>
      </c>
      <c r="G17" s="159">
        <f t="shared" si="0"/>
        <v>8.6066774264767394E-3</v>
      </c>
      <c r="H17" s="159">
        <f t="shared" si="0"/>
        <v>1.2875560078180342E-2</v>
      </c>
      <c r="I17" s="159">
        <f t="shared" si="0"/>
        <v>2.7546698317471741E-2</v>
      </c>
      <c r="J17" s="159">
        <f t="shared" si="0"/>
        <v>2.5070994787644955E-2</v>
      </c>
      <c r="K17" s="159">
        <f t="shared" si="0"/>
        <v>4.727519526221427E-2</v>
      </c>
      <c r="L17" s="159">
        <f t="shared" si="0"/>
        <v>8.7897304253544608E-3</v>
      </c>
      <c r="M17" s="159">
        <f t="shared" si="0"/>
        <v>1.3496447195181512E-2</v>
      </c>
      <c r="N17" s="159">
        <f t="shared" si="0"/>
        <v>2.9458766332593509E-2</v>
      </c>
      <c r="O17" s="159">
        <f t="shared" si="0"/>
        <v>2.6785842871702544E-2</v>
      </c>
      <c r="P17" s="159">
        <f t="shared" si="0"/>
        <v>5.1294447763546691E-2</v>
      </c>
      <c r="Q17" s="159">
        <f t="shared" si="0"/>
        <v>6.7183123018988286E-3</v>
      </c>
      <c r="R17" s="159">
        <f t="shared" si="0"/>
        <v>1.0317566302354808E-2</v>
      </c>
      <c r="S17" s="159">
        <f t="shared" si="0"/>
        <v>2.2902658139478661E-2</v>
      </c>
      <c r="T17" s="159">
        <f t="shared" si="0"/>
        <v>2.0752764032990718E-2</v>
      </c>
      <c r="U17" s="159">
        <f t="shared" si="0"/>
        <v>3.947794392793505E-2</v>
      </c>
      <c r="V17" s="159">
        <f t="shared" si="0"/>
        <v>1.504014858290743E-2</v>
      </c>
      <c r="W17" s="159">
        <f t="shared" si="0"/>
        <v>1.222552871882062E-2</v>
      </c>
      <c r="X17" s="159">
        <f t="shared" si="0"/>
        <v>1.7015042906868429E-2</v>
      </c>
      <c r="Y17" s="159">
        <f t="shared" si="0"/>
        <v>2.133769640797668E-2</v>
      </c>
      <c r="Z17" s="159">
        <f t="shared" si="0"/>
        <v>2.2729999851833028E-2</v>
      </c>
      <c r="AA17" s="159">
        <f t="shared" si="0"/>
        <v>1.8508070055702812E-2</v>
      </c>
      <c r="AB17" s="159">
        <f t="shared" si="0"/>
        <v>2.5498255477549962E-2</v>
      </c>
      <c r="AC17" s="159">
        <f t="shared" si="0"/>
        <v>3.2054382492967229E-2</v>
      </c>
      <c r="AD17" s="159">
        <f t="shared" si="0"/>
        <v>2.1470265431767766E-2</v>
      </c>
      <c r="AE17" s="159">
        <f t="shared" si="0"/>
        <v>1.7248335635637553E-2</v>
      </c>
      <c r="AF17" s="159">
        <f t="shared" si="0"/>
        <v>2.4217951941717931E-2</v>
      </c>
      <c r="AG17" s="159">
        <f t="shared" si="0"/>
        <v>3.0784480924234296E-2</v>
      </c>
      <c r="AH17" s="159">
        <f t="shared" si="0"/>
        <v>1.9265681698315947E-2</v>
      </c>
      <c r="AI17" s="159">
        <f t="shared" si="0"/>
        <v>1.6763797374683229E-2</v>
      </c>
      <c r="AJ17" s="159">
        <f t="shared" si="0"/>
        <v>2.1221213958628901E-2</v>
      </c>
      <c r="AK17" s="159">
        <f t="shared" si="0"/>
        <v>2.4968173966746804E-2</v>
      </c>
      <c r="AL17" s="159">
        <f t="shared" si="0"/>
        <v>2.2310818156442702E-2</v>
      </c>
      <c r="AM17" s="159">
        <f t="shared" si="0"/>
        <v>1.8088888360312493E-2</v>
      </c>
      <c r="AN17" s="159">
        <f t="shared" si="0"/>
        <v>2.49301340667612E-2</v>
      </c>
      <c r="AO17" s="159">
        <f t="shared" si="0"/>
        <v>3.1543189491869697E-2</v>
      </c>
      <c r="AP17" s="159">
        <f t="shared" si="0"/>
        <v>0.16150148792048974</v>
      </c>
      <c r="AQ17" s="159">
        <f t="shared" si="0"/>
        <v>0.21487411418480304</v>
      </c>
      <c r="AR17" s="159">
        <f t="shared" si="0"/>
        <v>0.24514866003769331</v>
      </c>
      <c r="AS17" s="159">
        <f t="shared" si="0"/>
        <v>8.1266133561074191E-2</v>
      </c>
      <c r="AT17" s="159">
        <f t="shared" si="0"/>
        <v>0.10398939898527251</v>
      </c>
      <c r="AU17" s="159">
        <f t="shared" si="0"/>
        <v>0.12688035079230253</v>
      </c>
      <c r="AV17" s="159">
        <f t="shared" si="0"/>
        <v>8.5592873760686805E-2</v>
      </c>
      <c r="AW17" s="159">
        <f t="shared" si="0"/>
        <v>0.11005871333542969</v>
      </c>
      <c r="AX17" s="159">
        <f t="shared" si="0"/>
        <v>0.13432269291236781</v>
      </c>
      <c r="AY17" s="159">
        <f t="shared" si="0"/>
        <v>0.10957668678980516</v>
      </c>
      <c r="AZ17" s="159">
        <f t="shared" si="0"/>
        <v>0.14374402520069046</v>
      </c>
      <c r="BA17" s="159">
        <f t="shared" si="0"/>
        <v>0.16908564510755242</v>
      </c>
      <c r="BB17" s="159">
        <f t="shared" si="0"/>
        <v>9.2999629994423322E-2</v>
      </c>
      <c r="BC17" s="159">
        <f t="shared" si="0"/>
        <v>0.12125411664778149</v>
      </c>
      <c r="BD17" s="159">
        <f t="shared" si="0"/>
        <v>0.14486718387877273</v>
      </c>
      <c r="BE17" s="159">
        <f t="shared" si="0"/>
        <v>6.0827461416992253E-3</v>
      </c>
      <c r="BF17" s="159">
        <f t="shared" si="0"/>
        <v>8.8836488411069524E-3</v>
      </c>
      <c r="BG17" s="159">
        <f t="shared" si="0"/>
        <v>1.995234937158101E-2</v>
      </c>
      <c r="BH17" s="159">
        <f t="shared" si="0"/>
        <v>1.9266716721993031E-2</v>
      </c>
      <c r="BI17" s="159">
        <f t="shared" si="0"/>
        <v>2.7073941845428998E-2</v>
      </c>
      <c r="BJ17" s="159">
        <f t="shared" si="0"/>
        <v>7.8467762974752837E-3</v>
      </c>
      <c r="BK17" s="159">
        <f t="shared" si="0"/>
        <v>1.1168777173517009E-2</v>
      </c>
      <c r="BL17" s="159">
        <f t="shared" si="0"/>
        <v>2.4084175556206774E-2</v>
      </c>
      <c r="BM17" s="159">
        <f t="shared" si="0"/>
        <v>2.3319709455922558E-2</v>
      </c>
      <c r="BN17" s="159">
        <f t="shared" si="0"/>
        <v>3.2620820168159648E-2</v>
      </c>
      <c r="BO17" s="159">
        <f t="shared" ref="BO17:DZ17" si="1">SUM(BO6:BO16)</f>
        <v>7.9518907190195276E-3</v>
      </c>
      <c r="BP17" s="159">
        <f t="shared" si="1"/>
        <v>1.1614609633629631E-2</v>
      </c>
      <c r="BQ17" s="159">
        <f t="shared" si="1"/>
        <v>2.5666625479707848E-2</v>
      </c>
      <c r="BR17" s="159">
        <f t="shared" si="1"/>
        <v>2.4865493446802132E-2</v>
      </c>
      <c r="BS17" s="159">
        <f t="shared" si="1"/>
        <v>3.5172127420285873E-2</v>
      </c>
      <c r="BT17" s="159">
        <f t="shared" si="1"/>
        <v>6.0776113499956437E-3</v>
      </c>
      <c r="BU17" s="159">
        <f t="shared" si="1"/>
        <v>8.8785140494033708E-3</v>
      </c>
      <c r="BV17" s="159">
        <f t="shared" si="1"/>
        <v>1.9946835791258326E-2</v>
      </c>
      <c r="BW17" s="159">
        <f t="shared" si="1"/>
        <v>1.9261282702587999E-2</v>
      </c>
      <c r="BX17" s="159">
        <f t="shared" si="1"/>
        <v>2.7068661567960485E-2</v>
      </c>
      <c r="BY17" s="159">
        <f t="shared" si="1"/>
        <v>1.4341852600912312E-2</v>
      </c>
      <c r="BZ17" s="159">
        <f t="shared" si="1"/>
        <v>1.2407828455492606E-2</v>
      </c>
      <c r="CA17" s="159">
        <f t="shared" si="1"/>
        <v>1.5678518738614936E-2</v>
      </c>
      <c r="CB17" s="159">
        <f t="shared" si="1"/>
        <v>1.7772633240648497E-2</v>
      </c>
      <c r="CC17" s="159">
        <f t="shared" si="1"/>
        <v>2.168255587884035E-2</v>
      </c>
      <c r="CD17" s="159">
        <f t="shared" si="1"/>
        <v>1.8781519660710795E-2</v>
      </c>
      <c r="CE17" s="159">
        <f t="shared" si="1"/>
        <v>2.3547580340845191E-2</v>
      </c>
      <c r="CF17" s="159">
        <f t="shared" si="1"/>
        <v>2.6727291340349239E-2</v>
      </c>
      <c r="CG17" s="159">
        <f t="shared" si="1"/>
        <v>2.0422821458775088E-2</v>
      </c>
      <c r="CH17" s="159">
        <f t="shared" si="1"/>
        <v>1.7521785240645533E-2</v>
      </c>
      <c r="CI17" s="159">
        <f t="shared" si="1"/>
        <v>2.2271818609021943E-2</v>
      </c>
      <c r="CJ17" s="159">
        <f t="shared" si="1"/>
        <v>2.5457389771616303E-2</v>
      </c>
      <c r="CK17" s="159">
        <f t="shared" si="1"/>
        <v>1.8644974158764732E-2</v>
      </c>
      <c r="CL17" s="159">
        <f t="shared" si="1"/>
        <v>1.6925841585058325E-2</v>
      </c>
      <c r="CM17" s="159">
        <f t="shared" si="1"/>
        <v>1.9986514239513552E-2</v>
      </c>
      <c r="CN17" s="159">
        <f t="shared" si="1"/>
        <v>2.1794672573927469E-2</v>
      </c>
      <c r="CO17" s="159">
        <f t="shared" si="1"/>
        <v>2.1263374183450028E-2</v>
      </c>
      <c r="CP17" s="159">
        <f t="shared" si="1"/>
        <v>1.8362337965320469E-2</v>
      </c>
      <c r="CQ17" s="159">
        <f t="shared" si="1"/>
        <v>2.302084239242996E-2</v>
      </c>
      <c r="CR17" s="159">
        <f t="shared" si="1"/>
        <v>2.6230956019233066E-2</v>
      </c>
      <c r="CS17" s="159">
        <f t="shared" si="1"/>
        <v>0.1595312014287559</v>
      </c>
      <c r="CT17" s="159">
        <f t="shared" si="1"/>
        <v>0.17604400717380625</v>
      </c>
      <c r="CU17" s="159">
        <f t="shared" si="1"/>
        <v>0.19457806694570512</v>
      </c>
      <c r="CV17" s="159">
        <f t="shared" si="1"/>
        <v>7.8800724107898013E-2</v>
      </c>
      <c r="CW17" s="159">
        <f t="shared" si="1"/>
        <v>8.5196928607980713E-2</v>
      </c>
      <c r="CX17" s="159">
        <f t="shared" si="1"/>
        <v>9.9869671953068617E-2</v>
      </c>
      <c r="CY17" s="159">
        <f t="shared" si="1"/>
        <v>8.305711277962885E-2</v>
      </c>
      <c r="CZ17" s="159">
        <f t="shared" si="1"/>
        <v>8.9729273933051135E-2</v>
      </c>
      <c r="DA17" s="159">
        <f t="shared" si="1"/>
        <v>0.10536615030719333</v>
      </c>
      <c r="DB17" s="159">
        <f t="shared" si="1"/>
        <v>0.10732147800566266</v>
      </c>
      <c r="DC17" s="159">
        <f t="shared" si="1"/>
        <v>0.11671934623015348</v>
      </c>
      <c r="DD17" s="159">
        <f t="shared" si="1"/>
        <v>0.13347194513070246</v>
      </c>
      <c r="DE17" s="159">
        <f t="shared" si="1"/>
        <v>9.069897804633803E-2</v>
      </c>
      <c r="DF17" s="159">
        <f t="shared" si="1"/>
        <v>9.8560662971452551E-2</v>
      </c>
      <c r="DG17" s="159">
        <f t="shared" si="1"/>
        <v>0.11396386749411043</v>
      </c>
      <c r="DH17" s="159">
        <f t="shared" si="1"/>
        <v>5.6683610640826379E-3</v>
      </c>
      <c r="DI17" s="159">
        <f t="shared" si="1"/>
        <v>7.8771031584756231E-3</v>
      </c>
      <c r="DJ17" s="159">
        <f t="shared" si="1"/>
        <v>1.3237758655356561E-2</v>
      </c>
      <c r="DK17" s="159">
        <f t="shared" si="1"/>
        <v>1.3348446874230126E-2</v>
      </c>
      <c r="DL17" s="159">
        <f t="shared" si="1"/>
        <v>1.699467323046517E-2</v>
      </c>
      <c r="DM17" s="159">
        <f t="shared" si="1"/>
        <v>7.3552963216974732E-3</v>
      </c>
      <c r="DN17" s="159">
        <f t="shared" si="1"/>
        <v>9.9749671778379886E-3</v>
      </c>
      <c r="DO17" s="159">
        <f t="shared" si="1"/>
        <v>1.6229039938022057E-2</v>
      </c>
      <c r="DP17" s="159">
        <f t="shared" si="1"/>
        <v>1.637253687147959E-2</v>
      </c>
      <c r="DQ17" s="159">
        <f t="shared" si="1"/>
        <v>2.0718005914063236E-2</v>
      </c>
      <c r="DR17" s="159">
        <f t="shared" si="1"/>
        <v>7.4100025405978345E-3</v>
      </c>
      <c r="DS17" s="159">
        <f t="shared" si="1"/>
        <v>1.0298357587111739E-2</v>
      </c>
      <c r="DT17" s="159">
        <f t="shared" si="1"/>
        <v>1.7079556011347096E-2</v>
      </c>
      <c r="DU17" s="159">
        <f t="shared" si="1"/>
        <v>1.7252264483677938E-2</v>
      </c>
      <c r="DV17" s="159">
        <f t="shared" si="1"/>
        <v>2.20769948636797E-2</v>
      </c>
      <c r="DW17" s="159">
        <f t="shared" si="1"/>
        <v>5.6632262723790554E-3</v>
      </c>
      <c r="DX17" s="159">
        <f t="shared" si="1"/>
        <v>7.8719683667720398E-3</v>
      </c>
      <c r="DY17" s="159">
        <f t="shared" si="1"/>
        <v>1.3232318903932011E-2</v>
      </c>
      <c r="DZ17" s="159">
        <f t="shared" si="1"/>
        <v>1.3343048615322588E-2</v>
      </c>
      <c r="EA17" s="159">
        <f t="shared" ref="EA17:FJ17" si="2">SUM(EA6:EA16)</f>
        <v>1.6989392952996653E-2</v>
      </c>
      <c r="EB17" s="159">
        <f t="shared" si="2"/>
        <v>1.3980316656105102E-2</v>
      </c>
      <c r="EC17" s="159">
        <f t="shared" si="2"/>
        <v>1.2166722352152239E-2</v>
      </c>
      <c r="ED17" s="159">
        <f t="shared" si="2"/>
        <v>1.3434877631593524E-2</v>
      </c>
      <c r="EE17" s="159">
        <f t="shared" si="2"/>
        <v>1.2975657245638596E-2</v>
      </c>
      <c r="EF17" s="159">
        <f t="shared" si="2"/>
        <v>2.1140251961629539E-2</v>
      </c>
      <c r="EG17" s="159">
        <f t="shared" si="2"/>
        <v>1.8419860505700242E-2</v>
      </c>
      <c r="EH17" s="159">
        <f t="shared" si="2"/>
        <v>2.0245434172372331E-2</v>
      </c>
      <c r="EI17" s="159">
        <f t="shared" si="2"/>
        <v>1.9559415994822228E-2</v>
      </c>
      <c r="EJ17" s="159">
        <f t="shared" si="2"/>
        <v>1.9880517541564273E-2</v>
      </c>
      <c r="EK17" s="159">
        <f t="shared" si="2"/>
        <v>1.716012608563498E-2</v>
      </c>
      <c r="EL17" s="159">
        <f t="shared" si="2"/>
        <v>1.8975509562907757E-2</v>
      </c>
      <c r="EM17" s="159">
        <f t="shared" si="2"/>
        <v>1.8289514426089285E-2</v>
      </c>
      <c r="EN17" s="159">
        <f t="shared" si="2"/>
        <v>1.8323608874491658E-2</v>
      </c>
      <c r="EO17" s="159">
        <f t="shared" si="2"/>
        <v>1.6711525048755775E-2</v>
      </c>
      <c r="EP17" s="159">
        <f t="shared" si="2"/>
        <v>1.7933559776614191E-2</v>
      </c>
      <c r="EQ17" s="159">
        <f t="shared" si="2"/>
        <v>1.7524563101254713E-2</v>
      </c>
      <c r="ER17" s="159">
        <f t="shared" si="2"/>
        <v>2.0721070266239212E-2</v>
      </c>
      <c r="ES17" s="159">
        <f t="shared" si="2"/>
        <v>1.8000678810309916E-2</v>
      </c>
      <c r="ET17" s="159">
        <f t="shared" si="2"/>
        <v>1.976704357882381E-2</v>
      </c>
      <c r="EU17" s="159">
        <f t="shared" si="2"/>
        <v>1.9083072446885646E-2</v>
      </c>
      <c r="EV17" s="159">
        <f t="shared" si="2"/>
        <v>0.1593651172133618</v>
      </c>
      <c r="EW17" s="159">
        <f t="shared" si="2"/>
        <v>0.15970188837788224</v>
      </c>
      <c r="EX17" s="159">
        <f t="shared" si="2"/>
        <v>0.16864154646639173</v>
      </c>
      <c r="EY17" s="159">
        <f t="shared" si="2"/>
        <v>7.7685173503754978E-2</v>
      </c>
      <c r="EZ17" s="159">
        <f t="shared" si="2"/>
        <v>7.7653618448074446E-2</v>
      </c>
      <c r="FA17" s="159">
        <f t="shared" si="2"/>
        <v>8.4647164209378539E-2</v>
      </c>
      <c r="FB17" s="159">
        <f t="shared" si="2"/>
        <v>8.1941270008382638E-2</v>
      </c>
      <c r="FC17" s="159">
        <f t="shared" si="2"/>
        <v>8.1706056355476092E-2</v>
      </c>
      <c r="FD17" s="159">
        <f t="shared" si="2"/>
        <v>8.9187877646247971E-2</v>
      </c>
      <c r="FE17" s="159">
        <f t="shared" si="2"/>
        <v>0.10657277317861766</v>
      </c>
      <c r="FF17" s="159">
        <f t="shared" si="2"/>
        <v>0.10644312729411544</v>
      </c>
      <c r="FG17" s="159">
        <f t="shared" si="2"/>
        <v>0.11435738052980955</v>
      </c>
      <c r="FH17" s="159">
        <f t="shared" si="2"/>
        <v>8.9799033423455743E-2</v>
      </c>
      <c r="FI17" s="159">
        <f t="shared" si="2"/>
        <v>8.9743777277312642E-2</v>
      </c>
      <c r="FJ17" s="159">
        <f t="shared" si="2"/>
        <v>9.7043996882390932E-2</v>
      </c>
    </row>
    <row r="18" spans="1:166" x14ac:dyDescent="0.25">
      <c r="A18" s="154" t="s">
        <v>325</v>
      </c>
    </row>
    <row r="19" spans="1:166" x14ac:dyDescent="0.25">
      <c r="A19" s="154" t="s">
        <v>326</v>
      </c>
      <c r="AF19" s="197"/>
      <c r="AG19" s="197"/>
      <c r="AH19" s="197"/>
      <c r="AI19" s="197"/>
      <c r="AJ19" s="197"/>
      <c r="AK19" s="197"/>
      <c r="AL19" s="197"/>
      <c r="AM19" s="197"/>
      <c r="AN19" s="197"/>
    </row>
    <row r="22" spans="1:166" x14ac:dyDescent="0.25">
      <c r="A22" s="161" t="s">
        <v>398</v>
      </c>
    </row>
    <row r="49" spans="2:13" x14ac:dyDescent="0.25">
      <c r="B49" s="197"/>
      <c r="C49" s="197"/>
      <c r="D49" s="197"/>
      <c r="E49" s="197"/>
      <c r="F49" s="197"/>
      <c r="G49" s="197"/>
      <c r="H49" s="197"/>
      <c r="I49" s="197"/>
      <c r="J49" s="197"/>
      <c r="K49" s="197"/>
      <c r="L49" s="197"/>
      <c r="M49" s="155"/>
    </row>
    <row r="200" spans="1:166" x14ac:dyDescent="0.25">
      <c r="A200" s="161" t="s">
        <v>399</v>
      </c>
    </row>
    <row r="202" spans="1:166" x14ac:dyDescent="0.25">
      <c r="B202" s="154">
        <v>2023</v>
      </c>
      <c r="BE202" s="154">
        <v>2034</v>
      </c>
      <c r="DH202" s="154">
        <v>2050</v>
      </c>
    </row>
    <row r="203" spans="1:166" x14ac:dyDescent="0.25">
      <c r="B203" s="154" t="s">
        <v>378</v>
      </c>
      <c r="C203" s="154" t="s">
        <v>374</v>
      </c>
      <c r="D203" s="154" t="s">
        <v>327</v>
      </c>
      <c r="E203" s="154" t="s">
        <v>328</v>
      </c>
      <c r="F203" s="154" t="s">
        <v>329</v>
      </c>
      <c r="G203" s="154" t="s">
        <v>379</v>
      </c>
      <c r="H203" s="154" t="s">
        <v>375</v>
      </c>
      <c r="I203" s="154" t="s">
        <v>330</v>
      </c>
      <c r="J203" s="154" t="s">
        <v>331</v>
      </c>
      <c r="K203" s="154" t="s">
        <v>332</v>
      </c>
      <c r="L203" s="154" t="s">
        <v>380</v>
      </c>
      <c r="M203" s="154" t="s">
        <v>376</v>
      </c>
      <c r="N203" s="154" t="s">
        <v>333</v>
      </c>
      <c r="O203" s="154" t="s">
        <v>334</v>
      </c>
      <c r="P203" s="154" t="s">
        <v>335</v>
      </c>
      <c r="Q203" s="154" t="s">
        <v>381</v>
      </c>
      <c r="R203" s="154" t="s">
        <v>377</v>
      </c>
      <c r="S203" s="154" t="s">
        <v>336</v>
      </c>
      <c r="T203" s="154" t="s">
        <v>337</v>
      </c>
      <c r="U203" s="154" t="s">
        <v>338</v>
      </c>
      <c r="V203" s="154" t="s">
        <v>339</v>
      </c>
      <c r="W203" s="154" t="s">
        <v>340</v>
      </c>
      <c r="X203" s="154" t="s">
        <v>341</v>
      </c>
      <c r="Y203" s="154" t="s">
        <v>342</v>
      </c>
      <c r="Z203" s="154" t="s">
        <v>343</v>
      </c>
      <c r="AA203" s="154" t="s">
        <v>344</v>
      </c>
      <c r="AB203" s="154" t="s">
        <v>345</v>
      </c>
      <c r="AC203" s="154" t="s">
        <v>346</v>
      </c>
      <c r="AD203" s="154" t="s">
        <v>347</v>
      </c>
      <c r="AE203" s="154" t="s">
        <v>348</v>
      </c>
      <c r="AF203" s="154" t="s">
        <v>349</v>
      </c>
      <c r="AG203" s="154" t="s">
        <v>350</v>
      </c>
      <c r="AH203" s="154" t="s">
        <v>351</v>
      </c>
      <c r="AI203" s="154" t="s">
        <v>352</v>
      </c>
      <c r="AJ203" s="154" t="s">
        <v>353</v>
      </c>
      <c r="AK203" s="154" t="s">
        <v>354</v>
      </c>
      <c r="AL203" s="154" t="s">
        <v>355</v>
      </c>
      <c r="AM203" s="154" t="s">
        <v>356</v>
      </c>
      <c r="AN203" s="154" t="s">
        <v>357</v>
      </c>
      <c r="AO203" s="154" t="s">
        <v>358</v>
      </c>
      <c r="AP203" s="154" t="s">
        <v>359</v>
      </c>
      <c r="AQ203" s="154" t="s">
        <v>360</v>
      </c>
      <c r="AR203" s="154" t="s">
        <v>361</v>
      </c>
      <c r="AS203" s="154" t="s">
        <v>362</v>
      </c>
      <c r="AT203" s="154" t="s">
        <v>363</v>
      </c>
      <c r="AU203" s="154" t="s">
        <v>364</v>
      </c>
      <c r="AV203" s="154" t="s">
        <v>365</v>
      </c>
      <c r="AW203" s="154" t="s">
        <v>366</v>
      </c>
      <c r="AX203" s="154" t="s">
        <v>367</v>
      </c>
      <c r="AY203" s="154" t="s">
        <v>368</v>
      </c>
      <c r="AZ203" s="154" t="s">
        <v>369</v>
      </c>
      <c r="BA203" s="154" t="s">
        <v>370</v>
      </c>
      <c r="BB203" s="154" t="s">
        <v>371</v>
      </c>
      <c r="BC203" s="154" t="s">
        <v>372</v>
      </c>
      <c r="BD203" s="154" t="s">
        <v>373</v>
      </c>
      <c r="BE203" s="154" t="s">
        <v>378</v>
      </c>
      <c r="BF203" s="154" t="s">
        <v>374</v>
      </c>
      <c r="BG203" s="154" t="s">
        <v>327</v>
      </c>
      <c r="BH203" s="154" t="s">
        <v>328</v>
      </c>
      <c r="BI203" s="154" t="s">
        <v>329</v>
      </c>
      <c r="BJ203" s="154" t="s">
        <v>379</v>
      </c>
      <c r="BK203" s="154" t="s">
        <v>375</v>
      </c>
      <c r="BL203" s="154" t="s">
        <v>330</v>
      </c>
      <c r="BM203" s="154" t="s">
        <v>331</v>
      </c>
      <c r="BN203" s="154" t="s">
        <v>332</v>
      </c>
      <c r="BO203" s="154" t="s">
        <v>380</v>
      </c>
      <c r="BP203" s="154" t="s">
        <v>376</v>
      </c>
      <c r="BQ203" s="154" t="s">
        <v>333</v>
      </c>
      <c r="BR203" s="154" t="s">
        <v>334</v>
      </c>
      <c r="BS203" s="154" t="s">
        <v>335</v>
      </c>
      <c r="BT203" s="154" t="s">
        <v>381</v>
      </c>
      <c r="BU203" s="154" t="s">
        <v>377</v>
      </c>
      <c r="BV203" s="154" t="s">
        <v>336</v>
      </c>
      <c r="BW203" s="154" t="s">
        <v>337</v>
      </c>
      <c r="BX203" s="154" t="s">
        <v>338</v>
      </c>
      <c r="BY203" s="154" t="s">
        <v>339</v>
      </c>
      <c r="BZ203" s="154" t="s">
        <v>340</v>
      </c>
      <c r="CA203" s="154" t="s">
        <v>341</v>
      </c>
      <c r="CB203" s="154" t="s">
        <v>342</v>
      </c>
      <c r="CC203" s="154" t="s">
        <v>343</v>
      </c>
      <c r="CD203" s="154" t="s">
        <v>344</v>
      </c>
      <c r="CE203" s="154" t="s">
        <v>345</v>
      </c>
      <c r="CF203" s="154" t="s">
        <v>346</v>
      </c>
      <c r="CG203" s="154" t="s">
        <v>347</v>
      </c>
      <c r="CH203" s="154" t="s">
        <v>348</v>
      </c>
      <c r="CI203" s="154" t="s">
        <v>349</v>
      </c>
      <c r="CJ203" s="154" t="s">
        <v>350</v>
      </c>
      <c r="CK203" s="154" t="s">
        <v>351</v>
      </c>
      <c r="CL203" s="154" t="s">
        <v>352</v>
      </c>
      <c r="CM203" s="154" t="s">
        <v>353</v>
      </c>
      <c r="CN203" s="154" t="s">
        <v>354</v>
      </c>
      <c r="CO203" s="154" t="s">
        <v>355</v>
      </c>
      <c r="CP203" s="154" t="s">
        <v>356</v>
      </c>
      <c r="CQ203" s="154" t="s">
        <v>357</v>
      </c>
      <c r="CR203" s="154" t="s">
        <v>358</v>
      </c>
      <c r="CS203" s="154" t="s">
        <v>359</v>
      </c>
      <c r="CT203" s="154" t="s">
        <v>360</v>
      </c>
      <c r="CU203" s="154" t="s">
        <v>361</v>
      </c>
      <c r="CV203" s="154" t="s">
        <v>362</v>
      </c>
      <c r="CW203" s="154" t="s">
        <v>363</v>
      </c>
      <c r="CX203" s="154" t="s">
        <v>364</v>
      </c>
      <c r="CY203" s="154" t="s">
        <v>365</v>
      </c>
      <c r="CZ203" s="154" t="s">
        <v>366</v>
      </c>
      <c r="DA203" s="154" t="s">
        <v>367</v>
      </c>
      <c r="DB203" s="154" t="s">
        <v>368</v>
      </c>
      <c r="DC203" s="154" t="s">
        <v>369</v>
      </c>
      <c r="DD203" s="154" t="s">
        <v>370</v>
      </c>
      <c r="DE203" s="154" t="s">
        <v>371</v>
      </c>
      <c r="DF203" s="154" t="s">
        <v>372</v>
      </c>
      <c r="DG203" s="154" t="s">
        <v>373</v>
      </c>
      <c r="DH203" s="154" t="s">
        <v>378</v>
      </c>
      <c r="DI203" s="154" t="s">
        <v>374</v>
      </c>
      <c r="DJ203" s="154" t="s">
        <v>327</v>
      </c>
      <c r="DK203" s="154" t="s">
        <v>328</v>
      </c>
      <c r="DL203" s="154" t="s">
        <v>329</v>
      </c>
      <c r="DM203" s="154" t="s">
        <v>379</v>
      </c>
      <c r="DN203" s="154" t="s">
        <v>375</v>
      </c>
      <c r="DO203" s="154" t="s">
        <v>330</v>
      </c>
      <c r="DP203" s="154" t="s">
        <v>331</v>
      </c>
      <c r="DQ203" s="154" t="s">
        <v>332</v>
      </c>
      <c r="DR203" s="154" t="s">
        <v>380</v>
      </c>
      <c r="DS203" s="154" t="s">
        <v>376</v>
      </c>
      <c r="DT203" s="154" t="s">
        <v>333</v>
      </c>
      <c r="DU203" s="154" t="s">
        <v>334</v>
      </c>
      <c r="DV203" s="154" t="s">
        <v>335</v>
      </c>
      <c r="DW203" s="154" t="s">
        <v>381</v>
      </c>
      <c r="DX203" s="154" t="s">
        <v>377</v>
      </c>
      <c r="DY203" s="154" t="s">
        <v>336</v>
      </c>
      <c r="DZ203" s="154" t="s">
        <v>337</v>
      </c>
      <c r="EA203" s="154" t="s">
        <v>338</v>
      </c>
      <c r="EB203" s="154" t="s">
        <v>339</v>
      </c>
      <c r="EC203" s="154" t="s">
        <v>340</v>
      </c>
      <c r="ED203" s="154" t="s">
        <v>341</v>
      </c>
      <c r="EE203" s="154" t="s">
        <v>342</v>
      </c>
      <c r="EF203" s="154" t="s">
        <v>343</v>
      </c>
      <c r="EG203" s="154" t="s">
        <v>344</v>
      </c>
      <c r="EH203" s="154" t="s">
        <v>345</v>
      </c>
      <c r="EI203" s="154" t="s">
        <v>346</v>
      </c>
      <c r="EJ203" s="154" t="s">
        <v>347</v>
      </c>
      <c r="EK203" s="154" t="s">
        <v>348</v>
      </c>
      <c r="EL203" s="154" t="s">
        <v>349</v>
      </c>
      <c r="EM203" s="154" t="s">
        <v>350</v>
      </c>
      <c r="EN203" s="154" t="s">
        <v>351</v>
      </c>
      <c r="EO203" s="154" t="s">
        <v>352</v>
      </c>
      <c r="EP203" s="154" t="s">
        <v>353</v>
      </c>
      <c r="EQ203" s="154" t="s">
        <v>354</v>
      </c>
      <c r="ER203" s="154" t="s">
        <v>355</v>
      </c>
      <c r="ES203" s="154" t="s">
        <v>356</v>
      </c>
      <c r="ET203" s="154" t="s">
        <v>357</v>
      </c>
      <c r="EU203" s="154" t="s">
        <v>358</v>
      </c>
      <c r="EV203" s="154" t="s">
        <v>359</v>
      </c>
      <c r="EW203" s="154" t="s">
        <v>360</v>
      </c>
      <c r="EX203" s="154" t="s">
        <v>361</v>
      </c>
      <c r="EY203" s="154" t="s">
        <v>362</v>
      </c>
      <c r="EZ203" s="154" t="s">
        <v>363</v>
      </c>
      <c r="FA203" s="154" t="s">
        <v>364</v>
      </c>
      <c r="FB203" s="154" t="s">
        <v>365</v>
      </c>
      <c r="FC203" s="154" t="s">
        <v>366</v>
      </c>
      <c r="FD203" s="154" t="s">
        <v>367</v>
      </c>
      <c r="FE203" s="154" t="s">
        <v>368</v>
      </c>
      <c r="FF203" s="154" t="s">
        <v>369</v>
      </c>
      <c r="FG203" s="154" t="s">
        <v>370</v>
      </c>
      <c r="FH203" s="154" t="s">
        <v>371</v>
      </c>
      <c r="FI203" s="154" t="s">
        <v>372</v>
      </c>
      <c r="FJ203" s="154" t="s">
        <v>373</v>
      </c>
    </row>
    <row r="204" spans="1:166" x14ac:dyDescent="0.25">
      <c r="A204" s="154" t="s">
        <v>18</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25">
      <c r="A205" s="154" t="s">
        <v>28</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25">
      <c r="A206" s="154" t="s">
        <v>14</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25">
      <c r="A207" s="154" t="s">
        <v>25</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25">
      <c r="A208" s="154" t="s">
        <v>37</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25">
      <c r="A209" s="154" t="s">
        <v>52</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25">
      <c r="A210" s="154" t="s">
        <v>262</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25">
      <c r="A211" s="154" t="s">
        <v>67</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25">
      <c r="A212" s="154" t="s">
        <v>56</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25">
      <c r="A213" s="154" t="s">
        <v>73</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25">
      <c r="A214" s="154" t="s">
        <v>206</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25">
      <c r="A215" s="154" t="s">
        <v>382</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25">
      <c r="A216" s="154" t="s">
        <v>325</v>
      </c>
    </row>
    <row r="217" spans="1:166" x14ac:dyDescent="0.25">
      <c r="A217" s="154" t="s">
        <v>326</v>
      </c>
    </row>
    <row r="219" spans="1:166" x14ac:dyDescent="0.25">
      <c r="A219" s="161" t="s">
        <v>400</v>
      </c>
    </row>
    <row r="220" spans="1:166" x14ac:dyDescent="0.25">
      <c r="C220" s="154" t="s">
        <v>18</v>
      </c>
      <c r="D220" s="154" t="s">
        <v>28</v>
      </c>
      <c r="E220" s="154" t="s">
        <v>14</v>
      </c>
      <c r="F220" s="154" t="s">
        <v>25</v>
      </c>
      <c r="G220" s="154" t="s">
        <v>37</v>
      </c>
      <c r="H220" s="154" t="s">
        <v>52</v>
      </c>
      <c r="I220" s="154" t="s">
        <v>262</v>
      </c>
      <c r="J220" s="154" t="s">
        <v>67</v>
      </c>
      <c r="K220" s="154" t="s">
        <v>56</v>
      </c>
      <c r="L220" s="154" t="s">
        <v>73</v>
      </c>
      <c r="M220" s="154" t="s">
        <v>206</v>
      </c>
      <c r="N220" s="154" t="s">
        <v>382</v>
      </c>
      <c r="O220" s="154" t="s">
        <v>325</v>
      </c>
      <c r="P220" s="154" t="s">
        <v>326</v>
      </c>
      <c r="AI220" s="154" t="s">
        <v>325</v>
      </c>
      <c r="AJ220" s="154" t="s">
        <v>326</v>
      </c>
    </row>
    <row r="221" spans="1:166" x14ac:dyDescent="0.25">
      <c r="A221" s="155" t="s">
        <v>383</v>
      </c>
      <c r="B221" s="154" t="s">
        <v>384</v>
      </c>
      <c r="C221" s="154" t="s">
        <v>385</v>
      </c>
      <c r="D221" s="154" t="s">
        <v>386</v>
      </c>
      <c r="E221" s="154" t="s">
        <v>387</v>
      </c>
      <c r="F221" s="154" t="s">
        <v>388</v>
      </c>
      <c r="G221" s="154" t="s">
        <v>389</v>
      </c>
      <c r="H221" s="154" t="s">
        <v>390</v>
      </c>
      <c r="I221" s="154" t="s">
        <v>391</v>
      </c>
      <c r="J221" s="154" t="s">
        <v>392</v>
      </c>
      <c r="K221" s="154" t="s">
        <v>393</v>
      </c>
      <c r="L221" s="154" t="s">
        <v>394</v>
      </c>
      <c r="M221" s="154" t="s">
        <v>395</v>
      </c>
      <c r="N221" s="154" t="s">
        <v>396</v>
      </c>
    </row>
    <row r="222" spans="1:166" x14ac:dyDescent="0.25">
      <c r="A222" s="155">
        <v>2023</v>
      </c>
      <c r="B222" s="154" t="s">
        <v>381</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25">
      <c r="A223" s="155"/>
      <c r="B223" s="154" t="s">
        <v>378</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25">
      <c r="A224" s="155"/>
      <c r="B224" s="154" t="s">
        <v>340</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25">
      <c r="A225" s="155"/>
      <c r="B225" s="154" t="s">
        <v>379</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25">
      <c r="A226" s="155"/>
      <c r="B226" s="154" t="s">
        <v>377</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25">
      <c r="A227" s="155"/>
      <c r="B227" s="154" t="s">
        <v>374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25">
      <c r="A228" s="155"/>
      <c r="B228" s="154" t="s">
        <v>380</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18</v>
      </c>
      <c r="S228" s="154" t="s">
        <v>28</v>
      </c>
      <c r="T228" s="154" t="s">
        <v>14</v>
      </c>
      <c r="U228" s="154" t="s">
        <v>25</v>
      </c>
      <c r="V228" s="154" t="s">
        <v>37</v>
      </c>
      <c r="W228" s="154" t="s">
        <v>52</v>
      </c>
      <c r="X228" s="154" t="s">
        <v>262</v>
      </c>
      <c r="Y228" s="154" t="s">
        <v>67</v>
      </c>
      <c r="Z228" s="154" t="s">
        <v>56</v>
      </c>
      <c r="AA228" s="154" t="s">
        <v>73</v>
      </c>
      <c r="AB228" s="154" t="s">
        <v>206</v>
      </c>
    </row>
    <row r="229" spans="1:28" x14ac:dyDescent="0.25">
      <c r="A229" s="155"/>
      <c r="B229" s="154" t="s">
        <v>375</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7">
        <v>2023</v>
      </c>
      <c r="Q229" s="154" t="s">
        <v>379</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25">
      <c r="A230" s="155"/>
      <c r="B230" s="154" t="s">
        <v>376</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7"/>
      <c r="Q230" s="154" t="s">
        <v>375</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25">
      <c r="A231" s="155"/>
      <c r="B231" s="154" t="s">
        <v>352</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7"/>
      <c r="Q231" s="154" t="s">
        <v>348</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25">
      <c r="A232" s="155"/>
      <c r="B232" s="154" t="s">
        <v>341</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7"/>
      <c r="Q232" s="154" t="s">
        <v>349</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25">
      <c r="A233" s="155"/>
      <c r="B233" s="154" t="s">
        <v>339</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7"/>
      <c r="Q233" s="154" t="s">
        <v>347</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25">
      <c r="A234" s="155"/>
      <c r="B234" s="154" t="s">
        <v>348</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7"/>
      <c r="Q234" s="154" t="s">
        <v>331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25">
      <c r="A235" s="155"/>
      <c r="B235" s="154" t="s">
        <v>356</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7"/>
      <c r="Q235" s="154" t="s">
        <v>350</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25">
      <c r="A236" s="155"/>
      <c r="B236" s="154" t="s">
        <v>344</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7"/>
      <c r="Q236" s="154" t="s">
        <v>330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25">
      <c r="A237" s="155"/>
      <c r="B237" s="154" t="s">
        <v>353</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7"/>
      <c r="Q237" s="154" t="s">
        <v>332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25">
      <c r="A238" s="155"/>
      <c r="B238" s="154" t="s">
        <v>351</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7"/>
      <c r="Q238" s="154" t="s">
        <v>365</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25">
      <c r="A239" s="155"/>
      <c r="B239" s="154" t="s">
        <v>342</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7"/>
      <c r="Q239" s="154" t="s">
        <v>366</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25">
      <c r="A240" s="155"/>
      <c r="B240" s="154" t="s">
        <v>337</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7"/>
      <c r="Q240" s="154" t="s">
        <v>367</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25">
      <c r="A241" s="155"/>
      <c r="B241" s="154" t="s">
        <v>328</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7">
        <v>2034</v>
      </c>
      <c r="Q241" s="154" t="s">
        <v>379</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25">
      <c r="A242" s="155"/>
      <c r="B242" s="154" t="s">
        <v>349</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7"/>
      <c r="Q242" s="154" t="s">
        <v>375</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25">
      <c r="A243" s="155"/>
      <c r="B243" s="154" t="s">
        <v>347</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7"/>
      <c r="Q243" s="154" t="s">
        <v>348</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25">
      <c r="A244" s="155"/>
      <c r="B244" s="154" t="s">
        <v>357</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7"/>
      <c r="Q244" s="154" t="s">
        <v>349</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25">
      <c r="A245" s="155"/>
      <c r="B245" s="154" t="s">
        <v>354</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7"/>
      <c r="Q245" s="154" t="s">
        <v>350</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25">
      <c r="A246" s="155"/>
      <c r="B246" s="154" t="s">
        <v>345</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7"/>
      <c r="Q246" s="154" t="s">
        <v>347</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25">
      <c r="A247" s="155"/>
      <c r="B247" s="154" t="s">
        <v>355</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7"/>
      <c r="Q247" s="154" t="s">
        <v>331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25">
      <c r="A248" s="155"/>
      <c r="B248" s="154" t="s">
        <v>343</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7"/>
      <c r="Q248" s="154" t="s">
        <v>330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25">
      <c r="A249" s="155"/>
      <c r="B249" s="154" t="s">
        <v>336</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7"/>
      <c r="Q249" s="154" t="s">
        <v>332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25">
      <c r="A250" s="155"/>
      <c r="B250" s="154" t="s">
        <v>327</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7"/>
      <c r="Q250" s="154" t="s">
        <v>366</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25">
      <c r="A251" s="155"/>
      <c r="B251" s="154" t="s">
        <v>331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7"/>
      <c r="Q251" s="154" t="s">
        <v>365</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25">
      <c r="A252" s="155"/>
      <c r="B252" s="154" t="s">
        <v>350</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7"/>
      <c r="Q252" s="154" t="s">
        <v>367</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25">
      <c r="A253" s="155"/>
      <c r="B253" s="154" t="s">
        <v>334</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7">
        <v>2050</v>
      </c>
      <c r="Q253" s="154" t="s">
        <v>330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25">
      <c r="A254" s="155"/>
      <c r="B254" s="154" t="s">
        <v>330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7"/>
      <c r="Q254" s="154" t="s">
        <v>331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25">
      <c r="A255" s="155"/>
      <c r="B255" s="154" t="s">
        <v>358</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7"/>
      <c r="Q255" s="154" t="s">
        <v>348</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25">
      <c r="A256" s="155"/>
      <c r="B256" s="154" t="s">
        <v>346</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7"/>
      <c r="Q256" s="154" t="s">
        <v>332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25">
      <c r="A257" s="155"/>
      <c r="B257" s="154" t="s">
        <v>333</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7"/>
      <c r="Q257" s="154" t="s">
        <v>350</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25">
      <c r="A258" s="155"/>
      <c r="B258" s="154" t="s">
        <v>338</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7"/>
      <c r="Q258" s="154" t="s">
        <v>349</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25">
      <c r="A259" s="155"/>
      <c r="B259" s="154" t="s">
        <v>329</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7"/>
      <c r="Q259" s="154" t="s">
        <v>379</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25">
      <c r="A260" s="155"/>
      <c r="B260" s="154" t="s">
        <v>332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7"/>
      <c r="Q260" s="154" t="s">
        <v>375</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25">
      <c r="A261" s="155"/>
      <c r="B261" s="154" t="s">
        <v>335</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7"/>
      <c r="Q261" s="154" t="s">
        <v>347</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25">
      <c r="A262" s="155"/>
      <c r="B262" s="154" t="s">
        <v>362</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7"/>
      <c r="Q262" s="154" t="s">
        <v>366</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25">
      <c r="A263" s="155"/>
      <c r="B263" s="154" t="s">
        <v>365</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7"/>
      <c r="Q263" s="154" t="s">
        <v>367</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25">
      <c r="A264" s="155"/>
      <c r="B264" s="154" t="s">
        <v>371</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7"/>
      <c r="Q264" s="154" t="s">
        <v>365</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25">
      <c r="A265" s="155"/>
      <c r="B265" s="154" t="s">
        <v>363</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25">
      <c r="A266" s="155"/>
      <c r="B266" s="154" t="s">
        <v>366</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25">
      <c r="A267" s="155"/>
      <c r="B267" s="154" t="s">
        <v>372</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25">
      <c r="A268" s="155"/>
      <c r="B268" s="154" t="s">
        <v>368</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25">
      <c r="A269" s="155"/>
      <c r="B269" s="154" t="s">
        <v>364</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25">
      <c r="A270" s="155"/>
      <c r="B270" s="154" t="s">
        <v>367</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25">
      <c r="A271" s="155"/>
      <c r="B271" s="154" t="s">
        <v>369</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25">
      <c r="A272" s="155"/>
      <c r="B272" s="154" t="s">
        <v>373</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25">
      <c r="A273" s="155"/>
      <c r="B273" s="154" t="s">
        <v>359</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25">
      <c r="A274" s="155"/>
      <c r="B274" s="154" t="s">
        <v>370</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25">
      <c r="A275" s="155"/>
      <c r="B275" s="154" t="s">
        <v>360</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25">
      <c r="A276" s="155"/>
      <c r="B276" s="154" t="s">
        <v>361</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25">
      <c r="A277" s="155" t="s">
        <v>383</v>
      </c>
      <c r="B277" s="154" t="s">
        <v>384</v>
      </c>
      <c r="C277" s="154" t="s">
        <v>385</v>
      </c>
      <c r="D277" s="154" t="s">
        <v>386</v>
      </c>
      <c r="E277" s="154" t="s">
        <v>387</v>
      </c>
      <c r="F277" s="154" t="s">
        <v>388</v>
      </c>
      <c r="G277" s="154" t="s">
        <v>389</v>
      </c>
      <c r="H277" s="154" t="s">
        <v>390</v>
      </c>
      <c r="I277" s="154" t="s">
        <v>391</v>
      </c>
      <c r="J277" s="154" t="s">
        <v>392</v>
      </c>
      <c r="K277" s="154" t="s">
        <v>393</v>
      </c>
      <c r="L277" s="154" t="s">
        <v>394</v>
      </c>
      <c r="M277" s="154" t="s">
        <v>395</v>
      </c>
      <c r="N277" s="154" t="s">
        <v>396</v>
      </c>
    </row>
    <row r="278" spans="1:28" x14ac:dyDescent="0.25">
      <c r="A278" s="155">
        <v>2034</v>
      </c>
      <c r="B278" s="154" t="s">
        <v>381</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25">
      <c r="A279" s="155"/>
      <c r="B279" s="154" t="s">
        <v>378</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18</v>
      </c>
      <c r="S279" s="154" t="s">
        <v>28</v>
      </c>
      <c r="T279" s="154" t="s">
        <v>14</v>
      </c>
      <c r="U279" s="154" t="s">
        <v>25</v>
      </c>
      <c r="V279" s="154" t="s">
        <v>37</v>
      </c>
      <c r="W279" s="154" t="s">
        <v>52</v>
      </c>
      <c r="X279" s="154" t="s">
        <v>262</v>
      </c>
      <c r="Y279" s="154" t="s">
        <v>67</v>
      </c>
      <c r="Z279" s="154" t="s">
        <v>56</v>
      </c>
      <c r="AA279" s="154" t="s">
        <v>73</v>
      </c>
      <c r="AB279" s="154" t="s">
        <v>206</v>
      </c>
    </row>
    <row r="280" spans="1:28" x14ac:dyDescent="0.25">
      <c r="A280" s="155"/>
      <c r="B280" s="154" t="s">
        <v>340</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7">
        <v>2023</v>
      </c>
      <c r="Q280" s="154" t="s">
        <v>375</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25">
      <c r="A281" s="155"/>
      <c r="B281" s="154" t="s">
        <v>379</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7"/>
      <c r="Q281" s="154" t="s">
        <v>331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25">
      <c r="A282" s="155"/>
      <c r="B282" s="154" t="s">
        <v>377</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7"/>
      <c r="Q282" s="154" t="s">
        <v>330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25">
      <c r="A283" s="155"/>
      <c r="B283" s="154" t="s">
        <v>374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7"/>
      <c r="Q283" s="154" t="s">
        <v>332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25">
      <c r="A284" s="155"/>
      <c r="B284" s="154" t="s">
        <v>380</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7">
        <v>2034</v>
      </c>
      <c r="Q284" s="154" t="s">
        <v>375</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25">
      <c r="A285" s="155"/>
      <c r="B285" s="154" t="s">
        <v>341</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7"/>
      <c r="Q285" s="154" t="s">
        <v>331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25">
      <c r="A286" s="155"/>
      <c r="B286" s="154" t="s">
        <v>375</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7"/>
      <c r="Q286" s="154" t="s">
        <v>330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25">
      <c r="A287" s="155"/>
      <c r="B287" s="154" t="s">
        <v>352</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7"/>
      <c r="Q287" s="154" t="s">
        <v>332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25">
      <c r="A288" s="155"/>
      <c r="B288" s="154" t="s">
        <v>348</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7">
        <v>2050</v>
      </c>
      <c r="Q288" s="154" t="s">
        <v>330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25">
      <c r="A289" s="155"/>
      <c r="B289" s="154" t="s">
        <v>376</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7"/>
      <c r="Q289" s="154" t="s">
        <v>331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25">
      <c r="A290" s="155"/>
      <c r="B290" s="154" t="s">
        <v>342</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7"/>
      <c r="Q290" s="154" t="s">
        <v>332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25">
      <c r="A291" s="155"/>
      <c r="B291" s="154" t="s">
        <v>339</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7"/>
      <c r="Q291" s="154" t="s">
        <v>375</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25">
      <c r="A292" s="155"/>
      <c r="B292" s="154" t="s">
        <v>356</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25">
      <c r="A293" s="155"/>
      <c r="B293" s="154" t="s">
        <v>344</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25">
      <c r="A294" s="155"/>
      <c r="B294" s="154" t="s">
        <v>353</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25">
      <c r="A295" s="155"/>
      <c r="B295" s="154" t="s">
        <v>354</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25">
      <c r="A296" s="155"/>
      <c r="B296" s="154" t="s">
        <v>351</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25">
      <c r="A297" s="155"/>
      <c r="B297" s="154" t="s">
        <v>349</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25">
      <c r="A298" s="155"/>
      <c r="B298" s="154" t="s">
        <v>357</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25">
      <c r="A299" s="155"/>
      <c r="B299" s="154" t="s">
        <v>337</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25">
      <c r="A300" s="155"/>
      <c r="B300" s="154" t="s">
        <v>328</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25">
      <c r="A301" s="155"/>
      <c r="B301" s="154" t="s">
        <v>345</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18</v>
      </c>
      <c r="S301" s="154" t="s">
        <v>28</v>
      </c>
      <c r="T301" s="154" t="s">
        <v>14</v>
      </c>
      <c r="U301" s="154" t="s">
        <v>25</v>
      </c>
      <c r="V301" s="154" t="s">
        <v>37</v>
      </c>
      <c r="W301" s="154" t="s">
        <v>52</v>
      </c>
      <c r="X301" s="154" t="s">
        <v>262</v>
      </c>
      <c r="Y301" s="154" t="s">
        <v>67</v>
      </c>
      <c r="Z301" s="154" t="s">
        <v>56</v>
      </c>
      <c r="AA301" s="154" t="s">
        <v>73</v>
      </c>
      <c r="AB301" s="154" t="s">
        <v>206</v>
      </c>
    </row>
    <row r="302" spans="1:28" x14ac:dyDescent="0.25">
      <c r="A302" s="155"/>
      <c r="B302" s="154" t="s">
        <v>336</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7">
        <v>2023</v>
      </c>
      <c r="Q302" s="154" t="s">
        <v>379</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25">
      <c r="A303" s="155"/>
      <c r="B303" s="154" t="s">
        <v>327</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7"/>
      <c r="Q303" s="154" t="s">
        <v>375</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25">
      <c r="A304" s="155"/>
      <c r="B304" s="154" t="s">
        <v>350</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7"/>
      <c r="Q304" s="154" t="s">
        <v>347</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25">
      <c r="A305" s="155"/>
      <c r="B305" s="154" t="s">
        <v>347</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7"/>
      <c r="Q305" s="154" t="s">
        <v>365</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25">
      <c r="A306" s="155"/>
      <c r="B306" s="154" t="s">
        <v>358</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7"/>
    </row>
    <row r="307" spans="1:28" x14ac:dyDescent="0.25">
      <c r="A307" s="155"/>
      <c r="B307" s="154" t="s">
        <v>355</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7"/>
    </row>
    <row r="308" spans="1:28" x14ac:dyDescent="0.25">
      <c r="A308" s="155"/>
      <c r="B308" s="154" t="s">
        <v>346</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7"/>
    </row>
    <row r="309" spans="1:28" x14ac:dyDescent="0.25">
      <c r="A309" s="155"/>
      <c r="B309" s="154" t="s">
        <v>343</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7"/>
    </row>
    <row r="310" spans="1:28" x14ac:dyDescent="0.25">
      <c r="A310" s="155"/>
      <c r="B310" s="154" t="s">
        <v>331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7"/>
    </row>
    <row r="311" spans="1:28" x14ac:dyDescent="0.25">
      <c r="A311" s="155"/>
      <c r="B311" s="154" t="s">
        <v>334</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7"/>
    </row>
    <row r="312" spans="1:28" x14ac:dyDescent="0.25">
      <c r="A312" s="155"/>
      <c r="B312" s="154" t="s">
        <v>330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7"/>
    </row>
    <row r="313" spans="1:28" x14ac:dyDescent="0.25">
      <c r="A313" s="155"/>
      <c r="B313" s="154" t="s">
        <v>333</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7"/>
    </row>
    <row r="314" spans="1:28" x14ac:dyDescent="0.25">
      <c r="A314" s="155"/>
      <c r="B314" s="154" t="s">
        <v>338</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25">
      <c r="A315" s="155"/>
      <c r="B315" s="154" t="s">
        <v>329</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25">
      <c r="A316" s="155"/>
      <c r="B316" s="154" t="s">
        <v>332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25">
      <c r="A317" s="155"/>
      <c r="B317" s="154" t="s">
        <v>335</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25">
      <c r="A318" s="155"/>
      <c r="B318" s="154" t="s">
        <v>363</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25">
      <c r="A319" s="155"/>
      <c r="B319" s="154" t="s">
        <v>366</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25">
      <c r="A320" s="155"/>
      <c r="B320" s="154" t="s">
        <v>362</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25">
      <c r="A321" s="155"/>
      <c r="B321" s="154" t="s">
        <v>372</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25">
      <c r="A322" s="155"/>
      <c r="B322" s="154" t="s">
        <v>365</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25">
      <c r="A323" s="155"/>
      <c r="B323" s="154" t="s">
        <v>371</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25">
      <c r="A324" s="155"/>
      <c r="B324" s="154" t="s">
        <v>364</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25">
      <c r="A325" s="155"/>
      <c r="B325" s="154" t="s">
        <v>367</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25">
      <c r="A326" s="155"/>
      <c r="B326" s="154" t="s">
        <v>369</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25">
      <c r="A327" s="155"/>
      <c r="B327" s="154" t="s">
        <v>373</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25">
      <c r="A328" s="155"/>
      <c r="B328" s="154" t="s">
        <v>368</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25">
      <c r="A329" s="155"/>
      <c r="B329" s="154" t="s">
        <v>370</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25">
      <c r="A330" s="155"/>
      <c r="B330" s="154" t="s">
        <v>360</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25">
      <c r="A331" s="155"/>
      <c r="B331" s="154" t="s">
        <v>359</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25">
      <c r="A332" s="155"/>
      <c r="B332" s="154" t="s">
        <v>361</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25">
      <c r="A333" s="155" t="s">
        <v>383</v>
      </c>
      <c r="B333" s="154" t="s">
        <v>384</v>
      </c>
      <c r="C333" s="154" t="s">
        <v>385</v>
      </c>
      <c r="D333" s="154" t="s">
        <v>386</v>
      </c>
      <c r="E333" s="154" t="s">
        <v>387</v>
      </c>
      <c r="F333" s="154" t="s">
        <v>388</v>
      </c>
      <c r="G333" s="154" t="s">
        <v>389</v>
      </c>
      <c r="H333" s="154" t="s">
        <v>390</v>
      </c>
      <c r="I333" s="154" t="s">
        <v>391</v>
      </c>
      <c r="J333" s="154" t="s">
        <v>392</v>
      </c>
      <c r="K333" s="154" t="s">
        <v>393</v>
      </c>
      <c r="L333" s="154" t="s">
        <v>394</v>
      </c>
      <c r="M333" s="154" t="s">
        <v>395</v>
      </c>
      <c r="N333" s="154" t="s">
        <v>396</v>
      </c>
    </row>
    <row r="334" spans="1:14" x14ac:dyDescent="0.25">
      <c r="A334" s="155">
        <v>2050</v>
      </c>
      <c r="B334" s="154" t="s">
        <v>340</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25">
      <c r="A335" s="155"/>
      <c r="B335" s="154" t="s">
        <v>342</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25">
      <c r="A336" s="155"/>
      <c r="B336" s="154" t="s">
        <v>336</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25">
      <c r="A337" s="155"/>
      <c r="B337" s="154" t="s">
        <v>327</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25">
      <c r="A338" s="155"/>
      <c r="B338" s="154" t="s">
        <v>337</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25">
      <c r="A339" s="155"/>
      <c r="B339" s="154" t="s">
        <v>328</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25">
      <c r="A340" s="155"/>
      <c r="B340" s="154" t="s">
        <v>341</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25">
      <c r="A341" s="155"/>
      <c r="B341" s="154" t="s">
        <v>338</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25">
      <c r="A342" s="155"/>
      <c r="B342" s="154" t="s">
        <v>329</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25">
      <c r="A343" s="155"/>
      <c r="B343" s="154" t="s">
        <v>330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25">
      <c r="A344" s="155"/>
      <c r="B344" s="154" t="s">
        <v>331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25">
      <c r="A345" s="155"/>
      <c r="B345" s="154" t="s">
        <v>381</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25">
      <c r="A346" s="155"/>
      <c r="B346" s="154" t="s">
        <v>378</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25">
      <c r="A347" s="155"/>
      <c r="B347" s="154" t="s">
        <v>333</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25">
      <c r="A348" s="155"/>
      <c r="B348" s="154" t="s">
        <v>352</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25">
      <c r="A349" s="155"/>
      <c r="B349" s="154" t="s">
        <v>334</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25">
      <c r="A350" s="155"/>
      <c r="B350" s="154" t="s">
        <v>348</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25">
      <c r="A351" s="155"/>
      <c r="B351" s="154" t="s">
        <v>354</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25">
      <c r="A352" s="155"/>
      <c r="B352" s="154" t="s">
        <v>332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25">
      <c r="A353" s="155"/>
      <c r="B353" s="154" t="s">
        <v>350</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25">
      <c r="A354" s="155"/>
      <c r="B354" s="154" t="s">
        <v>356</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25">
      <c r="A355" s="155"/>
      <c r="B355" s="154" t="s">
        <v>353</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25">
      <c r="A356" s="155"/>
      <c r="B356" s="154" t="s">
        <v>344</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25">
      <c r="A357" s="155"/>
      <c r="B357" s="154" t="s">
        <v>335</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25">
      <c r="A358" s="155"/>
      <c r="B358" s="154" t="s">
        <v>377</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25">
      <c r="A359" s="155"/>
      <c r="B359" s="154" t="s">
        <v>374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25">
      <c r="A360" s="155"/>
      <c r="B360" s="154" t="s">
        <v>358</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25">
      <c r="A361" s="155"/>
      <c r="B361" s="154" t="s">
        <v>349</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25">
      <c r="A362" s="155"/>
      <c r="B362" s="154" t="s">
        <v>346</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25">
      <c r="A363" s="155"/>
      <c r="B363" s="154" t="s">
        <v>357</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25">
      <c r="A364" s="155"/>
      <c r="B364" s="154" t="s">
        <v>379</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25">
      <c r="A365" s="155"/>
      <c r="B365" s="154" t="s">
        <v>345</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25">
      <c r="A366" s="155"/>
      <c r="B366" s="154" t="s">
        <v>339</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25">
      <c r="A367" s="155"/>
      <c r="B367" s="154" t="s">
        <v>380</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25">
      <c r="A368" s="155"/>
      <c r="B368" s="154" t="s">
        <v>375</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25">
      <c r="A369" s="155"/>
      <c r="B369" s="154" t="s">
        <v>376</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25">
      <c r="A370" s="155"/>
      <c r="B370" s="154" t="s">
        <v>351</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25">
      <c r="A371" s="155"/>
      <c r="B371" s="154" t="s">
        <v>347</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25">
      <c r="A372" s="155"/>
      <c r="B372" s="154" t="s">
        <v>355</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25">
      <c r="A373" s="155"/>
      <c r="B373" s="154" t="s">
        <v>343</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25">
      <c r="A374" s="155"/>
      <c r="B374" s="154" t="s">
        <v>363</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25">
      <c r="A375" s="155"/>
      <c r="B375" s="154" t="s">
        <v>366</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25">
      <c r="A376" s="155"/>
      <c r="B376" s="154" t="s">
        <v>364</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25">
      <c r="A377" s="155"/>
      <c r="B377" s="154" t="s">
        <v>367</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25">
      <c r="A378" s="155"/>
      <c r="B378" s="154" t="s">
        <v>372</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25">
      <c r="A379" s="155"/>
      <c r="B379" s="154" t="s">
        <v>373</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25">
      <c r="A380" s="155"/>
      <c r="B380" s="154" t="s">
        <v>362</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25">
      <c r="A381" s="155"/>
      <c r="B381" s="154" t="s">
        <v>371</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25">
      <c r="A382" s="155"/>
      <c r="B382" s="154" t="s">
        <v>365</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25">
      <c r="A383" s="155"/>
      <c r="B383" s="154" t="s">
        <v>369</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25">
      <c r="A384" s="155"/>
      <c r="B384" s="154" t="s">
        <v>370</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25">
      <c r="A385" s="155"/>
      <c r="B385" s="154" t="s">
        <v>368</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25">
      <c r="A386" s="155"/>
      <c r="B386" s="154" t="s">
        <v>360</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25">
      <c r="A387" s="155"/>
      <c r="B387" s="154" t="s">
        <v>361</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25">
      <c r="A388" s="155"/>
      <c r="B388" s="154" t="s">
        <v>359</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25">
      <c r="A393" s="161" t="s">
        <v>401</v>
      </c>
    </row>
    <row r="397" spans="1:14" x14ac:dyDescent="0.25">
      <c r="C397" s="154" t="s">
        <v>18</v>
      </c>
      <c r="D397" s="154" t="s">
        <v>28</v>
      </c>
      <c r="E397" s="154" t="s">
        <v>14</v>
      </c>
      <c r="F397" s="154" t="s">
        <v>25</v>
      </c>
      <c r="G397" s="154" t="s">
        <v>37</v>
      </c>
      <c r="H397" s="154" t="s">
        <v>52</v>
      </c>
      <c r="I397" s="154" t="s">
        <v>262</v>
      </c>
      <c r="J397" s="154" t="s">
        <v>67</v>
      </c>
      <c r="K397" s="154" t="s">
        <v>56</v>
      </c>
      <c r="L397" s="154" t="s">
        <v>73</v>
      </c>
      <c r="M397" s="154" t="s">
        <v>206</v>
      </c>
      <c r="N397" s="154" t="s">
        <v>382</v>
      </c>
    </row>
    <row r="398" spans="1:14" x14ac:dyDescent="0.25">
      <c r="A398" s="197">
        <v>2023</v>
      </c>
      <c r="B398" s="154" t="s">
        <v>381</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25">
      <c r="A399" s="197"/>
      <c r="B399" s="154" t="s">
        <v>378</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25">
      <c r="A400" s="197"/>
      <c r="B400" s="154" t="s">
        <v>340</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25">
      <c r="A401" s="197"/>
      <c r="B401" s="154" t="s">
        <v>379</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25">
      <c r="A402" s="197"/>
      <c r="B402" s="154" t="s">
        <v>377</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25">
      <c r="A403" s="197"/>
      <c r="B403" s="154" t="s">
        <v>374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25">
      <c r="A404" s="197"/>
      <c r="B404" s="154" t="s">
        <v>380</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25">
      <c r="A405" s="197"/>
      <c r="B405" s="154" t="s">
        <v>375</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25">
      <c r="A406" s="197"/>
      <c r="B406" s="154" t="s">
        <v>376</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25">
      <c r="A407" s="197"/>
      <c r="B407" s="154" t="s">
        <v>352</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25">
      <c r="A408" s="197"/>
      <c r="B408" s="154" t="s">
        <v>341</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25">
      <c r="A409" s="197"/>
      <c r="B409" s="154" t="s">
        <v>339</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25">
      <c r="A410" s="197"/>
      <c r="B410" s="154" t="s">
        <v>348</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25">
      <c r="A411" s="197"/>
      <c r="B411" s="154" t="s">
        <v>356</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25">
      <c r="A412" s="197"/>
      <c r="B412" s="154" t="s">
        <v>344</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25">
      <c r="A413" s="197"/>
      <c r="B413" s="154" t="s">
        <v>353</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25">
      <c r="A414" s="197"/>
      <c r="B414" s="154" t="s">
        <v>351</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25">
      <c r="A415" s="197"/>
      <c r="B415" s="154" t="s">
        <v>342</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25">
      <c r="A416" s="197"/>
      <c r="B416" s="154" t="s">
        <v>337</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25">
      <c r="A417" s="197"/>
      <c r="B417" s="154" t="s">
        <v>328</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25">
      <c r="A418" s="197"/>
      <c r="B418" s="154" t="s">
        <v>349</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25">
      <c r="A419" s="197"/>
      <c r="B419" s="154" t="s">
        <v>347</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25">
      <c r="A420" s="197"/>
      <c r="B420" s="154" t="s">
        <v>357</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25">
      <c r="A421" s="197"/>
      <c r="B421" s="154" t="s">
        <v>354</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25">
      <c r="A422" s="197"/>
      <c r="B422" s="154" t="s">
        <v>345</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25">
      <c r="A423" s="197"/>
      <c r="B423" s="154" t="s">
        <v>355</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25">
      <c r="A424" s="197"/>
      <c r="B424" s="154" t="s">
        <v>343</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25">
      <c r="A425" s="197"/>
      <c r="B425" s="154" t="s">
        <v>336</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25">
      <c r="A426" s="197"/>
      <c r="B426" s="154" t="s">
        <v>327</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25">
      <c r="A427" s="197"/>
      <c r="B427" s="154" t="s">
        <v>331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25">
      <c r="A428" s="197"/>
      <c r="B428" s="154" t="s">
        <v>350</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25">
      <c r="A429" s="197"/>
      <c r="B429" s="154" t="s">
        <v>334</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25">
      <c r="A430" s="197"/>
      <c r="B430" s="154" t="s">
        <v>330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25">
      <c r="A431" s="197"/>
      <c r="B431" s="154" t="s">
        <v>358</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25">
      <c r="A432" s="197"/>
      <c r="B432" s="154" t="s">
        <v>346</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25">
      <c r="A433" s="197"/>
      <c r="B433" s="154" t="s">
        <v>333</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25">
      <c r="A434" s="197"/>
      <c r="B434" s="154" t="s">
        <v>338</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25">
      <c r="A435" s="197"/>
      <c r="B435" s="154" t="s">
        <v>329</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25">
      <c r="A436" s="197"/>
      <c r="B436" s="154" t="s">
        <v>332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25">
      <c r="A437" s="197"/>
      <c r="B437" s="154" t="s">
        <v>335</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25">
      <c r="A438" s="197"/>
      <c r="B438" s="154" t="s">
        <v>362</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25">
      <c r="A439" s="197"/>
      <c r="B439" s="154" t="s">
        <v>365</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25">
      <c r="A440" s="197"/>
      <c r="B440" s="154" t="s">
        <v>371</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25">
      <c r="A441" s="197"/>
      <c r="B441" s="154" t="s">
        <v>363</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25">
      <c r="A442" s="197"/>
      <c r="B442" s="154" t="s">
        <v>366</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25">
      <c r="A443" s="197"/>
      <c r="B443" s="154" t="s">
        <v>372</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25">
      <c r="A444" s="197"/>
      <c r="B444" s="154" t="s">
        <v>368</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25">
      <c r="A445" s="197"/>
      <c r="B445" s="154" t="s">
        <v>364</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25">
      <c r="A446" s="197"/>
      <c r="B446" s="154" t="s">
        <v>367</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25">
      <c r="A447" s="197"/>
      <c r="B447" s="154" t="s">
        <v>369</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25">
      <c r="A448" s="197"/>
      <c r="B448" s="154" t="s">
        <v>373</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25">
      <c r="A449" s="197"/>
      <c r="B449" s="154" t="s">
        <v>359</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25">
      <c r="A450" s="197"/>
      <c r="B450" s="154" t="s">
        <v>370</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25">
      <c r="A451" s="197"/>
      <c r="B451" s="154" t="s">
        <v>360</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25">
      <c r="A452" s="197"/>
      <c r="B452" s="154" t="s">
        <v>361</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25">
      <c r="A453" s="197">
        <v>2034</v>
      </c>
      <c r="B453" s="154" t="s">
        <v>381</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25">
      <c r="A454" s="197"/>
      <c r="B454" s="154" t="s">
        <v>378</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25">
      <c r="A455" s="197"/>
      <c r="B455" s="154" t="s">
        <v>340</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25">
      <c r="A456" s="197"/>
      <c r="B456" s="154" t="s">
        <v>379</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25">
      <c r="A457" s="197"/>
      <c r="B457" s="154" t="s">
        <v>377</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25">
      <c r="A458" s="197"/>
      <c r="B458" s="154" t="s">
        <v>374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25">
      <c r="A459" s="197"/>
      <c r="B459" s="154" t="s">
        <v>380</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25">
      <c r="A460" s="197"/>
      <c r="B460" s="154" t="s">
        <v>341</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25">
      <c r="A461" s="197"/>
      <c r="B461" s="154" t="s">
        <v>375</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25">
      <c r="A462" s="197"/>
      <c r="B462" s="154" t="s">
        <v>352</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25">
      <c r="A463" s="197"/>
      <c r="B463" s="154" t="s">
        <v>348</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25">
      <c r="A464" s="197"/>
      <c r="B464" s="154" t="s">
        <v>376</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25">
      <c r="A465" s="197"/>
      <c r="B465" s="154" t="s">
        <v>342</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25">
      <c r="A466" s="197"/>
      <c r="B466" s="154" t="s">
        <v>339</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25">
      <c r="A467" s="197"/>
      <c r="B467" s="154" t="s">
        <v>356</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25">
      <c r="A468" s="197"/>
      <c r="B468" s="154" t="s">
        <v>344</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25">
      <c r="A469" s="197"/>
      <c r="B469" s="154" t="s">
        <v>353</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25">
      <c r="A470" s="197"/>
      <c r="B470" s="154" t="s">
        <v>354</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25">
      <c r="A471" s="197"/>
      <c r="B471" s="154" t="s">
        <v>351</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25">
      <c r="A472" s="197"/>
      <c r="B472" s="154" t="s">
        <v>349</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25">
      <c r="A473" s="197"/>
      <c r="B473" s="154" t="s">
        <v>357</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25">
      <c r="A474" s="197"/>
      <c r="B474" s="154" t="s">
        <v>337</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25">
      <c r="A475" s="197"/>
      <c r="B475" s="154" t="s">
        <v>328</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25">
      <c r="A476" s="197"/>
      <c r="B476" s="154" t="s">
        <v>345</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25">
      <c r="A477" s="197"/>
      <c r="B477" s="154" t="s">
        <v>336</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25">
      <c r="A478" s="197"/>
      <c r="B478" s="154" t="s">
        <v>327</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25">
      <c r="A479" s="197"/>
      <c r="B479" s="154" t="s">
        <v>350</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25">
      <c r="A480" s="197"/>
      <c r="B480" s="154" t="s">
        <v>347</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25">
      <c r="A481" s="197"/>
      <c r="B481" s="154" t="s">
        <v>358</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25">
      <c r="A482" s="197"/>
      <c r="B482" s="154" t="s">
        <v>355</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25">
      <c r="A483" s="197"/>
      <c r="B483" s="154" t="s">
        <v>346</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25">
      <c r="A484" s="197"/>
      <c r="B484" s="154" t="s">
        <v>343</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25">
      <c r="A485" s="197"/>
      <c r="B485" s="154" t="s">
        <v>331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25">
      <c r="A486" s="197"/>
      <c r="B486" s="154" t="s">
        <v>334</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25">
      <c r="A487" s="197"/>
      <c r="B487" s="154" t="s">
        <v>330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25">
      <c r="A488" s="197"/>
      <c r="B488" s="154" t="s">
        <v>333</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25">
      <c r="A489" s="197"/>
      <c r="B489" s="154" t="s">
        <v>338</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25">
      <c r="A490" s="197"/>
      <c r="B490" s="154" t="s">
        <v>329</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25">
      <c r="A491" s="197"/>
      <c r="B491" s="154" t="s">
        <v>332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25">
      <c r="A492" s="197"/>
      <c r="B492" s="154" t="s">
        <v>335</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25">
      <c r="A493" s="197"/>
      <c r="B493" s="154" t="s">
        <v>363</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25">
      <c r="A494" s="197"/>
      <c r="B494" s="154" t="s">
        <v>366</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25">
      <c r="A495" s="197"/>
      <c r="B495" s="154" t="s">
        <v>362</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25">
      <c r="A496" s="197"/>
      <c r="B496" s="154" t="s">
        <v>372</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25">
      <c r="A497" s="197"/>
      <c r="B497" s="154" t="s">
        <v>365</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25">
      <c r="A498" s="197"/>
      <c r="B498" s="154" t="s">
        <v>371</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25">
      <c r="A499" s="197"/>
      <c r="B499" s="154" t="s">
        <v>364</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25">
      <c r="A500" s="197"/>
      <c r="B500" s="154" t="s">
        <v>367</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25">
      <c r="A501" s="197"/>
      <c r="B501" s="154" t="s">
        <v>369</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25">
      <c r="A502" s="197"/>
      <c r="B502" s="154" t="s">
        <v>373</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25">
      <c r="A503" s="197"/>
      <c r="B503" s="154" t="s">
        <v>368</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25">
      <c r="A504" s="197"/>
      <c r="B504" s="154" t="s">
        <v>370</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25">
      <c r="A505" s="197"/>
      <c r="B505" s="154" t="s">
        <v>360</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25">
      <c r="A506" s="197"/>
      <c r="B506" s="154" t="s">
        <v>359</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25">
      <c r="A507" s="198"/>
      <c r="B507" s="160" t="s">
        <v>361</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25">
      <c r="A508" s="199">
        <v>2050</v>
      </c>
      <c r="B508" s="154" t="s">
        <v>340</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25">
      <c r="A509" s="197"/>
      <c r="B509" s="154" t="s">
        <v>342</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25">
      <c r="A510" s="197"/>
      <c r="B510" s="154" t="s">
        <v>336</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25">
      <c r="A511" s="197"/>
      <c r="B511" s="154" t="s">
        <v>327</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25">
      <c r="A512" s="197"/>
      <c r="B512" s="154" t="s">
        <v>337</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25">
      <c r="A513" s="197"/>
      <c r="B513" s="154" t="s">
        <v>328</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25">
      <c r="A514" s="197"/>
      <c r="B514" s="154" t="s">
        <v>341</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25">
      <c r="A515" s="197"/>
      <c r="B515" s="154" t="s">
        <v>338</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25">
      <c r="A516" s="197"/>
      <c r="B516" s="154" t="s">
        <v>329</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25">
      <c r="A517" s="197"/>
      <c r="B517" s="154" t="s">
        <v>330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25">
      <c r="A518" s="197"/>
      <c r="B518" s="154" t="s">
        <v>331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25">
      <c r="A519" s="197"/>
      <c r="B519" s="154" t="s">
        <v>381</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25">
      <c r="A520" s="197"/>
      <c r="B520" s="154" t="s">
        <v>378</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25">
      <c r="A521" s="197"/>
      <c r="B521" s="154" t="s">
        <v>333</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25">
      <c r="A522" s="197"/>
      <c r="B522" s="154" t="s">
        <v>352</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25">
      <c r="A523" s="197"/>
      <c r="B523" s="154" t="s">
        <v>334</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25">
      <c r="A524" s="197"/>
      <c r="B524" s="154" t="s">
        <v>348</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25">
      <c r="A525" s="197"/>
      <c r="B525" s="154" t="s">
        <v>354</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25">
      <c r="A526" s="197"/>
      <c r="B526" s="154" t="s">
        <v>332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25">
      <c r="A527" s="197"/>
      <c r="B527" s="154" t="s">
        <v>350</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25">
      <c r="A528" s="197"/>
      <c r="B528" s="154" t="s">
        <v>356</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25">
      <c r="A529" s="197"/>
      <c r="B529" s="154" t="s">
        <v>353</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25">
      <c r="A530" s="197"/>
      <c r="B530" s="154" t="s">
        <v>344</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25">
      <c r="A531" s="197"/>
      <c r="B531" s="154" t="s">
        <v>335</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25">
      <c r="A532" s="197"/>
      <c r="B532" s="154" t="s">
        <v>377</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25">
      <c r="A533" s="197"/>
      <c r="B533" s="154" t="s">
        <v>374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25">
      <c r="A534" s="197"/>
      <c r="B534" s="154" t="s">
        <v>358</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25">
      <c r="A535" s="197"/>
      <c r="B535" s="154" t="s">
        <v>349</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25">
      <c r="A536" s="197"/>
      <c r="B536" s="154" t="s">
        <v>346</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25">
      <c r="A537" s="197"/>
      <c r="B537" s="154" t="s">
        <v>357</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25">
      <c r="A538" s="197"/>
      <c r="B538" s="154" t="s">
        <v>379</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25">
      <c r="A539" s="197"/>
      <c r="B539" s="154" t="s">
        <v>345</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25">
      <c r="A540" s="197"/>
      <c r="B540" s="154" t="s">
        <v>339</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25">
      <c r="A541" s="197"/>
      <c r="B541" s="154" t="s">
        <v>380</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25">
      <c r="A542" s="197"/>
      <c r="B542" s="154" t="s">
        <v>375</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25">
      <c r="A543" s="197"/>
      <c r="B543" s="154" t="s">
        <v>376</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25">
      <c r="A544" s="197"/>
      <c r="B544" s="154" t="s">
        <v>351</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25">
      <c r="A545" s="197"/>
      <c r="B545" s="154" t="s">
        <v>347</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25">
      <c r="A546" s="197"/>
      <c r="B546" s="154" t="s">
        <v>355</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25">
      <c r="A547" s="197"/>
      <c r="B547" s="154" t="s">
        <v>343</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25">
      <c r="A548" s="197"/>
      <c r="B548" s="154" t="s">
        <v>363</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25">
      <c r="A549" s="197"/>
      <c r="B549" s="154" t="s">
        <v>366</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25">
      <c r="A550" s="197"/>
      <c r="B550" s="154" t="s">
        <v>364</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25">
      <c r="A551" s="197"/>
      <c r="B551" s="154" t="s">
        <v>367</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25">
      <c r="A552" s="197"/>
      <c r="B552" s="154" t="s">
        <v>372</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25">
      <c r="A553" s="197"/>
      <c r="B553" s="154" t="s">
        <v>373</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25">
      <c r="A554" s="197"/>
      <c r="B554" s="154" t="s">
        <v>362</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25">
      <c r="A555" s="197"/>
      <c r="B555" s="154" t="s">
        <v>371</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25">
      <c r="A556" s="197"/>
      <c r="B556" s="154" t="s">
        <v>365</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25">
      <c r="A557" s="197"/>
      <c r="B557" s="154" t="s">
        <v>369</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25">
      <c r="A558" s="197"/>
      <c r="B558" s="154" t="s">
        <v>370</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25">
      <c r="A559" s="197"/>
      <c r="B559" s="154" t="s">
        <v>368</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25">
      <c r="A560" s="197"/>
      <c r="B560" s="154" t="s">
        <v>360</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25">
      <c r="A561" s="197"/>
      <c r="B561" s="154" t="s">
        <v>361</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25">
      <c r="A562" s="198"/>
      <c r="B562" s="160" t="s">
        <v>359</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0.16150148792048974</v>
      </c>
      <c r="F2" s="126">
        <f>'Semi-trailer truck (Diesel)'!C$85</f>
        <v>0.16115721695533586</v>
      </c>
      <c r="G2" s="126">
        <f>'Semi-trailer truck (Diesel)'!D$85</f>
        <v>0.1608178658980301</v>
      </c>
      <c r="H2" s="126">
        <f>'Semi-trailer truck (Diesel)'!E$85</f>
        <v>0.16048561110956144</v>
      </c>
      <c r="I2" s="126">
        <f>'Semi-trailer truck (Diesel)'!F$85</f>
        <v>0.16016346960007288</v>
      </c>
      <c r="J2" s="126">
        <f>'Semi-trailer truck (Diesel)'!G$85</f>
        <v>0.15985549430503793</v>
      </c>
      <c r="K2" s="126">
        <f>'Semi-trailer truck (Diesel)'!H$85</f>
        <v>0.15956687348578028</v>
      </c>
      <c r="L2" s="126">
        <f>'Semi-trailer truck (Diesel)'!I$85</f>
        <v>0.15930376037959293</v>
      </c>
      <c r="M2" s="126">
        <f>'Semi-trailer truck (Diesel)'!J$85</f>
        <v>0.15931518699600847</v>
      </c>
      <c r="N2" s="126">
        <f>'Semi-trailer truck (Diesel)'!K$85</f>
        <v>0.15935788122133043</v>
      </c>
      <c r="O2" s="126">
        <f>'Semi-trailer truck (Diesel)'!L$85</f>
        <v>0.15943172688542995</v>
      </c>
      <c r="P2" s="126">
        <f>'Semi-trailer truck (Diesel)'!M$85</f>
        <v>0.1595312014287559</v>
      </c>
      <c r="Q2" s="126">
        <f>'Semi-trailer truck (Diesel)'!N$85</f>
        <v>0.15964497618552159</v>
      </c>
      <c r="R2" s="126">
        <f>'Semi-trailer truck (Diesel)'!O$85</f>
        <v>0.15975802943604556</v>
      </c>
      <c r="S2" s="126">
        <f>'Semi-trailer truck (Diesel)'!P$85</f>
        <v>0.15985573585985405</v>
      </c>
      <c r="T2" s="126">
        <f>'Semi-trailer truck (Diesel)'!Q$85</f>
        <v>0.15992775700834516</v>
      </c>
      <c r="U2" s="126">
        <f>'Semi-trailer truck (Diesel)'!R$85</f>
        <v>0.15996971030692503</v>
      </c>
      <c r="V2" s="126">
        <f>'Semi-trailer truck (Diesel)'!S$85</f>
        <v>0.1599823752826825</v>
      </c>
      <c r="W2" s="126">
        <f>'Semi-trailer truck (Diesel)'!T$85</f>
        <v>0.15996965602643792</v>
      </c>
      <c r="X2" s="126">
        <f>'Semi-trailer truck (Diesel)'!U$85</f>
        <v>0.15993660658545378</v>
      </c>
      <c r="Y2" s="126">
        <f>'Semi-trailer truck (Diesel)'!V$85</f>
        <v>0.15988813401751967</v>
      </c>
      <c r="Z2" s="126">
        <f>'Semi-trailer truck (Diesel)'!W$85</f>
        <v>0.1598283886241107</v>
      </c>
      <c r="AA2" s="126">
        <f>'Semi-trailer truck (Diesel)'!X$85</f>
        <v>0.15976061105535916</v>
      </c>
      <c r="AB2" s="126">
        <f>'Semi-trailer truck (Diesel)'!Y$85</f>
        <v>0.15968720873843278</v>
      </c>
      <c r="AC2" s="126">
        <f>'Semi-trailer truck (Diesel)'!Z$85</f>
        <v>0.15960991360412743</v>
      </c>
      <c r="AD2" s="126">
        <f>'Semi-trailer truck (Diesel)'!AA$85</f>
        <v>0.15952994566568962</v>
      </c>
      <c r="AE2" s="126">
        <f>'Semi-trailer truck (Diesel)'!AB$85</f>
        <v>0.159448152434082</v>
      </c>
      <c r="AF2" s="126">
        <f>'Semi-trailer truck (Diesel)'!AC$85</f>
        <v>0.1593651172133618</v>
      </c>
    </row>
    <row r="3" spans="1:32" x14ac:dyDescent="0.25">
      <c r="A3">
        <v>2</v>
      </c>
      <c r="B3" t="s">
        <v>221</v>
      </c>
      <c r="C3" t="s">
        <v>11</v>
      </c>
      <c r="D3" t="s">
        <v>223</v>
      </c>
      <c r="E3" s="126">
        <f>'Semi-trailer truck (Diesel)'!B$191</f>
        <v>8.1266133561074191E-2</v>
      </c>
      <c r="F3" s="126">
        <f>'Semi-trailer truck (Diesel)'!C$191</f>
        <v>8.0955069384040443E-2</v>
      </c>
      <c r="G3" s="126">
        <f>'Semi-trailer truck (Diesel)'!D$191</f>
        <v>8.0644184160443583E-2</v>
      </c>
      <c r="H3" s="126">
        <f>'Semi-trailer truck (Diesel)'!E$191</f>
        <v>8.0333739927345618E-2</v>
      </c>
      <c r="I3" s="126">
        <f>'Semi-trailer truck (Diesel)'!F$191</f>
        <v>8.002417776670892E-2</v>
      </c>
      <c r="J3" s="126">
        <f>'Semi-trailer truck (Diesel)'!G$191</f>
        <v>7.9716202540005235E-2</v>
      </c>
      <c r="K3" s="126">
        <f>'Semi-trailer truck (Diesel)'!H$191</f>
        <v>7.941088159082009E-2</v>
      </c>
      <c r="L3" s="126">
        <f>'Semi-trailer truck (Diesel)'!I$191</f>
        <v>7.9109730006081486E-2</v>
      </c>
      <c r="M3" s="126">
        <f>'Semi-trailer truck (Diesel)'!J$191</f>
        <v>7.9027012198047392E-2</v>
      </c>
      <c r="N3" s="126">
        <f>'Semi-trailer truck (Diesel)'!K$191</f>
        <v>7.8947609391586182E-2</v>
      </c>
      <c r="O3" s="126">
        <f>'Semi-trailer truck (Diesel)'!L$191</f>
        <v>7.8872115394935327E-2</v>
      </c>
      <c r="P3" s="126">
        <f>'Semi-trailer truck (Diesel)'!M$191</f>
        <v>7.8800724107898013E-2</v>
      </c>
      <c r="Q3" s="126">
        <f>'Semi-trailer truck (Diesel)'!N$191</f>
        <v>7.8733021522405272E-2</v>
      </c>
      <c r="R3" s="126">
        <f>'Semi-trailer truck (Diesel)'!O$191</f>
        <v>7.8667978894302437E-2</v>
      </c>
      <c r="S3" s="126">
        <f>'Semi-trailer truck (Diesel)'!P$191</f>
        <v>7.8604212008598323E-2</v>
      </c>
      <c r="T3" s="126">
        <f>'Semi-trailer truck (Diesel)'!Q$191</f>
        <v>7.8540380763005679E-2</v>
      </c>
      <c r="U3" s="126">
        <f>'Semi-trailer truck (Diesel)'!R$191</f>
        <v>7.84755059665979E-2</v>
      </c>
      <c r="V3" s="126">
        <f>'Semi-trailer truck (Diesel)'!S$191</f>
        <v>7.8409074771145448E-2</v>
      </c>
      <c r="W3" s="126">
        <f>'Semi-trailer truck (Diesel)'!T$191</f>
        <v>7.834096711418434E-2</v>
      </c>
      <c r="X3" s="126">
        <f>'Semi-trailer truck (Diesel)'!U$191</f>
        <v>7.8271310187570053E-2</v>
      </c>
      <c r="Y3" s="126">
        <f>'Semi-trailer truck (Diesel)'!V$191</f>
        <v>7.8200344902206703E-2</v>
      </c>
      <c r="Z3" s="126">
        <f>'Semi-trailer truck (Diesel)'!W$191</f>
        <v>7.8128336642244889E-2</v>
      </c>
      <c r="AA3" s="126">
        <f>'Semi-trailer truck (Diesel)'!X$191</f>
        <v>7.8055528335180951E-2</v>
      </c>
      <c r="AB3" s="126">
        <f>'Semi-trailer truck (Diesel)'!Y$191</f>
        <v>7.7982122253934E-2</v>
      </c>
      <c r="AC3" s="126">
        <f>'Semi-trailer truck (Diesel)'!Z$191</f>
        <v>7.790827764775711E-2</v>
      </c>
      <c r="AD3" s="126">
        <f>'Semi-trailer truck (Diesel)'!AA$191</f>
        <v>7.7834115509214388E-2</v>
      </c>
      <c r="AE3" s="126">
        <f>'Semi-trailer truck (Diesel)'!AB$191</f>
        <v>7.775972561484272E-2</v>
      </c>
      <c r="AF3" s="126">
        <f>'Semi-trailer truck (Diesel)'!AC$191</f>
        <v>7.7685173503754978E-2</v>
      </c>
    </row>
    <row r="4" spans="1:32" x14ac:dyDescent="0.25">
      <c r="A4">
        <v>3</v>
      </c>
      <c r="B4" t="s">
        <v>221</v>
      </c>
      <c r="C4" t="s">
        <v>11</v>
      </c>
      <c r="D4" t="s">
        <v>224</v>
      </c>
      <c r="E4" s="126">
        <f>'Semi-trailer truck (Diesel)'!B$299</f>
        <v>8.5592873760686805E-2</v>
      </c>
      <c r="F4" s="126">
        <f>'Semi-trailer truck (Diesel)'!C$299</f>
        <v>8.5268773356454025E-2</v>
      </c>
      <c r="G4" s="126">
        <f>'Semi-trailer truck (Diesel)'!D$299</f>
        <v>8.4945064703182999E-2</v>
      </c>
      <c r="H4" s="126">
        <f>'Semi-trailer truck (Diesel)'!E$299</f>
        <v>8.4622102834767093E-2</v>
      </c>
      <c r="I4" s="126">
        <f>'Semi-trailer truck (Diesel)'!F$299</f>
        <v>8.4300457267883322E-2</v>
      </c>
      <c r="J4" s="126">
        <f>'Semi-trailer truck (Diesel)'!G$299</f>
        <v>8.398100470056756E-2</v>
      </c>
      <c r="K4" s="126">
        <f>'Semi-trailer truck (Diesel)'!H$299</f>
        <v>8.3665031423521427E-2</v>
      </c>
      <c r="L4" s="126">
        <f>'Semi-trailer truck (Diesel)'!I$299</f>
        <v>8.3354310645251312E-2</v>
      </c>
      <c r="M4" s="126">
        <f>'Semi-trailer truck (Diesel)'!J$299</f>
        <v>8.3272603421831765E-2</v>
      </c>
      <c r="N4" s="126">
        <f>'Semi-trailer truck (Diesel)'!K$299</f>
        <v>8.3195550071170035E-2</v>
      </c>
      <c r="O4" s="126">
        <f>'Semi-trailer truck (Diesel)'!L$299</f>
        <v>8.3123735662378476E-2</v>
      </c>
      <c r="P4" s="126">
        <f>'Semi-trailer truck (Diesel)'!M$299</f>
        <v>8.305711277962885E-2</v>
      </c>
      <c r="Q4" s="126">
        <f>'Semi-trailer truck (Diesel)'!N$299</f>
        <v>8.299477743564454E-2</v>
      </c>
      <c r="R4" s="126">
        <f>'Semi-trailer truck (Diesel)'!O$299</f>
        <v>8.2935054157739024E-2</v>
      </c>
      <c r="S4" s="126">
        <f>'Semi-trailer truck (Diesel)'!P$299</f>
        <v>8.287593144503097E-2</v>
      </c>
      <c r="T4" s="126">
        <f>'Semi-trailer truck (Diesel)'!Q$299</f>
        <v>8.281562802108447E-2</v>
      </c>
      <c r="U4" s="126">
        <f>'Semi-trailer truck (Diesel)'!R$299</f>
        <v>8.2752980230182696E-2</v>
      </c>
      <c r="V4" s="126">
        <f>'Semi-trailer truck (Diesel)'!S$299</f>
        <v>8.2687512301970953E-2</v>
      </c>
      <c r="W4" s="126">
        <f>'Semi-trailer truck (Diesel)'!T$299</f>
        <v>8.2619274662794007E-2</v>
      </c>
      <c r="X4" s="126">
        <f>'Semi-trailer truck (Diesel)'!U$299</f>
        <v>8.2548613455681125E-2</v>
      </c>
      <c r="Y4" s="126">
        <f>'Semi-trailer truck (Diesel)'!V$299</f>
        <v>8.2475981445534086E-2</v>
      </c>
      <c r="Z4" s="126">
        <f>'Semi-trailer truck (Diesel)'!W$299</f>
        <v>8.2401822816044912E-2</v>
      </c>
      <c r="AA4" s="126">
        <f>'Semi-trailer truck (Diesel)'!X$299</f>
        <v>8.2326519883675411E-2</v>
      </c>
      <c r="AB4" s="126">
        <f>'Semi-trailer truck (Diesel)'!Y$299</f>
        <v>8.2250378335737534E-2</v>
      </c>
      <c r="AC4" s="126">
        <f>'Semi-trailer truck (Diesel)'!Z$299</f>
        <v>8.2173631733697544E-2</v>
      </c>
      <c r="AD4" s="126">
        <f>'Semi-trailer truck (Diesel)'!AA$299</f>
        <v>8.2096453362667104E-2</v>
      </c>
      <c r="AE4" s="126">
        <f>'Semi-trailer truck (Diesel)'!AB$299</f>
        <v>8.2018969289867599E-2</v>
      </c>
      <c r="AF4" s="126">
        <f>'Semi-trailer truck (Diesel)'!AC$299</f>
        <v>8.1941270008382638E-2</v>
      </c>
    </row>
    <row r="5" spans="1:32" x14ac:dyDescent="0.25">
      <c r="A5">
        <v>4</v>
      </c>
      <c r="B5" t="s">
        <v>221</v>
      </c>
      <c r="C5" t="s">
        <v>11</v>
      </c>
      <c r="D5" t="s">
        <v>225</v>
      </c>
      <c r="E5" s="126">
        <f>'Semi-trailer truck (Diesel)'!B$408</f>
        <v>0.10957668678980516</v>
      </c>
      <c r="F5" s="126">
        <f>'Semi-trailer truck (Diesel)'!C$408</f>
        <v>0.10925630499491737</v>
      </c>
      <c r="G5" s="126">
        <f>'Semi-trailer truck (Diesel)'!D$408</f>
        <v>0.10893787623384694</v>
      </c>
      <c r="H5" s="126">
        <f>'Semi-trailer truck (Diesel)'!E$408</f>
        <v>0.10862237698569135</v>
      </c>
      <c r="I5" s="126">
        <f>'Semi-trailer truck (Diesel)'!F$408</f>
        <v>0.10831120880301622</v>
      </c>
      <c r="J5" s="126">
        <f>'Semi-trailer truck (Diesel)'!G$408</f>
        <v>0.1080063236031587</v>
      </c>
      <c r="K5" s="126">
        <f>'Semi-trailer truck (Diesel)'!H$408</f>
        <v>0.10771032164193153</v>
      </c>
      <c r="L5" s="126">
        <f>'Semi-trailer truck (Diesel)'!I$408</f>
        <v>0.1074264401720824</v>
      </c>
      <c r="M5" s="126">
        <f>'Semi-trailer truck (Diesel)'!J$408</f>
        <v>0.10737981710974218</v>
      </c>
      <c r="N5" s="126">
        <f>'Semi-trailer truck (Diesel)'!K$408</f>
        <v>0.10734694632996691</v>
      </c>
      <c r="O5" s="126">
        <f>'Semi-trailer truck (Diesel)'!L$408</f>
        <v>0.10732814973797825</v>
      </c>
      <c r="P5" s="126">
        <f>'Semi-trailer truck (Diesel)'!M$408</f>
        <v>0.10732147800566266</v>
      </c>
      <c r="Q5" s="126">
        <f>'Semi-trailer truck (Diesel)'!N$408</f>
        <v>0.10732243284521815</v>
      </c>
      <c r="R5" s="126">
        <f>'Semi-trailer truck (Diesel)'!O$408</f>
        <v>0.10732475431842138</v>
      </c>
      <c r="S5" s="126">
        <f>'Semi-trailer truck (Diesel)'!P$408</f>
        <v>0.10732211221974909</v>
      </c>
      <c r="T5" s="126">
        <f>'Semi-trailer truck (Diesel)'!Q$408</f>
        <v>0.10730980927473895</v>
      </c>
      <c r="U5" s="126">
        <f>'Semi-trailer truck (Diesel)'!R$408</f>
        <v>0.10728560127106643</v>
      </c>
      <c r="V5" s="126">
        <f>'Semi-trailer truck (Diesel)'!S$408</f>
        <v>0.10724946460659011</v>
      </c>
      <c r="W5" s="126">
        <f>'Semi-trailer truck (Diesel)'!T$408</f>
        <v>0.10720278779862946</v>
      </c>
      <c r="X5" s="126">
        <f>'Semi-trailer truck (Diesel)'!U$408</f>
        <v>0.10714754227392294</v>
      </c>
      <c r="Y5" s="126">
        <f>'Semi-trailer truck (Diesel)'!V$408</f>
        <v>0.10708571438056012</v>
      </c>
      <c r="Z5" s="126">
        <f>'Semi-trailer truck (Diesel)'!W$408</f>
        <v>0.1070190220598418</v>
      </c>
      <c r="AA5" s="126">
        <f>'Semi-trailer truck (Diesel)'!X$408</f>
        <v>0.10694882869462462</v>
      </c>
      <c r="AB5" s="126">
        <f>'Semi-trailer truck (Diesel)'!Y$408</f>
        <v>0.10687616053928953</v>
      </c>
      <c r="AC5" s="126">
        <f>'Semi-trailer truck (Diesel)'!Z$408</f>
        <v>0.10680176434337398</v>
      </c>
      <c r="AD5" s="126">
        <f>'Semi-trailer truck (Diesel)'!AA$408</f>
        <v>0.10672617155876898</v>
      </c>
      <c r="AE5" s="126">
        <f>'Semi-trailer truck (Diesel)'!AB$408</f>
        <v>0.10664975489487453</v>
      </c>
      <c r="AF5" s="126">
        <f>'Semi-trailer truck (Diesel)'!AC$408</f>
        <v>0.10657277317861766</v>
      </c>
    </row>
    <row r="6" spans="1:32" x14ac:dyDescent="0.25">
      <c r="A6">
        <v>5</v>
      </c>
      <c r="B6" t="s">
        <v>221</v>
      </c>
      <c r="C6" t="s">
        <v>11</v>
      </c>
      <c r="D6" t="s">
        <v>226</v>
      </c>
      <c r="E6" s="126">
        <f>'Semi-trailer truck (Diesel)'!B$513</f>
        <v>9.2999629994423322E-2</v>
      </c>
      <c r="F6" s="126">
        <f>'Semi-trailer truck (Diesel)'!C$513</f>
        <v>9.269074961350604E-2</v>
      </c>
      <c r="G6" s="126">
        <f>'Semi-trailer truck (Diesel)'!D$513</f>
        <v>9.2382965067343475E-2</v>
      </c>
      <c r="H6" s="126">
        <f>'Semi-trailer truck (Diesel)'!E$513</f>
        <v>9.3133654130001353E-2</v>
      </c>
      <c r="I6" s="126">
        <f>'Semi-trailer truck (Diesel)'!F$513</f>
        <v>9.283024493377226E-2</v>
      </c>
      <c r="J6" s="126">
        <f>'Semi-trailer truck (Diesel)'!G$513</f>
        <v>9.253082456119037E-2</v>
      </c>
      <c r="K6" s="126">
        <f>'Semi-trailer truck (Diesel)'!H$513</f>
        <v>9.2237231996968497E-2</v>
      </c>
      <c r="L6" s="126">
        <f>'Semi-trailer truck (Diesel)'!I$513</f>
        <v>9.1951842104857587E-2</v>
      </c>
      <c r="M6" s="126">
        <f>'Semi-trailer truck (Diesel)'!J$513</f>
        <v>9.1889727874022983E-2</v>
      </c>
      <c r="N6" s="126">
        <f>'Semi-trailer truck (Diesel)'!K$513</f>
        <v>9.1836271790587981E-2</v>
      </c>
      <c r="O6" s="126">
        <f>'Semi-trailer truck (Diesel)'!L$513</f>
        <v>9.1791913116767779E-2</v>
      </c>
      <c r="P6" s="126">
        <f>'Semi-trailer truck (Diesel)'!M$513</f>
        <v>9.175572883249658E-2</v>
      </c>
      <c r="Q6" s="126">
        <f>'Semi-trailer truck (Diesel)'!N$513</f>
        <v>9.1725194135373347E-2</v>
      </c>
      <c r="R6" s="126">
        <f>'Semi-trailer truck (Diesel)'!O$513</f>
        <v>9.1696588001117463E-2</v>
      </c>
      <c r="S6" s="126">
        <f>'Semi-trailer truck (Diesel)'!P$513</f>
        <v>9.1665990005754816E-2</v>
      </c>
      <c r="T6" s="126">
        <f>'Semi-trailer truck (Diesel)'!Q$513</f>
        <v>9.1630347593611564E-2</v>
      </c>
      <c r="U6" s="126">
        <f>'Semi-trailer truck (Diesel)'!R$513</f>
        <v>9.1588047004462714E-2</v>
      </c>
      <c r="V6" s="126">
        <f>'Semi-trailer truck (Diesel)'!S$513</f>
        <v>9.1538840931063653E-2</v>
      </c>
      <c r="W6" s="126">
        <f>'Semi-trailer truck (Diesel)'!T$513</f>
        <v>9.1483395120268568E-2</v>
      </c>
      <c r="X6" s="126">
        <f>'Semi-trailer truck (Diesel)'!U$513</f>
        <v>9.1422791230488326E-2</v>
      </c>
      <c r="Y6" s="126">
        <f>'Semi-trailer truck (Diesel)'!V$513</f>
        <v>9.1358170786996318E-2</v>
      </c>
      <c r="Z6" s="126">
        <f>'Semi-trailer truck (Diesel)'!W$513</f>
        <v>9.1290547202752037E-2</v>
      </c>
      <c r="AA6" s="126">
        <f>'Semi-trailer truck (Diesel)'!X$513</f>
        <v>9.1220739547778401E-2</v>
      </c>
      <c r="AB6" s="126">
        <f>'Semi-trailer truck (Diesel)'!Y$513</f>
        <v>9.1149373256295074E-2</v>
      </c>
      <c r="AC6" s="126">
        <f>'Semi-trailer truck (Diesel)'!Z$513</f>
        <v>9.1076908953153679E-2</v>
      </c>
      <c r="AD6" s="126">
        <f>'Semi-trailer truck (Diesel)'!AA$513</f>
        <v>9.1003677968479774E-2</v>
      </c>
      <c r="AE6" s="126">
        <f>'Semi-trailer truck (Diesel)'!AB$513</f>
        <v>9.0929914922266999E-2</v>
      </c>
      <c r="AF6" s="126">
        <f>'Semi-trailer truck (Diesel)'!AC$513</f>
        <v>9.0855784209614265E-2</v>
      </c>
    </row>
    <row r="7" spans="1:32" x14ac:dyDescent="0.25">
      <c r="A7">
        <v>6</v>
      </c>
      <c r="B7" t="s">
        <v>221</v>
      </c>
      <c r="C7" t="s">
        <v>87</v>
      </c>
      <c r="D7" t="s">
        <v>222</v>
      </c>
      <c r="E7" s="126">
        <f>'Semi-trailer truck (Battery)'!B$85</f>
        <v>0.21487411418480304</v>
      </c>
      <c r="F7" s="126">
        <f>'Semi-trailer truck (Battery)'!C$85</f>
        <v>0.21951104207722003</v>
      </c>
      <c r="G7" s="126">
        <f>'Semi-trailer truck (Battery)'!D$85</f>
        <v>0.21774038691418135</v>
      </c>
      <c r="H7" s="126">
        <f>'Semi-trailer truck (Battery)'!E$85</f>
        <v>0.21535650325440328</v>
      </c>
      <c r="I7" s="126">
        <f>'Semi-trailer truck (Battery)'!F$85</f>
        <v>0.21223165111129222</v>
      </c>
      <c r="J7" s="126">
        <f>'Semi-trailer truck (Battery)'!G$85</f>
        <v>0.20827970186713166</v>
      </c>
      <c r="K7" s="126">
        <f>'Semi-trailer truck (Battery)'!H$85</f>
        <v>0.20350672500663491</v>
      </c>
      <c r="L7" s="126">
        <f>'Semi-trailer truck (Battery)'!I$85</f>
        <v>0.19805651534550769</v>
      </c>
      <c r="M7" s="126">
        <f>'Semi-trailer truck (Battery)'!J$85</f>
        <v>0.19221812747364972</v>
      </c>
      <c r="N7" s="126">
        <f>'Semi-trailer truck (Battery)'!K$85</f>
        <v>0.18637168156255102</v>
      </c>
      <c r="O7" s="126">
        <f>'Semi-trailer truck (Battery)'!L$85</f>
        <v>0.18088911847517575</v>
      </c>
      <c r="P7" s="126">
        <f>'Semi-trailer truck (Battery)'!M$85</f>
        <v>0.17604400717380625</v>
      </c>
      <c r="Q7" s="126">
        <f>'Semi-trailer truck (Battery)'!N$85</f>
        <v>0.17197490026309797</v>
      </c>
      <c r="R7" s="126">
        <f>'Semi-trailer truck (Battery)'!O$85</f>
        <v>0.1687014572165727</v>
      </c>
      <c r="S7" s="126">
        <f>'Semi-trailer truck (Battery)'!P$85</f>
        <v>0.16616327353760002</v>
      </c>
      <c r="T7" s="126">
        <f>'Semi-trailer truck (Battery)'!Q$85</f>
        <v>0.16425693316860029</v>
      </c>
      <c r="U7" s="126">
        <f>'Semi-trailer truck (Battery)'!R$85</f>
        <v>0.16286365669373826</v>
      </c>
      <c r="V7" s="126">
        <f>'Semi-trailer truck (Battery)'!S$85</f>
        <v>0.16186804706049535</v>
      </c>
      <c r="W7" s="126">
        <f>'Semi-trailer truck (Battery)'!T$85</f>
        <v>0.16116917124098462</v>
      </c>
      <c r="X7" s="126">
        <f>'Semi-trailer truck (Battery)'!U$85</f>
        <v>0.16068518041493196</v>
      </c>
      <c r="Y7" s="126">
        <f>'Semi-trailer truck (Battery)'!V$85</f>
        <v>0.16035330999297903</v>
      </c>
      <c r="Z7" s="126">
        <f>'Semi-trailer truck (Battery)'!W$85</f>
        <v>0.16012735276709789</v>
      </c>
      <c r="AA7" s="126">
        <f>'Semi-trailer truck (Battery)'!X$85</f>
        <v>0.15997426809106063</v>
      </c>
      <c r="AB7" s="126">
        <f>'Semi-trailer truck (Battery)'!Y$85</f>
        <v>0.15987090849638358</v>
      </c>
      <c r="AC7" s="126">
        <f>'Semi-trailer truck (Battery)'!Z$85</f>
        <v>0.15980128544457209</v>
      </c>
      <c r="AD7" s="126">
        <f>'Semi-trailer truck (Battery)'!AA$85</f>
        <v>0.15975446190069742</v>
      </c>
      <c r="AE7" s="126">
        <f>'Semi-trailer truck (Battery)'!AB$85</f>
        <v>0.15972300557646724</v>
      </c>
      <c r="AF7" s="126">
        <f>'Semi-trailer truck (Battery)'!AC$85</f>
        <v>0.15970188837788224</v>
      </c>
    </row>
    <row r="8" spans="1:32" x14ac:dyDescent="0.25">
      <c r="A8">
        <v>7</v>
      </c>
      <c r="B8" t="s">
        <v>221</v>
      </c>
      <c r="C8" t="s">
        <v>87</v>
      </c>
      <c r="D8" t="s">
        <v>223</v>
      </c>
      <c r="E8" s="126">
        <f>'Semi-trailer truck (Battery)'!B$191</f>
        <v>0.10398939898527251</v>
      </c>
      <c r="F8" s="126">
        <f>'Semi-trailer truck (Battery)'!C$191</f>
        <v>0.10342152222844211</v>
      </c>
      <c r="G8" s="126">
        <f>'Semi-trailer truck (Battery)'!D$191</f>
        <v>0.10264231676481562</v>
      </c>
      <c r="H8" s="126">
        <f>'Semi-trailer truck (Battery)'!E$191</f>
        <v>0.1015937723522853</v>
      </c>
      <c r="I8" s="126">
        <f>'Semi-trailer truck (Battery)'!F$191</f>
        <v>0.10022036585280789</v>
      </c>
      <c r="J8" s="126">
        <f>'Semi-trailer truck (Battery)'!G$191</f>
        <v>9.8485474869214135E-2</v>
      </c>
      <c r="K8" s="126">
        <f>'Semi-trailer truck (Battery)'!H$191</f>
        <v>9.6393895078652064E-2</v>
      </c>
      <c r="L8" s="126">
        <f>'Semi-trailer truck (Battery)'!I$191</f>
        <v>9.401198151830599E-2</v>
      </c>
      <c r="M8" s="126">
        <f>'Semi-trailer truck (Battery)'!J$191</f>
        <v>9.1652164318997462E-2</v>
      </c>
      <c r="N8" s="126">
        <f>'Semi-trailer truck (Battery)'!K$191</f>
        <v>8.9293106120058752E-2</v>
      </c>
      <c r="O8" s="126">
        <f>'Semi-trailer truck (Battery)'!L$191</f>
        <v>8.7101101600716546E-2</v>
      </c>
      <c r="P8" s="126">
        <f>'Semi-trailer truck (Battery)'!M$191</f>
        <v>8.5196928607980713E-2</v>
      </c>
      <c r="Q8" s="126">
        <f>'Semi-trailer truck (Battery)'!N$191</f>
        <v>8.3638773305854563E-2</v>
      </c>
      <c r="R8" s="126">
        <f>'Semi-trailer truck (Battery)'!O$191</f>
        <v>8.2201613803346063E-2</v>
      </c>
      <c r="S8" s="126">
        <f>'Semi-trailer truck (Battery)'!P$191</f>
        <v>8.1087603167572159E-2</v>
      </c>
      <c r="T8" s="126">
        <f>'Semi-trailer truck (Battery)'!Q$191</f>
        <v>8.0244743187036213E-2</v>
      </c>
      <c r="U8" s="126">
        <f>'Semi-trailer truck (Battery)'!R$191</f>
        <v>7.9617375812652463E-2</v>
      </c>
      <c r="V8" s="126">
        <f>'Semi-trailer truck (Battery)'!S$191</f>
        <v>7.9154065593910083E-2</v>
      </c>
      <c r="W8" s="126">
        <f>'Semi-trailer truck (Battery)'!T$191</f>
        <v>7.8811461652996351E-2</v>
      </c>
      <c r="X8" s="126">
        <f>'Semi-trailer truck (Battery)'!U$191</f>
        <v>7.8555345491702427E-2</v>
      </c>
      <c r="Y8" s="126">
        <f>'Semi-trailer truck (Battery)'!V$191</f>
        <v>7.8359976977265405E-2</v>
      </c>
      <c r="Z8" s="126">
        <f>'Semi-trailer truck (Battery)'!W$191</f>
        <v>7.8206661408919742E-2</v>
      </c>
      <c r="AA8" s="126">
        <f>'Semi-trailer truck (Battery)'!X$191</f>
        <v>7.8082157893313575E-2</v>
      </c>
      <c r="AB8" s="126">
        <f>'Semi-trailer truck (Battery)'!Y$191</f>
        <v>7.797725250399562E-2</v>
      </c>
      <c r="AC8" s="126">
        <f>'Semi-trailer truck (Battery)'!Z$191</f>
        <v>7.7885611605339161E-2</v>
      </c>
      <c r="AD8" s="126">
        <f>'Semi-trailer truck (Battery)'!AA$191</f>
        <v>7.7802917905643226E-2</v>
      </c>
      <c r="AE8" s="126">
        <f>'Semi-trailer truck (Battery)'!AB$191</f>
        <v>7.7726245343429395E-2</v>
      </c>
      <c r="AF8" s="126">
        <f>'Semi-trailer truck (Battery)'!AC$191</f>
        <v>7.7653618448074446E-2</v>
      </c>
    </row>
    <row r="9" spans="1:32" x14ac:dyDescent="0.25">
      <c r="A9">
        <v>8</v>
      </c>
      <c r="B9" t="s">
        <v>221</v>
      </c>
      <c r="C9" t="s">
        <v>87</v>
      </c>
      <c r="D9" t="s">
        <v>224</v>
      </c>
      <c r="E9" s="126">
        <f>'Semi-trailer truck (Battery)'!B$299</f>
        <v>0.11005871333542969</v>
      </c>
      <c r="F9" s="126">
        <f>'Semi-trailer truck (Battery)'!C$299</f>
        <v>0.10944359354051605</v>
      </c>
      <c r="G9" s="126">
        <f>'Semi-trailer truck (Battery)'!D$299</f>
        <v>0.10859962603538229</v>
      </c>
      <c r="H9" s="126">
        <f>'Semi-trailer truck (Battery)'!E$299</f>
        <v>0.10746406002436895</v>
      </c>
      <c r="I9" s="126">
        <f>'Semi-trailer truck (Battery)'!F$299</f>
        <v>0.10597692010587072</v>
      </c>
      <c r="J9" s="126">
        <f>'Semi-trailer truck (Battery)'!G$299</f>
        <v>0.10409883633799516</v>
      </c>
      <c r="K9" s="126">
        <f>'Semi-trailer truck (Battery)'!H$299</f>
        <v>0.10183548686085206</v>
      </c>
      <c r="L9" s="126">
        <f>'Semi-trailer truck (Battery)'!I$299</f>
        <v>9.9259429555085404E-2</v>
      </c>
      <c r="M9" s="126">
        <f>'Semi-trailer truck (Battery)'!J$299</f>
        <v>9.6702206693749918E-2</v>
      </c>
      <c r="N9" s="126">
        <f>'Semi-trailer truck (Battery)'!K$299</f>
        <v>9.414955273973058E-2</v>
      </c>
      <c r="O9" s="126">
        <f>'Semi-trailer truck (Battery)'!L$299</f>
        <v>9.1781813498621134E-2</v>
      </c>
      <c r="P9" s="126">
        <f>'Semi-trailer truck (Battery)'!M$299</f>
        <v>8.9729273933051135E-2</v>
      </c>
      <c r="Q9" s="126">
        <f>'Semi-trailer truck (Battery)'!N$299</f>
        <v>8.8053656625980553E-2</v>
      </c>
      <c r="R9" s="126">
        <f>'Semi-trailer truck (Battery)'!O$299</f>
        <v>8.6518995293973847E-2</v>
      </c>
      <c r="S9" s="126">
        <f>'Semi-trailer truck (Battery)'!P$299</f>
        <v>8.5332774296314917E-2</v>
      </c>
      <c r="T9" s="126">
        <f>'Semi-trailer truck (Battery)'!Q$299</f>
        <v>8.4437635189100732E-2</v>
      </c>
      <c r="U9" s="126">
        <f>'Semi-trailer truck (Battery)'!R$299</f>
        <v>8.3772894493369068E-2</v>
      </c>
      <c r="V9" s="126">
        <f>'Semi-trailer truck (Battery)'!S$299</f>
        <v>8.328296558993431E-2</v>
      </c>
      <c r="W9" s="126">
        <f>'Semi-trailer truck (Battery)'!T$299</f>
        <v>8.2921315827557046E-2</v>
      </c>
      <c r="X9" s="126">
        <f>'Semi-trailer truck (Battery)'!U$299</f>
        <v>8.2651399497073813E-2</v>
      </c>
      <c r="Y9" s="126">
        <f>'Semi-trailer truck (Battery)'!V$299</f>
        <v>8.2445824671406237E-2</v>
      </c>
      <c r="Z9" s="126">
        <f>'Semi-trailer truck (Battery)'!W$299</f>
        <v>8.2284746927365468E-2</v>
      </c>
      <c r="AA9" s="126">
        <f>'Semi-trailer truck (Battery)'!X$299</f>
        <v>8.2154135298475484E-2</v>
      </c>
      <c r="AB9" s="126">
        <f>'Semi-trailer truck (Battery)'!Y$299</f>
        <v>8.2044237499551198E-2</v>
      </c>
      <c r="AC9" s="126">
        <f>'Semi-trailer truck (Battery)'!Z$299</f>
        <v>8.1948355103850817E-2</v>
      </c>
      <c r="AD9" s="126">
        <f>'Semi-trailer truck (Battery)'!AA$299</f>
        <v>8.1861924556407784E-2</v>
      </c>
      <c r="AE9" s="126">
        <f>'Semi-trailer truck (Battery)'!AB$299</f>
        <v>8.178185396039625E-2</v>
      </c>
      <c r="AF9" s="126">
        <f>'Semi-trailer truck (Battery)'!AC$299</f>
        <v>8.1706056355476092E-2</v>
      </c>
    </row>
    <row r="10" spans="1:32" x14ac:dyDescent="0.25">
      <c r="A10">
        <v>9</v>
      </c>
      <c r="B10" t="s">
        <v>221</v>
      </c>
      <c r="C10" t="s">
        <v>87</v>
      </c>
      <c r="D10" t="s">
        <v>225</v>
      </c>
      <c r="E10" s="126">
        <f>'Semi-trailer truck (Battery)'!B$408</f>
        <v>0.14374402520069046</v>
      </c>
      <c r="F10" s="126">
        <f>'Semi-trailer truck (Battery)'!C$408</f>
        <v>0.14293278514148172</v>
      </c>
      <c r="G10" s="126">
        <f>'Semi-trailer truck (Battery)'!D$408</f>
        <v>0.1418197433001</v>
      </c>
      <c r="H10" s="126">
        <f>'Semi-trailer truck (Battery)'!E$408</f>
        <v>0.14032215554524718</v>
      </c>
      <c r="I10" s="126">
        <f>'Semi-trailer truck (Battery)'!F$408</f>
        <v>0.13836095082081545</v>
      </c>
      <c r="J10" s="126">
        <f>'Semi-trailer truck (Battery)'!G$408</f>
        <v>0.13588425382802455</v>
      </c>
      <c r="K10" s="126">
        <f>'Semi-trailer truck (Battery)'!H$408</f>
        <v>0.13289962854215276</v>
      </c>
      <c r="L10" s="126">
        <f>'Semi-trailer truck (Battery)'!I$408</f>
        <v>0.12950287232849789</v>
      </c>
      <c r="M10" s="126">
        <f>'Semi-trailer truck (Battery)'!J$408</f>
        <v>0.12607111434229687</v>
      </c>
      <c r="N10" s="126">
        <f>'Semi-trailer truck (Battery)'!K$408</f>
        <v>0.12264934272813477</v>
      </c>
      <c r="O10" s="126">
        <f>'Semi-trailer truck (Battery)'!L$408</f>
        <v>0.11947506831713878</v>
      </c>
      <c r="P10" s="126">
        <f>'Semi-trailer truck (Battery)'!M$408</f>
        <v>0.11671934623015348</v>
      </c>
      <c r="Q10" s="126">
        <f>'Semi-trailer truck (Battery)'!N$408</f>
        <v>0.11446259047840403</v>
      </c>
      <c r="R10" s="126">
        <f>'Semi-trailer truck (Battery)'!O$408</f>
        <v>0.11246847696296426</v>
      </c>
      <c r="S10" s="126">
        <f>'Semi-trailer truck (Battery)'!P$408</f>
        <v>0.11093201555037781</v>
      </c>
      <c r="T10" s="126">
        <f>'Semi-trailer truck (Battery)'!Q$408</f>
        <v>0.10977780105575398</v>
      </c>
      <c r="U10" s="126">
        <f>'Semi-trailer truck (Battery)'!R$408</f>
        <v>0.10892608887826881</v>
      </c>
      <c r="V10" s="126">
        <f>'Semi-trailer truck (Battery)'!S$408</f>
        <v>0.1083038648990845</v>
      </c>
      <c r="W10" s="126">
        <f>'Semi-trailer truck (Battery)'!T$408</f>
        <v>0.10785003024698461</v>
      </c>
      <c r="X10" s="126">
        <f>'Semi-trailer truck (Battery)'!U$408</f>
        <v>0.10751661135990129</v>
      </c>
      <c r="Y10" s="126">
        <f>'Semi-trailer truck (Battery)'!V$408</f>
        <v>0.10726765578850755</v>
      </c>
      <c r="Z10" s="126">
        <f>'Semi-trailer truck (Battery)'!W$408</f>
        <v>0.10707711843821856</v>
      </c>
      <c r="AA10" s="126">
        <f>'Semi-trailer truck (Battery)'!X$408</f>
        <v>0.10692658362819311</v>
      </c>
      <c r="AB10" s="126">
        <f>'Semi-trailer truck (Battery)'!Y$408</f>
        <v>0.10680325041967223</v>
      </c>
      <c r="AC10" s="126">
        <f>'Semi-trailer truck (Battery)'!Z$408</f>
        <v>0.10669832536269983</v>
      </c>
      <c r="AD10" s="126">
        <f>'Semi-trailer truck (Battery)'!AA$408</f>
        <v>0.10660581673343607</v>
      </c>
      <c r="AE10" s="126">
        <f>'Semi-trailer truck (Battery)'!AB$408</f>
        <v>0.10652166437285177</v>
      </c>
      <c r="AF10" s="126">
        <f>'Semi-trailer truck (Battery)'!AC$408</f>
        <v>0.10644312729411544</v>
      </c>
    </row>
    <row r="11" spans="1:32" x14ac:dyDescent="0.25">
      <c r="A11">
        <v>10</v>
      </c>
      <c r="B11" t="s">
        <v>221</v>
      </c>
      <c r="C11" t="s">
        <v>87</v>
      </c>
      <c r="D11" t="s">
        <v>226</v>
      </c>
      <c r="E11" s="126">
        <f>'Semi-trailer truck (Battery)'!B$513</f>
        <v>0.12125411664778149</v>
      </c>
      <c r="F11" s="126">
        <f>'Semi-trailer truck (Battery)'!C$513</f>
        <v>0.12057128525663678</v>
      </c>
      <c r="G11" s="126">
        <f>'Semi-trailer truck (Battery)'!D$513</f>
        <v>0.11963439170755907</v>
      </c>
      <c r="H11" s="126">
        <f>'Semi-trailer truck (Battery)'!E$513</f>
        <v>0.11837374480475477</v>
      </c>
      <c r="I11" s="126">
        <f>'Semi-trailer truck (Battery)'!F$513</f>
        <v>0.11672270195781366</v>
      </c>
      <c r="J11" s="126">
        <f>'Semi-trailer truck (Battery)'!G$513</f>
        <v>0.11463744083587485</v>
      </c>
      <c r="K11" s="126">
        <f>'Semi-trailer truck (Battery)'!H$513</f>
        <v>0.11212407018601052</v>
      </c>
      <c r="L11" s="126">
        <f>'Semi-trailer truck (Battery)'!I$513</f>
        <v>0.10926285651152459</v>
      </c>
      <c r="M11" s="126">
        <f>'Semi-trailer truck (Battery)'!J$513</f>
        <v>0.10639328518073612</v>
      </c>
      <c r="N11" s="126">
        <f>'Semi-trailer truck (Battery)'!K$513</f>
        <v>0.10352903423320736</v>
      </c>
      <c r="O11" s="126">
        <f>'Semi-trailer truck (Battery)'!L$513</f>
        <v>0.10087000268518001</v>
      </c>
      <c r="P11" s="126">
        <f>'Semi-trailer truck (Battery)'!M$513</f>
        <v>9.8560662971452551E-2</v>
      </c>
      <c r="Q11" s="126">
        <f>'Semi-trailer truck (Battery)'!N$513</f>
        <v>9.66696450850133E-2</v>
      </c>
      <c r="R11" s="126">
        <f>'Semi-trailer truck (Battery)'!O$513</f>
        <v>9.4971025121883962E-2</v>
      </c>
      <c r="S11" s="126">
        <f>'Semi-trailer truck (Battery)'!P$513</f>
        <v>9.3658983297276219E-2</v>
      </c>
      <c r="T11" s="126">
        <f>'Semi-trailer truck (Battery)'!Q$513</f>
        <v>9.2670491298526655E-2</v>
      </c>
      <c r="U11" s="126">
        <f>'Semi-trailer truck (Battery)'!R$513</f>
        <v>9.1938536507846336E-2</v>
      </c>
      <c r="V11" s="126">
        <f>'Semi-trailer truck (Battery)'!S$513</f>
        <v>9.1401508364704342E-2</v>
      </c>
      <c r="W11" s="126">
        <f>'Semi-trailer truck (Battery)'!T$513</f>
        <v>9.1007685344526745E-2</v>
      </c>
      <c r="X11" s="126">
        <f>'Semi-trailer truck (Battery)'!U$513</f>
        <v>9.0716360368445464E-2</v>
      </c>
      <c r="Y11" s="126">
        <f>'Semi-trailer truck (Battery)'!V$513</f>
        <v>9.0496975221689827E-2</v>
      </c>
      <c r="Z11" s="126">
        <f>'Semi-trailer truck (Battery)'!W$513</f>
        <v>9.0327366939370449E-2</v>
      </c>
      <c r="AA11" s="126">
        <f>'Semi-trailer truck (Battery)'!X$513</f>
        <v>9.0191852673849882E-2</v>
      </c>
      <c r="AB11" s="126">
        <f>'Semi-trailer truck (Battery)'!Y$513</f>
        <v>9.0079525659977067E-2</v>
      </c>
      <c r="AC11" s="126">
        <f>'Semi-trailer truck (Battery)'!Z$513</f>
        <v>8.9982891297985312E-2</v>
      </c>
      <c r="AD11" s="126">
        <f>'Semi-trailer truck (Battery)'!AA$513</f>
        <v>8.9896841954005713E-2</v>
      </c>
      <c r="AE11" s="126">
        <f>'Semi-trailer truck (Battery)'!AB$513</f>
        <v>8.9817916229401759E-2</v>
      </c>
      <c r="AF11" s="126">
        <f>'Semi-trailer truck (Battery)'!AC$513</f>
        <v>8.9743777277312642E-2</v>
      </c>
    </row>
    <row r="12" spans="1:32" x14ac:dyDescent="0.25">
      <c r="A12">
        <v>11</v>
      </c>
      <c r="B12" t="s">
        <v>221</v>
      </c>
      <c r="C12" t="s">
        <v>103</v>
      </c>
      <c r="D12" t="s">
        <v>222</v>
      </c>
      <c r="E12" s="126">
        <f>'Semi-trailer truck (Hydrogen)'!B$85</f>
        <v>0.24514866003769331</v>
      </c>
      <c r="F12" s="126">
        <f>'Semi-trailer truck (Hydrogen)'!C$85</f>
        <v>0.24312969570001247</v>
      </c>
      <c r="G12" s="126">
        <f>'Semi-trailer truck (Hydrogen)'!D$85</f>
        <v>0.2406988562394356</v>
      </c>
      <c r="H12" s="126">
        <f>'Semi-trailer truck (Hydrogen)'!E$85</f>
        <v>0.23801334531324786</v>
      </c>
      <c r="I12" s="126">
        <f>'Semi-trailer truck (Hydrogen)'!F$85</f>
        <v>0.23463554951929083</v>
      </c>
      <c r="J12" s="126">
        <f>'Semi-trailer truck (Hydrogen)'!G$85</f>
        <v>0.23042909770380854</v>
      </c>
      <c r="K12" s="126">
        <f>'Semi-trailer truck (Hydrogen)'!H$85</f>
        <v>0.2253108172137214</v>
      </c>
      <c r="L12" s="126">
        <f>'Semi-trailer truck (Hydrogen)'!I$85</f>
        <v>0.21930957626194192</v>
      </c>
      <c r="M12" s="126">
        <f>'Semi-trailer truck (Hydrogen)'!J$85</f>
        <v>0.21323042659826247</v>
      </c>
      <c r="N12" s="126">
        <f>'Semi-trailer truck (Hydrogen)'!K$85</f>
        <v>0.20677941795753038</v>
      </c>
      <c r="O12" s="126">
        <f>'Semi-trailer truck (Hydrogen)'!L$85</f>
        <v>0.20041554165439895</v>
      </c>
      <c r="P12" s="126">
        <f>'Semi-trailer truck (Hydrogen)'!M$85</f>
        <v>0.19457806694570512</v>
      </c>
      <c r="Q12" s="126">
        <f>'Semi-trailer truck (Hydrogen)'!N$85</f>
        <v>0.18957308964759673</v>
      </c>
      <c r="R12" s="126">
        <f>'Semi-trailer truck (Hydrogen)'!O$85</f>
        <v>0.18501417359040145</v>
      </c>
      <c r="S12" s="126">
        <f>'Semi-trailer truck (Hydrogen)'!P$85</f>
        <v>0.18140608128069852</v>
      </c>
      <c r="T12" s="126">
        <f>'Semi-trailer truck (Hydrogen)'!Q$85</f>
        <v>0.17861937116101786</v>
      </c>
      <c r="U12" s="126">
        <f>'Semi-trailer truck (Hydrogen)'!R$85</f>
        <v>0.1764904683496108</v>
      </c>
      <c r="V12" s="126">
        <f>'Semi-trailer truck (Hydrogen)'!S$85</f>
        <v>0.174860765210227</v>
      </c>
      <c r="W12" s="126">
        <f>'Semi-trailer truck (Hydrogen)'!T$85</f>
        <v>0.17362974081525318</v>
      </c>
      <c r="X12" s="126">
        <f>'Semi-trailer truck (Hydrogen)'!U$85</f>
        <v>0.17265753535961986</v>
      </c>
      <c r="Y12" s="126">
        <f>'Semi-trailer truck (Hydrogen)'!V$85</f>
        <v>0.17186579935397661</v>
      </c>
      <c r="Z12" s="126">
        <f>'Semi-trailer truck (Hydrogen)'!W$85</f>
        <v>0.17119822990705469</v>
      </c>
      <c r="AA12" s="126">
        <f>'Semi-trailer truck (Hydrogen)'!X$85</f>
        <v>0.17061530552397328</v>
      </c>
      <c r="AB12" s="126">
        <f>'Semi-trailer truck (Hydrogen)'!Y$85</f>
        <v>0.17016477256929174</v>
      </c>
      <c r="AC12" s="126">
        <f>'Semi-trailer truck (Hydrogen)'!Z$85</f>
        <v>0.16975283972934863</v>
      </c>
      <c r="AD12" s="126">
        <f>'Semi-trailer truck (Hydrogen)'!AA$85</f>
        <v>0.16936688043952158</v>
      </c>
      <c r="AE12" s="126">
        <f>'Semi-trailer truck (Hydrogen)'!AB$85</f>
        <v>0.16899836413609329</v>
      </c>
      <c r="AF12" s="126">
        <f>'Semi-trailer truck (Hydrogen)'!AC$85</f>
        <v>0.16864154646639173</v>
      </c>
    </row>
    <row r="13" spans="1:32" x14ac:dyDescent="0.25">
      <c r="A13">
        <v>12</v>
      </c>
      <c r="B13" t="s">
        <v>221</v>
      </c>
      <c r="C13" t="s">
        <v>103</v>
      </c>
      <c r="D13" t="s">
        <v>223</v>
      </c>
      <c r="E13" s="126">
        <f>'Semi-trailer truck (Hydrogen)'!B$191</f>
        <v>0.12688035079230253</v>
      </c>
      <c r="F13" s="126">
        <f>'Semi-trailer truck (Hydrogen)'!C$191</f>
        <v>0.12551279180284636</v>
      </c>
      <c r="G13" s="126">
        <f>'Semi-trailer truck (Hydrogen)'!D$191</f>
        <v>0.12394207082206425</v>
      </c>
      <c r="H13" s="126">
        <f>'Semi-trailer truck (Hydrogen)'!E$191</f>
        <v>0.12235738809774128</v>
      </c>
      <c r="I13" s="126">
        <f>'Semi-trailer truck (Hydrogen)'!F$191</f>
        <v>0.1204313642781509</v>
      </c>
      <c r="J13" s="126">
        <f>'Semi-trailer truck (Hydrogen)'!G$191</f>
        <v>0.11809818497816084</v>
      </c>
      <c r="K13" s="126">
        <f>'Semi-trailer truck (Hydrogen)'!H$191</f>
        <v>0.11531895037969327</v>
      </c>
      <c r="L13" s="126">
        <f>'Semi-trailer truck (Hydrogen)'!I$191</f>
        <v>0.11211051809046838</v>
      </c>
      <c r="M13" s="126">
        <f>'Semi-trailer truck (Hydrogen)'!J$191</f>
        <v>0.10910846557129408</v>
      </c>
      <c r="N13" s="126">
        <f>'Semi-trailer truck (Hydrogen)'!K$191</f>
        <v>0.10591772293984041</v>
      </c>
      <c r="O13" s="126">
        <f>'Semi-trailer truck (Hydrogen)'!L$191</f>
        <v>0.10276540012004025</v>
      </c>
      <c r="P13" s="126">
        <f>'Semi-trailer truck (Hydrogen)'!M$191</f>
        <v>9.9869671953068617E-2</v>
      </c>
      <c r="Q13" s="126">
        <f>'Semi-trailer truck (Hydrogen)'!N$191</f>
        <v>9.7383633638209927E-2</v>
      </c>
      <c r="R13" s="126">
        <f>'Semi-trailer truck (Hydrogen)'!O$191</f>
        <v>9.4921946565199283E-2</v>
      </c>
      <c r="S13" s="126">
        <f>'Semi-trailer truck (Hydrogen)'!P$191</f>
        <v>9.2940120750935926E-2</v>
      </c>
      <c r="T13" s="126">
        <f>'Semi-trailer truck (Hydrogen)'!Q$191</f>
        <v>9.1372537094715198E-2</v>
      </c>
      <c r="U13" s="126">
        <f>'Semi-trailer truck (Hydrogen)'!R$191</f>
        <v>9.0136644193916177E-2</v>
      </c>
      <c r="V13" s="126">
        <f>'Semi-trailer truck (Hydrogen)'!S$191</f>
        <v>8.9152429077777734E-2</v>
      </c>
      <c r="W13" s="126">
        <f>'Semi-trailer truck (Hydrogen)'!T$191</f>
        <v>8.8381847376479139E-2</v>
      </c>
      <c r="X13" s="126">
        <f>'Semi-trailer truck (Hydrogen)'!U$191</f>
        <v>8.7741508512320765E-2</v>
      </c>
      <c r="Y13" s="126">
        <f>'Semi-trailer truck (Hydrogen)'!V$191</f>
        <v>8.7191902053533055E-2</v>
      </c>
      <c r="Z13" s="126">
        <f>'Semi-trailer truck (Hydrogen)'!W$191</f>
        <v>8.6704644880250967E-2</v>
      </c>
      <c r="AA13" s="126">
        <f>'Semi-trailer truck (Hydrogen)'!X$191</f>
        <v>8.6259829281058159E-2</v>
      </c>
      <c r="AB13" s="126">
        <f>'Semi-trailer truck (Hydrogen)'!Y$191</f>
        <v>8.5909494616253676E-2</v>
      </c>
      <c r="AC13" s="126">
        <f>'Semi-trailer truck (Hydrogen)'!Z$191</f>
        <v>8.5578417805079271E-2</v>
      </c>
      <c r="AD13" s="126">
        <f>'Semi-trailer truck (Hydrogen)'!AA$191</f>
        <v>8.526027984895368E-2</v>
      </c>
      <c r="AE13" s="126">
        <f>'Semi-trailer truck (Hydrogen)'!AB$191</f>
        <v>8.495081749839041E-2</v>
      </c>
      <c r="AF13" s="126">
        <f>'Semi-trailer truck (Hydrogen)'!AC$191</f>
        <v>8.4647164209378539E-2</v>
      </c>
    </row>
    <row r="14" spans="1:32" x14ac:dyDescent="0.25">
      <c r="A14">
        <v>13</v>
      </c>
      <c r="B14" t="s">
        <v>221</v>
      </c>
      <c r="C14" t="s">
        <v>103</v>
      </c>
      <c r="D14" t="s">
        <v>224</v>
      </c>
      <c r="E14" s="126">
        <f>'Semi-trailer truck (Hydrogen)'!B$299</f>
        <v>0.13432269291236781</v>
      </c>
      <c r="F14" s="126">
        <f>'Semi-trailer truck (Hydrogen)'!C$299</f>
        <v>0.13287827320462758</v>
      </c>
      <c r="G14" s="126">
        <f>'Semi-trailer truck (Hydrogen)'!D$299</f>
        <v>0.1312146034742801</v>
      </c>
      <c r="H14" s="126">
        <f>'Semi-trailer truck (Hydrogen)'!E$299</f>
        <v>0.12952643791591234</v>
      </c>
      <c r="I14" s="126">
        <f>'Semi-trailer truck (Hydrogen)'!F$299</f>
        <v>0.12746995140892864</v>
      </c>
      <c r="J14" s="126">
        <f>'Semi-trailer truck (Hydrogen)'!G$299</f>
        <v>0.12497407973775722</v>
      </c>
      <c r="K14" s="126">
        <f>'Semi-trailer truck (Hydrogen)'!H$299</f>
        <v>0.12199681700573693</v>
      </c>
      <c r="L14" s="126">
        <f>'Semi-trailer truck (Hydrogen)'!I$299</f>
        <v>0.11855638079584754</v>
      </c>
      <c r="M14" s="126">
        <f>'Semi-trailer truck (Hydrogen)'!J$299</f>
        <v>0.11531890492433679</v>
      </c>
      <c r="N14" s="126">
        <f>'Semi-trailer truck (Hydrogen)'!K$299</f>
        <v>0.11187952376092304</v>
      </c>
      <c r="O14" s="126">
        <f>'Semi-trailer truck (Hydrogen)'!L$299</f>
        <v>0.10848351319531571</v>
      </c>
      <c r="P14" s="126">
        <f>'Semi-trailer truck (Hydrogen)'!M$299</f>
        <v>0.10536615030719333</v>
      </c>
      <c r="Q14" s="126">
        <f>'Semi-trailer truck (Hydrogen)'!N$299</f>
        <v>0.10269206022313754</v>
      </c>
      <c r="R14" s="126">
        <f>'Semi-trailer truck (Hydrogen)'!O$299</f>
        <v>0.10006097566846892</v>
      </c>
      <c r="S14" s="126">
        <f>'Semi-trailer truck (Hydrogen)'!P$299</f>
        <v>9.7946424194645609E-2</v>
      </c>
      <c r="T14" s="126">
        <f>'Semi-trailer truck (Hydrogen)'!Q$299</f>
        <v>9.6277201037087423E-2</v>
      </c>
      <c r="U14" s="126">
        <f>'Semi-trailer truck (Hydrogen)'!R$299</f>
        <v>9.4964121434025578E-2</v>
      </c>
      <c r="V14" s="126">
        <f>'Semi-trailer truck (Hydrogen)'!S$299</f>
        <v>9.392098415273295E-2</v>
      </c>
      <c r="W14" s="126">
        <f>'Semi-trailer truck (Hydrogen)'!T$299</f>
        <v>9.3105926578383152E-2</v>
      </c>
      <c r="X14" s="126">
        <f>'Semi-trailer truck (Hydrogen)'!U$299</f>
        <v>9.2430363673895982E-2</v>
      </c>
      <c r="Y14" s="126">
        <f>'Semi-trailer truck (Hydrogen)'!V$299</f>
        <v>9.1851935369655219E-2</v>
      </c>
      <c r="Z14" s="126">
        <f>'Semi-trailer truck (Hydrogen)'!W$299</f>
        <v>9.1340237168673802E-2</v>
      </c>
      <c r="AA14" s="126">
        <f>'Semi-trailer truck (Hydrogen)'!X$299</f>
        <v>9.0873955579110793E-2</v>
      </c>
      <c r="AB14" s="126">
        <f>'Semi-trailer truck (Hydrogen)'!Y$299</f>
        <v>9.0506987426516194E-2</v>
      </c>
      <c r="AC14" s="126">
        <f>'Semi-trailer truck (Hydrogen)'!Z$299</f>
        <v>9.0160628053264136E-2</v>
      </c>
      <c r="AD14" s="126">
        <f>'Semi-trailer truck (Hydrogen)'!AA$299</f>
        <v>8.9828115487751825E-2</v>
      </c>
      <c r="AE14" s="126">
        <f>'Semi-trailer truck (Hydrogen)'!AB$299</f>
        <v>8.9504887815497342E-2</v>
      </c>
      <c r="AF14" s="126">
        <f>'Semi-trailer truck (Hydrogen)'!AC$299</f>
        <v>8.9187877646247971E-2</v>
      </c>
    </row>
    <row r="15" spans="1:32" x14ac:dyDescent="0.25">
      <c r="A15">
        <v>14</v>
      </c>
      <c r="B15" t="s">
        <v>221</v>
      </c>
      <c r="C15" t="s">
        <v>103</v>
      </c>
      <c r="D15" t="s">
        <v>225</v>
      </c>
      <c r="E15" s="126">
        <f>'Semi-trailer truck (Hydrogen)'!B$408</f>
        <v>0.16908564510755242</v>
      </c>
      <c r="F15" s="126">
        <f>'Semi-trailer truck (Hydrogen)'!C$408</f>
        <v>0.1674865261414131</v>
      </c>
      <c r="G15" s="126">
        <f>'Semi-trailer truck (Hydrogen)'!D$408</f>
        <v>0.16560771135309116</v>
      </c>
      <c r="H15" s="126">
        <f>'Semi-trailer truck (Hydrogen)'!E$408</f>
        <v>0.16362446920862295</v>
      </c>
      <c r="I15" s="126">
        <f>'Semi-trailer truck (Hydrogen)'!F$408</f>
        <v>0.1611711815475082</v>
      </c>
      <c r="J15" s="126">
        <f>'Semi-trailer truck (Hydrogen)'!G$408</f>
        <v>0.158156114239797</v>
      </c>
      <c r="K15" s="126">
        <f>'Semi-trailer truck (Hydrogen)'!H$408</f>
        <v>0.15452405601265407</v>
      </c>
      <c r="L15" s="126">
        <f>'Semi-trailer truck (Hydrogen)'!I$408</f>
        <v>0.15029615874930113</v>
      </c>
      <c r="M15" s="126">
        <f>'Semi-trailer truck (Hydrogen)'!J$408</f>
        <v>0.14616535527313701</v>
      </c>
      <c r="N15" s="126">
        <f>'Semi-trailer truck (Hydrogen)'!K$408</f>
        <v>0.14177848643625052</v>
      </c>
      <c r="O15" s="126">
        <f>'Semi-trailer truck (Hydrogen)'!L$408</f>
        <v>0.13744760925819974</v>
      </c>
      <c r="P15" s="126">
        <f>'Semi-trailer truck (Hydrogen)'!M$408</f>
        <v>0.13347194513070246</v>
      </c>
      <c r="Q15" s="126">
        <f>'Semi-trailer truck (Hydrogen)'!N$408</f>
        <v>0.13006074888350319</v>
      </c>
      <c r="R15" s="126">
        <f>'Semi-trailer truck (Hydrogen)'!O$408</f>
        <v>0.12683233373777733</v>
      </c>
      <c r="S15" s="126">
        <f>'Semi-trailer truck (Hydrogen)'!P$408</f>
        <v>0.12425635532991935</v>
      </c>
      <c r="T15" s="126">
        <f>'Semi-trailer truck (Hydrogen)'!Q$408</f>
        <v>0.12224396689818268</v>
      </c>
      <c r="U15" s="126">
        <f>'Semi-trailer truck (Hydrogen)'!R$408</f>
        <v>0.12068301170330653</v>
      </c>
      <c r="V15" s="126">
        <f>'Semi-trailer truck (Hydrogen)'!S$408</f>
        <v>0.11946469540016971</v>
      </c>
      <c r="W15" s="126">
        <f>'Semi-trailer truck (Hydrogen)'!T$408</f>
        <v>0.11852779514257482</v>
      </c>
      <c r="X15" s="126">
        <f>'Semi-trailer truck (Hydrogen)'!U$408</f>
        <v>0.11776844950186016</v>
      </c>
      <c r="Y15" s="126">
        <f>'Semi-trailer truck (Hydrogen)'!V$408</f>
        <v>0.11713287097832012</v>
      </c>
      <c r="Z15" s="126">
        <f>'Semi-trailer truck (Hydrogen)'!W$408</f>
        <v>0.11658240617536725</v>
      </c>
      <c r="AA15" s="126">
        <f>'Semi-trailer truck (Hydrogen)'!X$408</f>
        <v>0.11608992872052032</v>
      </c>
      <c r="AB15" s="126">
        <f>'Semi-trailer truck (Hydrogen)'!Y$408</f>
        <v>0.11570530536569712</v>
      </c>
      <c r="AC15" s="126">
        <f>'Semi-trailer truck (Hydrogen)'!Z$408</f>
        <v>0.11534706800447457</v>
      </c>
      <c r="AD15" s="126">
        <f>'Semi-trailer truck (Hydrogen)'!AA$408</f>
        <v>0.11500657378356287</v>
      </c>
      <c r="AE15" s="126">
        <f>'Semi-trailer truck (Hydrogen)'!AB$408</f>
        <v>0.11467798700265858</v>
      </c>
      <c r="AF15" s="126">
        <f>'Semi-trailer truck (Hydrogen)'!AC$408</f>
        <v>0.11435738052980955</v>
      </c>
    </row>
    <row r="16" spans="1:32" x14ac:dyDescent="0.25">
      <c r="A16">
        <v>15</v>
      </c>
      <c r="B16" t="s">
        <v>221</v>
      </c>
      <c r="C16" t="s">
        <v>103</v>
      </c>
      <c r="D16" t="s">
        <v>226</v>
      </c>
      <c r="E16" s="126">
        <f>'Semi-trailer truck (Hydrogen)'!B$513</f>
        <v>0.14486718387877273</v>
      </c>
      <c r="F16" s="126">
        <f>'Semi-trailer truck (Hydrogen)'!C$513</f>
        <v>0.14340893333601881</v>
      </c>
      <c r="G16" s="126">
        <f>'Semi-trailer truck (Hydrogen)'!D$513</f>
        <v>0.14171209417863131</v>
      </c>
      <c r="H16" s="126">
        <f>'Semi-trailer truck (Hydrogen)'!E$513</f>
        <v>0.13995445640484463</v>
      </c>
      <c r="I16" s="126">
        <f>'Semi-trailer truck (Hydrogen)'!F$513</f>
        <v>0.13779589094738623</v>
      </c>
      <c r="J16" s="126">
        <f>'Semi-trailer truck (Hydrogen)'!G$513</f>
        <v>0.13515851492150532</v>
      </c>
      <c r="K16" s="126">
        <f>'Semi-trailer truck (Hydrogen)'!H$513</f>
        <v>0.13199577099127321</v>
      </c>
      <c r="L16" s="126">
        <f>'Semi-trailer truck (Hydrogen)'!I$513</f>
        <v>0.12832636534209338</v>
      </c>
      <c r="M16" s="126">
        <f>'Semi-trailer truck (Hydrogen)'!J$513</f>
        <v>0.12480175333026765</v>
      </c>
      <c r="N16" s="126">
        <f>'Semi-trailer truck (Hydrogen)'!K$513</f>
        <v>0.12105734782347045</v>
      </c>
      <c r="O16" s="126">
        <f>'Semi-trailer truck (Hydrogen)'!L$513</f>
        <v>0.11735951217602993</v>
      </c>
      <c r="P16" s="126">
        <f>'Semi-trailer truck (Hydrogen)'!M$513</f>
        <v>0.11396386749411043</v>
      </c>
      <c r="Q16" s="126">
        <f>'Semi-trailer truck (Hydrogen)'!N$513</f>
        <v>0.11104945545307421</v>
      </c>
      <c r="R16" s="126">
        <f>'Semi-trailer truck (Hydrogen)'!O$513</f>
        <v>0.1082414858756975</v>
      </c>
      <c r="S16" s="126">
        <f>'Semi-trailer truck (Hydrogen)'!P$513</f>
        <v>0.10599284035613521</v>
      </c>
      <c r="T16" s="126">
        <f>'Semi-trailer truck (Hydrogen)'!Q$513</f>
        <v>0.10422729235758313</v>
      </c>
      <c r="U16" s="126">
        <f>'Semi-trailer truck (Hydrogen)'!R$513</f>
        <v>0.10284869920567637</v>
      </c>
      <c r="V16" s="126">
        <f>'Semi-trailer truck (Hydrogen)'!S$513</f>
        <v>0.10176380243997346</v>
      </c>
      <c r="W16" s="126">
        <f>'Semi-trailer truck (Hydrogen)'!T$513</f>
        <v>0.10092328281986328</v>
      </c>
      <c r="X16" s="126">
        <f>'Semi-trailer truck (Hydrogen)'!U$513</f>
        <v>0.10023489782800679</v>
      </c>
      <c r="Y16" s="126">
        <f>'Semi-trailer truck (Hydrogen)'!V$513</f>
        <v>9.9652540075611265E-2</v>
      </c>
      <c r="Z16" s="126">
        <f>'Semi-trailer truck (Hydrogen)'!W$513</f>
        <v>9.9143077302648902E-2</v>
      </c>
      <c r="AA16" s="126">
        <f>'Semi-trailer truck (Hydrogen)'!X$513</f>
        <v>9.8683261566772928E-2</v>
      </c>
      <c r="AB16" s="126">
        <f>'Semi-trailer truck (Hydrogen)'!Y$513</f>
        <v>9.8322819541784096E-2</v>
      </c>
      <c r="AC16" s="126">
        <f>'Semi-trailer truck (Hydrogen)'!Z$513</f>
        <v>9.7984943783138212E-2</v>
      </c>
      <c r="AD16" s="126">
        <f>'Semi-trailer truck (Hydrogen)'!AA$513</f>
        <v>9.7662237607682612E-2</v>
      </c>
      <c r="AE16" s="126">
        <f>'Semi-trailer truck (Hydrogen)'!AB$513</f>
        <v>9.7349708239368074E-2</v>
      </c>
      <c r="AF16" s="126">
        <f>'Semi-trailer truck (Hydrogen)'!AC$513</f>
        <v>9.7043996882390932E-2</v>
      </c>
    </row>
    <row r="17" spans="1:32" x14ac:dyDescent="0.25">
      <c r="A17">
        <v>16</v>
      </c>
      <c r="B17" t="s">
        <v>227</v>
      </c>
      <c r="C17" t="s">
        <v>11</v>
      </c>
      <c r="D17" t="s">
        <v>222</v>
      </c>
      <c r="E17" s="126">
        <f>'Railway (Diesel)'!B$85</f>
        <v>1.504014858290743E-2</v>
      </c>
      <c r="F17" s="126">
        <f>'Railway (Diesel)'!C$85</f>
        <v>1.4949089850873799E-2</v>
      </c>
      <c r="G17" s="126">
        <f>'Railway (Diesel)'!D$85</f>
        <v>1.485831412981754E-2</v>
      </c>
      <c r="H17" s="126">
        <f>'Railway (Diesel)'!E$85</f>
        <v>1.4767934068009888E-2</v>
      </c>
      <c r="I17" s="126">
        <f>'Railway (Diesel)'!F$85</f>
        <v>1.4678100487122399E-2</v>
      </c>
      <c r="J17" s="126">
        <f>'Railway (Diesel)'!G$85</f>
        <v>1.4589008290253032E-2</v>
      </c>
      <c r="K17" s="126">
        <f>'Railway (Diesel)'!H$85</f>
        <v>1.4500895657529742E-2</v>
      </c>
      <c r="L17" s="126">
        <f>'Railway (Diesel)'!I$85</f>
        <v>1.4414027973658551E-2</v>
      </c>
      <c r="M17" s="126">
        <f>'Railway (Diesel)'!J$85</f>
        <v>1.4393632218037432E-2</v>
      </c>
      <c r="N17" s="126">
        <f>'Railway (Diesel)'!K$85</f>
        <v>1.4374885715043932E-2</v>
      </c>
      <c r="O17" s="126">
        <f>'Railway (Diesel)'!L$85</f>
        <v>1.4357740761425777E-2</v>
      </c>
      <c r="P17" s="126">
        <f>'Railway (Diesel)'!M$85</f>
        <v>1.4341852600912312E-2</v>
      </c>
      <c r="Q17" s="126">
        <f>'Railway (Diesel)'!N$85</f>
        <v>1.4326569701014731E-2</v>
      </c>
      <c r="R17" s="126">
        <f>'Railway (Diesel)'!O$85</f>
        <v>1.4311061043786688E-2</v>
      </c>
      <c r="S17" s="126">
        <f>'Railway (Diesel)'!P$85</f>
        <v>1.4294543785288482E-2</v>
      </c>
      <c r="T17" s="126">
        <f>'Railway (Diesel)'!Q$85</f>
        <v>1.4276489347723629E-2</v>
      </c>
      <c r="U17" s="126">
        <f>'Railway (Diesel)'!R$85</f>
        <v>1.4256701860510111E-2</v>
      </c>
      <c r="V17" s="126">
        <f>'Railway (Diesel)'!S$85</f>
        <v>1.4235263287378914E-2</v>
      </c>
      <c r="W17" s="126">
        <f>'Railway (Diesel)'!T$85</f>
        <v>1.4212416181710541E-2</v>
      </c>
      <c r="X17" s="126">
        <f>'Railway (Diesel)'!U$85</f>
        <v>1.4188455155803721E-2</v>
      </c>
      <c r="Y17" s="126">
        <f>'Railway (Diesel)'!V$85</f>
        <v>1.4163658199566121E-2</v>
      </c>
      <c r="Z17" s="126">
        <f>'Railway (Diesel)'!W$85</f>
        <v>1.4138256204782967E-2</v>
      </c>
      <c r="AA17" s="126">
        <f>'Railway (Diesel)'!X$85</f>
        <v>1.4112427007621666E-2</v>
      </c>
      <c r="AB17" s="126">
        <f>'Railway (Diesel)'!Y$85</f>
        <v>1.4086301223998303E-2</v>
      </c>
      <c r="AC17" s="126">
        <f>'Railway (Diesel)'!Z$85</f>
        <v>1.4059971878605422E-2</v>
      </c>
      <c r="AD17" s="126">
        <f>'Railway (Diesel)'!AA$85</f>
        <v>1.4033503895700603E-2</v>
      </c>
      <c r="AE17" s="126">
        <f>'Railway (Diesel)'!AB$85</f>
        <v>1.4006941983674637E-2</v>
      </c>
      <c r="AF17" s="126">
        <f>'Railway (Diesel)'!AC$85</f>
        <v>1.3980316656105102E-2</v>
      </c>
    </row>
    <row r="18" spans="1:32" x14ac:dyDescent="0.25">
      <c r="A18">
        <v>17</v>
      </c>
      <c r="B18" t="s">
        <v>227</v>
      </c>
      <c r="C18" t="s">
        <v>11</v>
      </c>
      <c r="D18" t="s">
        <v>223</v>
      </c>
      <c r="E18" s="126">
        <f>'Railway (Diesel)'!B$191</f>
        <v>2.2729999851833028E-2</v>
      </c>
      <c r="F18" s="126">
        <f>'Railway (Diesel)'!C$191</f>
        <v>2.2593411753782579E-2</v>
      </c>
      <c r="G18" s="126">
        <f>'Railway (Diesel)'!D$191</f>
        <v>2.2457248172198192E-2</v>
      </c>
      <c r="H18" s="126">
        <f>'Railway (Diesel)'!E$191</f>
        <v>2.2321678079486713E-2</v>
      </c>
      <c r="I18" s="126">
        <f>'Railway (Diesel)'!F$191</f>
        <v>2.2186927708155488E-2</v>
      </c>
      <c r="J18" s="126">
        <f>'Railway (Diesel)'!G$191</f>
        <v>2.2053289412851437E-2</v>
      </c>
      <c r="K18" s="126">
        <f>'Railway (Diesel)'!H$191</f>
        <v>2.1921120463766496E-2</v>
      </c>
      <c r="L18" s="126">
        <f>'Railway (Diesel)'!I$191</f>
        <v>2.1790818937959706E-2</v>
      </c>
      <c r="M18" s="126">
        <f>'Railway (Diesel)'!J$191</f>
        <v>2.1760225304528029E-2</v>
      </c>
      <c r="N18" s="126">
        <f>'Railway (Diesel)'!K$191</f>
        <v>2.1732105550037781E-2</v>
      </c>
      <c r="O18" s="126">
        <f>'Railway (Diesel)'!L$191</f>
        <v>2.1706388119610544E-2</v>
      </c>
      <c r="P18" s="126">
        <f>'Railway (Diesel)'!M$191</f>
        <v>2.168255587884035E-2</v>
      </c>
      <c r="Q18" s="126">
        <f>'Railway (Diesel)'!N$191</f>
        <v>2.1659631528993979E-2</v>
      </c>
      <c r="R18" s="126">
        <f>'Railway (Diesel)'!O$191</f>
        <v>2.1636368543151915E-2</v>
      </c>
      <c r="S18" s="126">
        <f>'Railway (Diesel)'!P$191</f>
        <v>2.1611592655404608E-2</v>
      </c>
      <c r="T18" s="126">
        <f>'Railway (Diesel)'!Q$191</f>
        <v>2.1584510999057328E-2</v>
      </c>
      <c r="U18" s="126">
        <f>'Railway (Diesel)'!R$191</f>
        <v>2.1554829768237051E-2</v>
      </c>
      <c r="V18" s="126">
        <f>'Railway (Diesel)'!S$191</f>
        <v>2.1522671908540254E-2</v>
      </c>
      <c r="W18" s="126">
        <f>'Railway (Diesel)'!T$191</f>
        <v>2.1488401250037696E-2</v>
      </c>
      <c r="X18" s="126">
        <f>'Railway (Diesel)'!U$191</f>
        <v>2.1452459711177464E-2</v>
      </c>
      <c r="Y18" s="126">
        <f>'Railway (Diesel)'!V$191</f>
        <v>2.1415264276821062E-2</v>
      </c>
      <c r="Z18" s="126">
        <f>'Railway (Diesel)'!W$191</f>
        <v>2.1377161284646333E-2</v>
      </c>
      <c r="AA18" s="126">
        <f>'Railway (Diesel)'!X$191</f>
        <v>2.1338417488904381E-2</v>
      </c>
      <c r="AB18" s="126">
        <f>'Railway (Diesel)'!Y$191</f>
        <v>2.1299228813469337E-2</v>
      </c>
      <c r="AC18" s="126">
        <f>'Railway (Diesel)'!Z$191</f>
        <v>2.1259734795380014E-2</v>
      </c>
      <c r="AD18" s="126">
        <f>'Railway (Diesel)'!AA$191</f>
        <v>2.1220032821022788E-2</v>
      </c>
      <c r="AE18" s="126">
        <f>'Railway (Diesel)'!AB$191</f>
        <v>2.118018995298384E-2</v>
      </c>
      <c r="AF18" s="126">
        <f>'Railway (Diesel)'!AC$191</f>
        <v>2.1140251961629539E-2</v>
      </c>
    </row>
    <row r="19" spans="1:32" x14ac:dyDescent="0.25">
      <c r="A19">
        <v>18</v>
      </c>
      <c r="B19" t="s">
        <v>227</v>
      </c>
      <c r="C19" t="s">
        <v>11</v>
      </c>
      <c r="D19" t="s">
        <v>224</v>
      </c>
      <c r="E19" s="126">
        <f>'Railway (Diesel)'!B$299</f>
        <v>2.1470265431767766E-2</v>
      </c>
      <c r="F19" s="126">
        <f>'Railway (Diesel)'!C$299</f>
        <v>2.133367733371732E-2</v>
      </c>
      <c r="G19" s="126">
        <f>'Railway (Diesel)'!D$299</f>
        <v>2.1197513752132933E-2</v>
      </c>
      <c r="H19" s="126">
        <f>'Railway (Diesel)'!E$299</f>
        <v>2.1061943659421455E-2</v>
      </c>
      <c r="I19" s="126">
        <f>'Railway (Diesel)'!F$299</f>
        <v>2.0927193288090222E-2</v>
      </c>
      <c r="J19" s="126">
        <f>'Railway (Diesel)'!G$299</f>
        <v>2.0793554992786172E-2</v>
      </c>
      <c r="K19" s="126">
        <f>'Railway (Diesel)'!H$299</f>
        <v>2.0661386043701234E-2</v>
      </c>
      <c r="L19" s="126">
        <f>'Railway (Diesel)'!I$299</f>
        <v>2.0531084517894451E-2</v>
      </c>
      <c r="M19" s="126">
        <f>'Railway (Diesel)'!J$299</f>
        <v>2.0500490884462767E-2</v>
      </c>
      <c r="N19" s="126">
        <f>'Railway (Diesel)'!K$299</f>
        <v>2.0472371129972522E-2</v>
      </c>
      <c r="O19" s="126">
        <f>'Railway (Diesel)'!L$299</f>
        <v>2.0446653699545285E-2</v>
      </c>
      <c r="P19" s="126">
        <f>'Railway (Diesel)'!M$299</f>
        <v>2.0422821458775088E-2</v>
      </c>
      <c r="Q19" s="126">
        <f>'Railway (Diesel)'!N$299</f>
        <v>2.039989710892872E-2</v>
      </c>
      <c r="R19" s="126">
        <f>'Railway (Diesel)'!O$299</f>
        <v>2.0376634123086653E-2</v>
      </c>
      <c r="S19" s="126">
        <f>'Railway (Diesel)'!P$299</f>
        <v>2.0351858235339346E-2</v>
      </c>
      <c r="T19" s="126">
        <f>'Railway (Diesel)'!Q$299</f>
        <v>2.0324776578992065E-2</v>
      </c>
      <c r="U19" s="126">
        <f>'Railway (Diesel)'!R$299</f>
        <v>2.0295095348171793E-2</v>
      </c>
      <c r="V19" s="126">
        <f>'Railway (Diesel)'!S$299</f>
        <v>2.0262937488474995E-2</v>
      </c>
      <c r="W19" s="126">
        <f>'Railway (Diesel)'!T$299</f>
        <v>2.0228666829972437E-2</v>
      </c>
      <c r="X19" s="126">
        <f>'Railway (Diesel)'!U$299</f>
        <v>2.0192725291112205E-2</v>
      </c>
      <c r="Y19" s="126">
        <f>'Railway (Diesel)'!V$299</f>
        <v>2.0155529856755807E-2</v>
      </c>
      <c r="Z19" s="126">
        <f>'Railway (Diesel)'!W$299</f>
        <v>2.0117426864581074E-2</v>
      </c>
      <c r="AA19" s="126">
        <f>'Railway (Diesel)'!X$299</f>
        <v>2.0078683068839122E-2</v>
      </c>
      <c r="AB19" s="126">
        <f>'Railway (Diesel)'!Y$299</f>
        <v>2.0039494393404078E-2</v>
      </c>
      <c r="AC19" s="126">
        <f>'Railway (Diesel)'!Z$299</f>
        <v>2.0000000375314755E-2</v>
      </c>
      <c r="AD19" s="126">
        <f>'Railway (Diesel)'!AA$299</f>
        <v>1.9960298400957529E-2</v>
      </c>
      <c r="AE19" s="126">
        <f>'Railway (Diesel)'!AB$299</f>
        <v>1.9920455532918577E-2</v>
      </c>
      <c r="AF19" s="126">
        <f>'Railway (Diesel)'!AC$299</f>
        <v>1.9880517541564273E-2</v>
      </c>
    </row>
    <row r="20" spans="1:32" x14ac:dyDescent="0.25">
      <c r="A20">
        <v>19</v>
      </c>
      <c r="B20" t="s">
        <v>227</v>
      </c>
      <c r="C20" t="s">
        <v>11</v>
      </c>
      <c r="D20" t="s">
        <v>225</v>
      </c>
      <c r="E20" s="126">
        <f>'Railway (Diesel)'!B$408</f>
        <v>1.9265681698315947E-2</v>
      </c>
      <c r="F20" s="126">
        <f>'Railway (Diesel)'!C$408</f>
        <v>1.9184740603174939E-2</v>
      </c>
      <c r="G20" s="126">
        <f>'Railway (Diesel)'!D$408</f>
        <v>1.9104051073347152E-2</v>
      </c>
      <c r="H20" s="126">
        <f>'Railway (Diesel)'!E$408</f>
        <v>1.9023713240629243E-2</v>
      </c>
      <c r="I20" s="126">
        <f>'Railway (Diesel)'!F$408</f>
        <v>1.8943861168729252E-2</v>
      </c>
      <c r="J20" s="126">
        <f>'Railway (Diesel)'!G$408</f>
        <v>1.8864668104845373E-2</v>
      </c>
      <c r="K20" s="126">
        <f>'Railway (Diesel)'!H$408</f>
        <v>1.878634576464689E-2</v>
      </c>
      <c r="L20" s="126">
        <f>'Railway (Diesel)'!I$408</f>
        <v>1.8709130045650273E-2</v>
      </c>
      <c r="M20" s="126">
        <f>'Railway (Diesel)'!J$408</f>
        <v>1.8691000485098169E-2</v>
      </c>
      <c r="N20" s="126">
        <f>'Railway (Diesel)'!K$408</f>
        <v>1.8674336926881724E-2</v>
      </c>
      <c r="O20" s="126">
        <f>'Railway (Diesel)'!L$408</f>
        <v>1.865909696811003E-2</v>
      </c>
      <c r="P20" s="126">
        <f>'Railway (Diesel)'!M$408</f>
        <v>1.8644974158764732E-2</v>
      </c>
      <c r="Q20" s="126">
        <f>'Railway (Diesel)'!N$408</f>
        <v>1.863138935885577E-2</v>
      </c>
      <c r="R20" s="126">
        <f>'Railway (Diesel)'!O$408</f>
        <v>1.8617603885764174E-2</v>
      </c>
      <c r="S20" s="126">
        <f>'Railway (Diesel)'!P$408</f>
        <v>1.8602921878210214E-2</v>
      </c>
      <c r="T20" s="126">
        <f>'Railway (Diesel)'!Q$408</f>
        <v>1.8586873489263682E-2</v>
      </c>
      <c r="U20" s="126">
        <f>'Railway (Diesel)'!R$408</f>
        <v>1.8569284611740552E-2</v>
      </c>
      <c r="V20" s="126">
        <f>'Railway (Diesel)'!S$408</f>
        <v>1.8550228102290598E-2</v>
      </c>
      <c r="W20" s="126">
        <f>'Railway (Diesel)'!T$408</f>
        <v>1.8529919563918709E-2</v>
      </c>
      <c r="X20" s="126">
        <f>'Railway (Diesel)'!U$408</f>
        <v>1.8508620874223759E-2</v>
      </c>
      <c r="Y20" s="126">
        <f>'Railway (Diesel)'!V$408</f>
        <v>1.8486579135345894E-2</v>
      </c>
      <c r="Z20" s="126">
        <f>'Railway (Diesel)'!W$408</f>
        <v>1.8463999584427532E-2</v>
      </c>
      <c r="AA20" s="126">
        <f>'Railway (Diesel)'!X$408</f>
        <v>1.8441040298061935E-2</v>
      </c>
      <c r="AB20" s="126">
        <f>'Railway (Diesel)'!Y$408</f>
        <v>1.8417817379285613E-2</v>
      </c>
      <c r="AC20" s="126">
        <f>'Railway (Diesel)'!Z$408</f>
        <v>1.8394413516714163E-2</v>
      </c>
      <c r="AD20" s="126">
        <f>'Railway (Diesel)'!AA$408</f>
        <v>1.837088642079877E-2</v>
      </c>
      <c r="AE20" s="126">
        <f>'Railway (Diesel)'!AB$408</f>
        <v>1.8347275832331242E-2</v>
      </c>
      <c r="AF20" s="126">
        <f>'Railway (Diesel)'!AC$408</f>
        <v>1.8323608874491658E-2</v>
      </c>
    </row>
    <row r="21" spans="1:32" x14ac:dyDescent="0.25">
      <c r="A21">
        <v>20</v>
      </c>
      <c r="B21" t="s">
        <v>227</v>
      </c>
      <c r="C21" t="s">
        <v>11</v>
      </c>
      <c r="D21" t="s">
        <v>226</v>
      </c>
      <c r="E21" s="126">
        <f>'Railway (Diesel)'!B$513</f>
        <v>2.2310818156442702E-2</v>
      </c>
      <c r="F21" s="126">
        <f>'Railway (Diesel)'!C$513</f>
        <v>2.2174230058392256E-2</v>
      </c>
      <c r="G21" s="126">
        <f>'Railway (Diesel)'!D$513</f>
        <v>2.2038066476807866E-2</v>
      </c>
      <c r="H21" s="126">
        <f>'Railway (Diesel)'!E$513</f>
        <v>2.1902496384096394E-2</v>
      </c>
      <c r="I21" s="126">
        <f>'Railway (Diesel)'!F$513</f>
        <v>2.1767746012765161E-2</v>
      </c>
      <c r="J21" s="126">
        <f>'Railway (Diesel)'!G$513</f>
        <v>2.1634107717461108E-2</v>
      </c>
      <c r="K21" s="126">
        <f>'Railway (Diesel)'!H$513</f>
        <v>2.1501938768376173E-2</v>
      </c>
      <c r="L21" s="126">
        <f>'Railway (Diesel)'!I$513</f>
        <v>2.1371637242569387E-2</v>
      </c>
      <c r="M21" s="126">
        <f>'Railway (Diesel)'!J$513</f>
        <v>2.1341043609137703E-2</v>
      </c>
      <c r="N21" s="126">
        <f>'Railway (Diesel)'!K$513</f>
        <v>2.1312923854647458E-2</v>
      </c>
      <c r="O21" s="126">
        <f>'Railway (Diesel)'!L$513</f>
        <v>2.1287206424220221E-2</v>
      </c>
      <c r="P21" s="126">
        <f>'Railway (Diesel)'!M$513</f>
        <v>2.1263374183450028E-2</v>
      </c>
      <c r="Q21" s="126">
        <f>'Railway (Diesel)'!N$513</f>
        <v>2.1240449833603653E-2</v>
      </c>
      <c r="R21" s="126">
        <f>'Railway (Diesel)'!O$513</f>
        <v>2.1217186847761589E-2</v>
      </c>
      <c r="S21" s="126">
        <f>'Railway (Diesel)'!P$513</f>
        <v>2.1192410960014285E-2</v>
      </c>
      <c r="T21" s="126">
        <f>'Railway (Diesel)'!Q$513</f>
        <v>2.1165329303667005E-2</v>
      </c>
      <c r="U21" s="126">
        <f>'Railway (Diesel)'!R$513</f>
        <v>2.1135648072846729E-2</v>
      </c>
      <c r="V21" s="126">
        <f>'Railway (Diesel)'!S$513</f>
        <v>2.1103490213149931E-2</v>
      </c>
      <c r="W21" s="126">
        <f>'Railway (Diesel)'!T$513</f>
        <v>2.1069219554647373E-2</v>
      </c>
      <c r="X21" s="126">
        <f>'Railway (Diesel)'!U$513</f>
        <v>2.1033278015787145E-2</v>
      </c>
      <c r="Y21" s="126">
        <f>'Railway (Diesel)'!V$513</f>
        <v>2.0996082581430743E-2</v>
      </c>
      <c r="Z21" s="126">
        <f>'Railway (Diesel)'!W$513</f>
        <v>2.0957979589256007E-2</v>
      </c>
      <c r="AA21" s="126">
        <f>'Railway (Diesel)'!X$513</f>
        <v>2.0919235793514054E-2</v>
      </c>
      <c r="AB21" s="126">
        <f>'Railway (Diesel)'!Y$513</f>
        <v>2.0880047118079018E-2</v>
      </c>
      <c r="AC21" s="126">
        <f>'Railway (Diesel)'!Z$513</f>
        <v>2.0840553099989695E-2</v>
      </c>
      <c r="AD21" s="126">
        <f>'Railway (Diesel)'!AA$513</f>
        <v>2.0800851125632468E-2</v>
      </c>
      <c r="AE21" s="126">
        <f>'Railway (Diesel)'!AB$513</f>
        <v>2.0761008257593517E-2</v>
      </c>
      <c r="AF21" s="126">
        <f>'Railway (Diesel)'!AC$513</f>
        <v>2.0721070266239212E-2</v>
      </c>
    </row>
    <row r="22" spans="1:32" x14ac:dyDescent="0.25">
      <c r="A22">
        <v>21</v>
      </c>
      <c r="B22" t="s">
        <v>227</v>
      </c>
      <c r="C22" t="s">
        <v>136</v>
      </c>
      <c r="D22" t="s">
        <v>222</v>
      </c>
      <c r="E22" s="126">
        <f>'Railway (Catenary)'!B$85</f>
        <v>1.222552871882062E-2</v>
      </c>
      <c r="F22" s="126">
        <f>'Railway (Catenary)'!C$85</f>
        <v>1.222552871882062E-2</v>
      </c>
      <c r="G22" s="126">
        <f>'Railway (Catenary)'!D$85</f>
        <v>1.222552871882062E-2</v>
      </c>
      <c r="H22" s="126">
        <f>'Railway (Catenary)'!E$85</f>
        <v>1.222552871882062E-2</v>
      </c>
      <c r="I22" s="126">
        <f>'Railway (Catenary)'!F$85</f>
        <v>1.222552871882062E-2</v>
      </c>
      <c r="J22" s="126">
        <f>'Railway (Catenary)'!G$85</f>
        <v>1.222552871882062E-2</v>
      </c>
      <c r="K22" s="126">
        <f>'Railway (Catenary)'!H$85</f>
        <v>1.222552871882062E-2</v>
      </c>
      <c r="L22" s="126">
        <f>'Railway (Catenary)'!I$85</f>
        <v>1.222552871882062E-2</v>
      </c>
      <c r="M22" s="126">
        <f>'Railway (Catenary)'!J$85</f>
        <v>1.2271103652988618E-2</v>
      </c>
      <c r="N22" s="126">
        <f>'Railway (Catenary)'!K$85</f>
        <v>1.2316678587156614E-2</v>
      </c>
      <c r="O22" s="126">
        <f>'Railway (Catenary)'!L$85</f>
        <v>1.2362253521324612E-2</v>
      </c>
      <c r="P22" s="126">
        <f>'Railway (Catenary)'!M$85</f>
        <v>1.2407828455492606E-2</v>
      </c>
      <c r="Q22" s="126">
        <f>'Railway (Catenary)'!N$85</f>
        <v>1.2453403389660602E-2</v>
      </c>
      <c r="R22" s="126">
        <f>'Railway (Catenary)'!O$85</f>
        <v>1.2434291320493378E-2</v>
      </c>
      <c r="S22" s="126">
        <f>'Railway (Catenary)'!P$85</f>
        <v>1.2415179251326153E-2</v>
      </c>
      <c r="T22" s="126">
        <f>'Railway (Catenary)'!Q$85</f>
        <v>1.239606718215893E-2</v>
      </c>
      <c r="U22" s="126">
        <f>'Railway (Catenary)'!R$85</f>
        <v>1.2376955112991705E-2</v>
      </c>
      <c r="V22" s="126">
        <f>'Railway (Catenary)'!S$85</f>
        <v>1.2357843043824481E-2</v>
      </c>
      <c r="W22" s="126">
        <f>'Railway (Catenary)'!T$85</f>
        <v>1.2338730974657257E-2</v>
      </c>
      <c r="X22" s="126">
        <f>'Railway (Catenary)'!U$85</f>
        <v>1.2319618905490031E-2</v>
      </c>
      <c r="Y22" s="126">
        <f>'Railway (Catenary)'!V$85</f>
        <v>1.2300506836322809E-2</v>
      </c>
      <c r="Z22" s="126">
        <f>'Railway (Catenary)'!W$85</f>
        <v>1.2281394767155585E-2</v>
      </c>
      <c r="AA22" s="126">
        <f>'Railway (Catenary)'!X$85</f>
        <v>1.2262282697988361E-2</v>
      </c>
      <c r="AB22" s="126">
        <f>'Railway (Catenary)'!Y$85</f>
        <v>1.2243170628821135E-2</v>
      </c>
      <c r="AC22" s="126">
        <f>'Railway (Catenary)'!Z$85</f>
        <v>1.2224058559653911E-2</v>
      </c>
      <c r="AD22" s="126">
        <f>'Railway (Catenary)'!AA$85</f>
        <v>1.2204946490486687E-2</v>
      </c>
      <c r="AE22" s="126">
        <f>'Railway (Catenary)'!AB$85</f>
        <v>1.2185834421319463E-2</v>
      </c>
      <c r="AF22" s="126">
        <f>'Railway (Catenary)'!AC$85</f>
        <v>1.2166722352152239E-2</v>
      </c>
    </row>
    <row r="23" spans="1:32" x14ac:dyDescent="0.25">
      <c r="A23">
        <v>22</v>
      </c>
      <c r="B23" t="s">
        <v>227</v>
      </c>
      <c r="C23" t="s">
        <v>136</v>
      </c>
      <c r="D23" t="s">
        <v>223</v>
      </c>
      <c r="E23" s="126">
        <f>'Railway (Catenary)'!B$191</f>
        <v>1.8508070055702812E-2</v>
      </c>
      <c r="F23" s="126">
        <f>'Railway (Catenary)'!C$191</f>
        <v>1.8508070055702812E-2</v>
      </c>
      <c r="G23" s="126">
        <f>'Railway (Catenary)'!D$191</f>
        <v>1.8508070055702812E-2</v>
      </c>
      <c r="H23" s="126">
        <f>'Railway (Catenary)'!E$191</f>
        <v>1.8508070055702812E-2</v>
      </c>
      <c r="I23" s="126">
        <f>'Railway (Catenary)'!F$191</f>
        <v>1.8508070055702812E-2</v>
      </c>
      <c r="J23" s="126">
        <f>'Railway (Catenary)'!G$191</f>
        <v>1.8508070055702812E-2</v>
      </c>
      <c r="K23" s="126">
        <f>'Railway (Catenary)'!H$191</f>
        <v>1.8508070055702812E-2</v>
      </c>
      <c r="L23" s="126">
        <f>'Railway (Catenary)'!I$191</f>
        <v>1.8508070055702812E-2</v>
      </c>
      <c r="M23" s="126">
        <f>'Railway (Catenary)'!J$191</f>
        <v>1.8576432456954811E-2</v>
      </c>
      <c r="N23" s="126">
        <f>'Railway (Catenary)'!K$191</f>
        <v>1.8644794858206803E-2</v>
      </c>
      <c r="O23" s="126">
        <f>'Railway (Catenary)'!L$191</f>
        <v>1.8713157259458796E-2</v>
      </c>
      <c r="P23" s="126">
        <f>'Railway (Catenary)'!M$191</f>
        <v>1.8781519660710795E-2</v>
      </c>
      <c r="Q23" s="126">
        <f>'Railway (Catenary)'!N$191</f>
        <v>1.8849882061962787E-2</v>
      </c>
      <c r="R23" s="126">
        <f>'Railway (Catenary)'!O$191</f>
        <v>1.8821213958211951E-2</v>
      </c>
      <c r="S23" s="126">
        <f>'Railway (Catenary)'!P$191</f>
        <v>1.8792545854461114E-2</v>
      </c>
      <c r="T23" s="126">
        <f>'Railway (Catenary)'!Q$191</f>
        <v>1.8763877750710277E-2</v>
      </c>
      <c r="U23" s="126">
        <f>'Railway (Catenary)'!R$191</f>
        <v>1.873520964695944E-2</v>
      </c>
      <c r="V23" s="126">
        <f>'Railway (Catenary)'!S$191</f>
        <v>1.8706541543208603E-2</v>
      </c>
      <c r="W23" s="126">
        <f>'Railway (Catenary)'!T$191</f>
        <v>1.8677873439457766E-2</v>
      </c>
      <c r="X23" s="126">
        <f>'Railway (Catenary)'!U$191</f>
        <v>1.864920533570693E-2</v>
      </c>
      <c r="Y23" s="126">
        <f>'Railway (Catenary)'!V$191</f>
        <v>1.8620537231956093E-2</v>
      </c>
      <c r="Z23" s="126">
        <f>'Railway (Catenary)'!W$191</f>
        <v>1.8591869128205256E-2</v>
      </c>
      <c r="AA23" s="126">
        <f>'Railway (Catenary)'!X$191</f>
        <v>1.8563201024454419E-2</v>
      </c>
      <c r="AB23" s="126">
        <f>'Railway (Catenary)'!Y$191</f>
        <v>1.8534532920703586E-2</v>
      </c>
      <c r="AC23" s="126">
        <f>'Railway (Catenary)'!Z$191</f>
        <v>1.8505864816952745E-2</v>
      </c>
      <c r="AD23" s="126">
        <f>'Railway (Catenary)'!AA$191</f>
        <v>1.8477196713201909E-2</v>
      </c>
      <c r="AE23" s="126">
        <f>'Railway (Catenary)'!AB$191</f>
        <v>1.8448528609451079E-2</v>
      </c>
      <c r="AF23" s="126">
        <f>'Railway (Catenary)'!AC$191</f>
        <v>1.8419860505700242E-2</v>
      </c>
    </row>
    <row r="24" spans="1:32" x14ac:dyDescent="0.25">
      <c r="A24">
        <v>23</v>
      </c>
      <c r="B24" t="s">
        <v>227</v>
      </c>
      <c r="C24" t="s">
        <v>136</v>
      </c>
      <c r="D24" t="s">
        <v>224</v>
      </c>
      <c r="E24" s="126">
        <f>'Railway (Catenary)'!B$299</f>
        <v>1.7248335635637553E-2</v>
      </c>
      <c r="F24" s="126">
        <f>'Railway (Catenary)'!C$299</f>
        <v>1.7248335635637553E-2</v>
      </c>
      <c r="G24" s="126">
        <f>'Railway (Catenary)'!D$299</f>
        <v>1.7248335635637553E-2</v>
      </c>
      <c r="H24" s="126">
        <f>'Railway (Catenary)'!E$299</f>
        <v>1.7248335635637553E-2</v>
      </c>
      <c r="I24" s="126">
        <f>'Railway (Catenary)'!F$299</f>
        <v>1.7248335635637553E-2</v>
      </c>
      <c r="J24" s="126">
        <f>'Railway (Catenary)'!G$299</f>
        <v>1.7248335635637553E-2</v>
      </c>
      <c r="K24" s="126">
        <f>'Railway (Catenary)'!H$299</f>
        <v>1.7248335635637553E-2</v>
      </c>
      <c r="L24" s="126">
        <f>'Railway (Catenary)'!I$299</f>
        <v>1.7248335635637553E-2</v>
      </c>
      <c r="M24" s="126">
        <f>'Railway (Catenary)'!J$299</f>
        <v>1.7316698036889545E-2</v>
      </c>
      <c r="N24" s="126">
        <f>'Railway (Catenary)'!K$299</f>
        <v>1.7385060438141541E-2</v>
      </c>
      <c r="O24" s="126">
        <f>'Railway (Catenary)'!L$299</f>
        <v>1.7453422839393537E-2</v>
      </c>
      <c r="P24" s="126">
        <f>'Railway (Catenary)'!M$299</f>
        <v>1.7521785240645533E-2</v>
      </c>
      <c r="Q24" s="126">
        <f>'Railway (Catenary)'!N$299</f>
        <v>1.7590147641897525E-2</v>
      </c>
      <c r="R24" s="126">
        <f>'Railway (Catenary)'!O$299</f>
        <v>1.7561479538146688E-2</v>
      </c>
      <c r="S24" s="126">
        <f>'Railway (Catenary)'!P$299</f>
        <v>1.7532811434395855E-2</v>
      </c>
      <c r="T24" s="126">
        <f>'Railway (Catenary)'!Q$299</f>
        <v>1.7504143330645018E-2</v>
      </c>
      <c r="U24" s="126">
        <f>'Railway (Catenary)'!R$299</f>
        <v>1.7475475226894181E-2</v>
      </c>
      <c r="V24" s="126">
        <f>'Railway (Catenary)'!S$299</f>
        <v>1.7446807123143341E-2</v>
      </c>
      <c r="W24" s="126">
        <f>'Railway (Catenary)'!T$299</f>
        <v>1.7418139019392508E-2</v>
      </c>
      <c r="X24" s="126">
        <f>'Railway (Catenary)'!U$299</f>
        <v>1.7389470915641671E-2</v>
      </c>
      <c r="Y24" s="126">
        <f>'Railway (Catenary)'!V$299</f>
        <v>1.7360802811890834E-2</v>
      </c>
      <c r="Z24" s="126">
        <f>'Railway (Catenary)'!W$299</f>
        <v>1.7332134708139997E-2</v>
      </c>
      <c r="AA24" s="126">
        <f>'Railway (Catenary)'!X$299</f>
        <v>1.730346660438916E-2</v>
      </c>
      <c r="AB24" s="126">
        <f>'Railway (Catenary)'!Y$299</f>
        <v>1.7274798500638323E-2</v>
      </c>
      <c r="AC24" s="126">
        <f>'Railway (Catenary)'!Z$299</f>
        <v>1.724613039688749E-2</v>
      </c>
      <c r="AD24" s="126">
        <f>'Railway (Catenary)'!AA$299</f>
        <v>1.7217462293136653E-2</v>
      </c>
      <c r="AE24" s="126">
        <f>'Railway (Catenary)'!AB$299</f>
        <v>1.7188794189385816E-2</v>
      </c>
      <c r="AF24" s="126">
        <f>'Railway (Catenary)'!AC$299</f>
        <v>1.716012608563498E-2</v>
      </c>
    </row>
    <row r="25" spans="1:32" x14ac:dyDescent="0.25">
      <c r="A25">
        <v>24</v>
      </c>
      <c r="B25" t="s">
        <v>227</v>
      </c>
      <c r="C25" t="s">
        <v>136</v>
      </c>
      <c r="D25" t="s">
        <v>225</v>
      </c>
      <c r="E25" s="126">
        <f>'Railway (Catenary)'!B$408</f>
        <v>1.6763797374683229E-2</v>
      </c>
      <c r="F25" s="126">
        <f>'Railway (Catenary)'!C$408</f>
        <v>1.6763797374683229E-2</v>
      </c>
      <c r="G25" s="126">
        <f>'Railway (Catenary)'!D$408</f>
        <v>1.6763797374683229E-2</v>
      </c>
      <c r="H25" s="126">
        <f>'Railway (Catenary)'!E$408</f>
        <v>1.6763797374683229E-2</v>
      </c>
      <c r="I25" s="126">
        <f>'Railway (Catenary)'!F$408</f>
        <v>1.6763797374683229E-2</v>
      </c>
      <c r="J25" s="126">
        <f>'Railway (Catenary)'!G$408</f>
        <v>1.6763797374683229E-2</v>
      </c>
      <c r="K25" s="126">
        <f>'Railway (Catenary)'!H$408</f>
        <v>1.6763797374683229E-2</v>
      </c>
      <c r="L25" s="126">
        <f>'Railway (Catenary)'!I$408</f>
        <v>1.6763797374683229E-2</v>
      </c>
      <c r="M25" s="126">
        <f>'Railway (Catenary)'!J$408</f>
        <v>1.6804308427277002E-2</v>
      </c>
      <c r="N25" s="126">
        <f>'Railway (Catenary)'!K$408</f>
        <v>1.6844819479870779E-2</v>
      </c>
      <c r="O25" s="126">
        <f>'Railway (Catenary)'!L$408</f>
        <v>1.6885330532464549E-2</v>
      </c>
      <c r="P25" s="126">
        <f>'Railway (Catenary)'!M$408</f>
        <v>1.6925841585058325E-2</v>
      </c>
      <c r="Q25" s="126">
        <f>'Railway (Catenary)'!N$408</f>
        <v>1.6966352637652102E-2</v>
      </c>
      <c r="R25" s="126">
        <f>'Railway (Catenary)'!O$408</f>
        <v>1.694936413172568E-2</v>
      </c>
      <c r="S25" s="126">
        <f>'Railway (Catenary)'!P$408</f>
        <v>1.6932375625799259E-2</v>
      </c>
      <c r="T25" s="126">
        <f>'Railway (Catenary)'!Q$408</f>
        <v>1.6915387119872838E-2</v>
      </c>
      <c r="U25" s="126">
        <f>'Railway (Catenary)'!R$408</f>
        <v>1.6898398613946417E-2</v>
      </c>
      <c r="V25" s="126">
        <f>'Railway (Catenary)'!S$408</f>
        <v>1.6881410108019992E-2</v>
      </c>
      <c r="W25" s="126">
        <f>'Railway (Catenary)'!T$408</f>
        <v>1.6864421602093567E-2</v>
      </c>
      <c r="X25" s="126">
        <f>'Railway (Catenary)'!U$408</f>
        <v>1.6847433096167146E-2</v>
      </c>
      <c r="Y25" s="126">
        <f>'Railway (Catenary)'!V$408</f>
        <v>1.6830444590240724E-2</v>
      </c>
      <c r="Z25" s="126">
        <f>'Railway (Catenary)'!W$408</f>
        <v>1.6813456084314306E-2</v>
      </c>
      <c r="AA25" s="126">
        <f>'Railway (Catenary)'!X$408</f>
        <v>1.6796467578387882E-2</v>
      </c>
      <c r="AB25" s="126">
        <f>'Railway (Catenary)'!Y$408</f>
        <v>1.6779479072461464E-2</v>
      </c>
      <c r="AC25" s="126">
        <f>'Railway (Catenary)'!Z$408</f>
        <v>1.6762490566535039E-2</v>
      </c>
      <c r="AD25" s="126">
        <f>'Railway (Catenary)'!AA$408</f>
        <v>1.6745502060608618E-2</v>
      </c>
      <c r="AE25" s="126">
        <f>'Railway (Catenary)'!AB$408</f>
        <v>1.6728513554682196E-2</v>
      </c>
      <c r="AF25" s="126">
        <f>'Railway (Catenary)'!AC$408</f>
        <v>1.6711525048755775E-2</v>
      </c>
    </row>
    <row r="26" spans="1:32" x14ac:dyDescent="0.25">
      <c r="A26">
        <v>25</v>
      </c>
      <c r="B26" t="s">
        <v>227</v>
      </c>
      <c r="C26" t="s">
        <v>136</v>
      </c>
      <c r="D26" t="s">
        <v>226</v>
      </c>
      <c r="E26" s="126">
        <f>'Railway (Catenary)'!B$513</f>
        <v>1.8088888360312493E-2</v>
      </c>
      <c r="F26" s="126">
        <f>'Railway (Catenary)'!C$513</f>
        <v>1.8088888360312493E-2</v>
      </c>
      <c r="G26" s="126">
        <f>'Railway (Catenary)'!D$513</f>
        <v>1.8088888360312493E-2</v>
      </c>
      <c r="H26" s="126">
        <f>'Railway (Catenary)'!E$513</f>
        <v>1.8088888360312493E-2</v>
      </c>
      <c r="I26" s="126">
        <f>'Railway (Catenary)'!F$513</f>
        <v>1.8088888360312493E-2</v>
      </c>
      <c r="J26" s="126">
        <f>'Railway (Catenary)'!G$513</f>
        <v>1.8088888360312493E-2</v>
      </c>
      <c r="K26" s="126">
        <f>'Railway (Catenary)'!H$513</f>
        <v>1.8088888360312493E-2</v>
      </c>
      <c r="L26" s="126">
        <f>'Railway (Catenary)'!I$513</f>
        <v>1.8088888360312493E-2</v>
      </c>
      <c r="M26" s="126">
        <f>'Railway (Catenary)'!J$513</f>
        <v>1.8157250761564485E-2</v>
      </c>
      <c r="N26" s="126">
        <f>'Railway (Catenary)'!K$513</f>
        <v>1.8225613162816477E-2</v>
      </c>
      <c r="O26" s="126">
        <f>'Railway (Catenary)'!L$513</f>
        <v>1.8293975564068476E-2</v>
      </c>
      <c r="P26" s="126">
        <f>'Railway (Catenary)'!M$513</f>
        <v>1.8362337965320469E-2</v>
      </c>
      <c r="Q26" s="126">
        <f>'Railway (Catenary)'!N$513</f>
        <v>1.8430700366572468E-2</v>
      </c>
      <c r="R26" s="126">
        <f>'Railway (Catenary)'!O$513</f>
        <v>1.8402032262821624E-2</v>
      </c>
      <c r="S26" s="126">
        <f>'Railway (Catenary)'!P$513</f>
        <v>1.8373364159070791E-2</v>
      </c>
      <c r="T26" s="126">
        <f>'Railway (Catenary)'!Q$513</f>
        <v>1.8344696055319954E-2</v>
      </c>
      <c r="U26" s="126">
        <f>'Railway (Catenary)'!R$513</f>
        <v>1.8316027951569114E-2</v>
      </c>
      <c r="V26" s="126">
        <f>'Railway (Catenary)'!S$513</f>
        <v>1.828735984781828E-2</v>
      </c>
      <c r="W26" s="126">
        <f>'Railway (Catenary)'!T$513</f>
        <v>1.8258691744067447E-2</v>
      </c>
      <c r="X26" s="126">
        <f>'Railway (Catenary)'!U$513</f>
        <v>1.823002364031661E-2</v>
      </c>
      <c r="Y26" s="126">
        <f>'Railway (Catenary)'!V$513</f>
        <v>1.820135553656577E-2</v>
      </c>
      <c r="Z26" s="126">
        <f>'Railway (Catenary)'!W$513</f>
        <v>1.8172687432814937E-2</v>
      </c>
      <c r="AA26" s="126">
        <f>'Railway (Catenary)'!X$513</f>
        <v>1.81440193290641E-2</v>
      </c>
      <c r="AB26" s="126">
        <f>'Railway (Catenary)'!Y$513</f>
        <v>1.8115351225313263E-2</v>
      </c>
      <c r="AC26" s="126">
        <f>'Railway (Catenary)'!Z$513</f>
        <v>1.8086683121562426E-2</v>
      </c>
      <c r="AD26" s="126">
        <f>'Railway (Catenary)'!AA$513</f>
        <v>1.8058015017811589E-2</v>
      </c>
      <c r="AE26" s="126">
        <f>'Railway (Catenary)'!AB$513</f>
        <v>1.8029346914060752E-2</v>
      </c>
      <c r="AF26" s="126">
        <f>'Railway (Catenary)'!AC$513</f>
        <v>1.8000678810309916E-2</v>
      </c>
    </row>
    <row r="27" spans="1:32" x14ac:dyDescent="0.25">
      <c r="A27">
        <v>26</v>
      </c>
      <c r="B27" t="s">
        <v>227</v>
      </c>
      <c r="C27" t="s">
        <v>87</v>
      </c>
      <c r="D27" t="s">
        <v>222</v>
      </c>
      <c r="E27" s="126">
        <f>'Railway (Battery)'!B$85</f>
        <v>1.7015042906868429E-2</v>
      </c>
      <c r="F27" s="126">
        <f>'Railway (Battery)'!C$85</f>
        <v>1.6994607824587504E-2</v>
      </c>
      <c r="G27" s="126">
        <f>'Railway (Battery)'!D$85</f>
        <v>1.6965597845970487E-2</v>
      </c>
      <c r="H27" s="126">
        <f>'Railway (Battery)'!E$85</f>
        <v>1.6924604849222275E-2</v>
      </c>
      <c r="I27" s="126">
        <f>'Railway (Battery)'!F$85</f>
        <v>1.6867070820039611E-2</v>
      </c>
      <c r="J27" s="126">
        <f>'Railway (Battery)'!G$85</f>
        <v>1.6787115252128167E-2</v>
      </c>
      <c r="K27" s="126">
        <f>'Railway (Battery)'!H$85</f>
        <v>1.6677570193047518E-2</v>
      </c>
      <c r="L27" s="126">
        <f>'Railway (Battery)'!I$85</f>
        <v>1.6530482528676928E-2</v>
      </c>
      <c r="M27" s="126">
        <f>'Railway (Battery)'!J$85</f>
        <v>1.6387885486128954E-2</v>
      </c>
      <c r="N27" s="126">
        <f>'Railway (Battery)'!K$85</f>
        <v>1.6195763028188485E-2</v>
      </c>
      <c r="O27" s="126">
        <f>'Railway (Battery)'!L$85</f>
        <v>1.5955770831982907E-2</v>
      </c>
      <c r="P27" s="126">
        <f>'Railway (Battery)'!M$85</f>
        <v>1.5678518738614936E-2</v>
      </c>
      <c r="Q27" s="126">
        <f>'Railway (Battery)'!N$85</f>
        <v>1.5383753795214818E-2</v>
      </c>
      <c r="R27" s="126">
        <f>'Railway (Battery)'!O$85</f>
        <v>1.5026597419361718E-2</v>
      </c>
      <c r="S27" s="126">
        <f>'Railway (Battery)'!P$85</f>
        <v>1.4700331778406331E-2</v>
      </c>
      <c r="T27" s="126">
        <f>'Railway (Battery)'!Q$85</f>
        <v>1.4420492515427132E-2</v>
      </c>
      <c r="U27" s="126">
        <f>'Railway (Battery)'!R$85</f>
        <v>1.4192647295652059E-2</v>
      </c>
      <c r="V27" s="126">
        <f>'Railway (Battery)'!S$85</f>
        <v>1.4014132818747466E-2</v>
      </c>
      <c r="W27" s="126">
        <f>'Railway (Battery)'!T$85</f>
        <v>1.3877585239812383E-2</v>
      </c>
      <c r="X27" s="126">
        <f>'Railway (Battery)'!U$85</f>
        <v>1.3774162901034392E-2</v>
      </c>
      <c r="Y27" s="126">
        <f>'Railway (Battery)'!V$85</f>
        <v>1.3695565781401952E-2</v>
      </c>
      <c r="Z27" s="126">
        <f>'Railway (Battery)'!W$85</f>
        <v>1.36349200850285E-2</v>
      </c>
      <c r="AA27" s="126">
        <f>'Railway (Battery)'!X$85</f>
        <v>1.35869410736807E-2</v>
      </c>
      <c r="AB27" s="126">
        <f>'Railway (Battery)'!Y$85</f>
        <v>1.3547751820043653E-2</v>
      </c>
      <c r="AC27" s="126">
        <f>'Railway (Battery)'!Z$85</f>
        <v>1.3514593361433493E-2</v>
      </c>
      <c r="AD27" s="126">
        <f>'Railway (Battery)'!AA$85</f>
        <v>1.3485541198640472E-2</v>
      </c>
      <c r="AE27" s="126">
        <f>'Railway (Battery)'!AB$85</f>
        <v>1.345927058540392E-2</v>
      </c>
      <c r="AF27" s="126">
        <f>'Railway (Battery)'!AC$85</f>
        <v>1.3434877631593524E-2</v>
      </c>
    </row>
    <row r="28" spans="1:32" x14ac:dyDescent="0.25">
      <c r="A28">
        <v>27</v>
      </c>
      <c r="B28" t="s">
        <v>227</v>
      </c>
      <c r="C28" t="s">
        <v>87</v>
      </c>
      <c r="D28" t="s">
        <v>223</v>
      </c>
      <c r="E28" s="126">
        <f>'Railway (Battery)'!B$191</f>
        <v>2.5498255477549962E-2</v>
      </c>
      <c r="F28" s="126">
        <f>'Railway (Battery)'!C$191</f>
        <v>2.546839634334272E-2</v>
      </c>
      <c r="G28" s="126">
        <f>'Railway (Battery)'!D$191</f>
        <v>2.5426005564558624E-2</v>
      </c>
      <c r="H28" s="126">
        <f>'Railway (Battery)'!E$191</f>
        <v>2.5366100097815668E-2</v>
      </c>
      <c r="I28" s="126">
        <f>'Railway (Battery)'!F$191</f>
        <v>2.528201331229803E-2</v>
      </c>
      <c r="J28" s="126">
        <f>'Railway (Battery)'!G$191</f>
        <v>2.5165139794160928E-2</v>
      </c>
      <c r="K28" s="126">
        <f>'Railway (Battery)'!H$191</f>
        <v>2.5004981644244396E-2</v>
      </c>
      <c r="L28" s="126">
        <f>'Railway (Battery)'!I$191</f>
        <v>2.4789875478036662E-2</v>
      </c>
      <c r="M28" s="126">
        <f>'Railway (Battery)'!J$191</f>
        <v>2.4582576915795892E-2</v>
      </c>
      <c r="N28" s="126">
        <f>'Railway (Battery)'!K$191</f>
        <v>2.4302695180827762E-2</v>
      </c>
      <c r="O28" s="126">
        <f>'Railway (Battery)'!L$191</f>
        <v>2.3952553009105253E-2</v>
      </c>
      <c r="P28" s="126">
        <f>'Railway (Battery)'!M$191</f>
        <v>2.3547580340845191E-2</v>
      </c>
      <c r="Q28" s="126">
        <f>'Railway (Battery)'!N$191</f>
        <v>2.3116633238292002E-2</v>
      </c>
      <c r="R28" s="126">
        <f>'Railway (Battery)'!O$191</f>
        <v>2.2592086399346546E-2</v>
      </c>
      <c r="S28" s="126">
        <f>'Railway (Battery)'!P$191</f>
        <v>2.2112531589622925E-2</v>
      </c>
      <c r="T28" s="126">
        <f>'Railway (Battery)'!Q$191</f>
        <v>2.1700894188666907E-2</v>
      </c>
      <c r="U28" s="126">
        <f>'Railway (Battery)'!R$191</f>
        <v>2.1365480116907552E-2</v>
      </c>
      <c r="V28" s="126">
        <f>'Railway (Battery)'!S$191</f>
        <v>2.1102480057868425E-2</v>
      </c>
      <c r="W28" s="126">
        <f>'Railway (Battery)'!T$191</f>
        <v>2.0901139051159583E-2</v>
      </c>
      <c r="X28" s="126">
        <f>'Railway (Battery)'!U$191</f>
        <v>2.0748496545098569E-2</v>
      </c>
      <c r="Y28" s="126">
        <f>'Railway (Battery)'!V$191</f>
        <v>2.0632366039655702E-2</v>
      </c>
      <c r="Z28" s="126">
        <f>'Railway (Battery)'!W$191</f>
        <v>2.0542645732294904E-2</v>
      </c>
      <c r="AA28" s="126">
        <f>'Railway (Battery)'!X$191</f>
        <v>2.0471564632491012E-2</v>
      </c>
      <c r="AB28" s="126">
        <f>'Railway (Battery)'!Y$191</f>
        <v>2.0413419729249122E-2</v>
      </c>
      <c r="AC28" s="126">
        <f>'Railway (Battery)'!Z$191</f>
        <v>2.0364151523608022E-2</v>
      </c>
      <c r="AD28" s="126">
        <f>'Railway (Battery)'!AA$191</f>
        <v>2.0320927840067823E-2</v>
      </c>
      <c r="AE28" s="126">
        <f>'Railway (Battery)'!AB$191</f>
        <v>2.0281798885064511E-2</v>
      </c>
      <c r="AF28" s="126">
        <f>'Railway (Battery)'!AC$191</f>
        <v>2.0245434172372331E-2</v>
      </c>
    </row>
    <row r="29" spans="1:32" x14ac:dyDescent="0.25">
      <c r="A29">
        <v>28</v>
      </c>
      <c r="B29" t="s">
        <v>227</v>
      </c>
      <c r="C29" t="s">
        <v>87</v>
      </c>
      <c r="D29" t="s">
        <v>224</v>
      </c>
      <c r="E29" s="126">
        <f>'Railway (Battery)'!B$299</f>
        <v>2.4217951941717931E-2</v>
      </c>
      <c r="F29" s="126">
        <f>'Railway (Battery)'!C$299</f>
        <v>2.4188153476315869E-2</v>
      </c>
      <c r="G29" s="126">
        <f>'Railway (Battery)'!D$299</f>
        <v>2.4145848816728408E-2</v>
      </c>
      <c r="H29" s="126">
        <f>'Railway (Battery)'!E$299</f>
        <v>2.4086065027562838E-2</v>
      </c>
      <c r="I29" s="126">
        <f>'Railway (Battery)'!F$299</f>
        <v>2.4002148988980787E-2</v>
      </c>
      <c r="J29" s="126">
        <f>'Railway (Battery)'!G$299</f>
        <v>2.3885512703930745E-2</v>
      </c>
      <c r="K29" s="126">
        <f>'Railway (Battery)'!H$299</f>
        <v>2.3725679476102202E-2</v>
      </c>
      <c r="L29" s="126">
        <f>'Railway (Battery)'!I$299</f>
        <v>2.3511009396523834E-2</v>
      </c>
      <c r="M29" s="126">
        <f>'Railway (Battery)'!J$299</f>
        <v>2.3304279893736658E-2</v>
      </c>
      <c r="N29" s="126">
        <f>'Railway (Battery)'!K$299</f>
        <v>2.3025113201764653E-2</v>
      </c>
      <c r="O29" s="126">
        <f>'Railway (Battery)'!L$299</f>
        <v>2.2675826728387999E-2</v>
      </c>
      <c r="P29" s="126">
        <f>'Railway (Battery)'!M$299</f>
        <v>2.2271818609021943E-2</v>
      </c>
      <c r="Q29" s="126">
        <f>'Railway (Battery)'!N$299</f>
        <v>2.1841886278798194E-2</v>
      </c>
      <c r="R29" s="126">
        <f>'Railway (Battery)'!O$299</f>
        <v>2.1318330773940415E-2</v>
      </c>
      <c r="S29" s="126">
        <f>'Railway (Battery)'!P$299</f>
        <v>2.0839675424436321E-2</v>
      </c>
      <c r="T29" s="126">
        <f>'Railway (Battery)'!Q$299</f>
        <v>2.0428800220669181E-2</v>
      </c>
      <c r="U29" s="126">
        <f>'Railway (Battery)'!R$299</f>
        <v>2.0093995070035703E-2</v>
      </c>
      <c r="V29" s="126">
        <f>'Railway (Battery)'!S$299</f>
        <v>1.9831458772822524E-2</v>
      </c>
      <c r="W29" s="126">
        <f>'Railway (Battery)'!T$299</f>
        <v>1.9630458188083205E-2</v>
      </c>
      <c r="X29" s="126">
        <f>'Railway (Battery)'!U$299</f>
        <v>1.9478058829824084E-2</v>
      </c>
      <c r="Y29" s="126">
        <f>'Railway (Battery)'!V$299</f>
        <v>1.9362098611509577E-2</v>
      </c>
      <c r="Z29" s="126">
        <f>'Railway (Battery)'!W$299</f>
        <v>1.9272495923570832E-2</v>
      </c>
      <c r="AA29" s="126">
        <f>'Railway (Battery)'!X$299</f>
        <v>1.9201495288612647E-2</v>
      </c>
      <c r="AB29" s="126">
        <f>'Railway (Battery)'!Y$299</f>
        <v>1.9143405070959213E-2</v>
      </c>
      <c r="AC29" s="126">
        <f>'Railway (Battery)'!Z$299</f>
        <v>1.9094173864490093E-2</v>
      </c>
      <c r="AD29" s="126">
        <f>'Railway (Battery)'!AA$299</f>
        <v>1.9050975137914442E-2</v>
      </c>
      <c r="AE29" s="126">
        <f>'Railway (Battery)'!AB$299</f>
        <v>1.9011862982583679E-2</v>
      </c>
      <c r="AF29" s="126">
        <f>'Railway (Battery)'!AC$299</f>
        <v>1.8975509562907757E-2</v>
      </c>
    </row>
    <row r="30" spans="1:32" x14ac:dyDescent="0.25">
      <c r="A30">
        <v>29</v>
      </c>
      <c r="B30" t="s">
        <v>227</v>
      </c>
      <c r="C30" t="s">
        <v>87</v>
      </c>
      <c r="D30" t="s">
        <v>225</v>
      </c>
      <c r="E30" s="126">
        <f>'Railway (Battery)'!B$408</f>
        <v>2.1221213958628901E-2</v>
      </c>
      <c r="F30" s="126">
        <f>'Railway (Battery)'!C$408</f>
        <v>2.1202410212745951E-2</v>
      </c>
      <c r="G30" s="126">
        <f>'Railway (Battery)'!D$408</f>
        <v>2.1175716663784594E-2</v>
      </c>
      <c r="H30" s="126">
        <f>'Railway (Battery)'!E$408</f>
        <v>2.1137998049502664E-2</v>
      </c>
      <c r="I30" s="126">
        <f>'Railway (Battery)'!F$408</f>
        <v>2.1085061849537731E-2</v>
      </c>
      <c r="J30" s="126">
        <f>'Railway (Battery)'!G$408</f>
        <v>2.1011500204087465E-2</v>
      </c>
      <c r="K30" s="126">
        <f>'Railway (Battery)'!H$408</f>
        <v>2.09107233730941E-2</v>
      </c>
      <c r="L30" s="126">
        <f>'Railway (Battery)'!I$408</f>
        <v>2.0775423630769417E-2</v>
      </c>
      <c r="M30" s="126">
        <f>'Railway (Battery)'!J$408</f>
        <v>2.0642862832793343E-2</v>
      </c>
      <c r="N30" s="126">
        <f>'Railway (Battery)'!K$408</f>
        <v>2.0464786724593134E-2</v>
      </c>
      <c r="O30" s="126">
        <f>'Railway (Battery)'!L$408</f>
        <v>2.0242743401614541E-2</v>
      </c>
      <c r="P30" s="126">
        <f>'Railway (Battery)'!M$408</f>
        <v>1.9986514239513552E-2</v>
      </c>
      <c r="Q30" s="126">
        <f>'Railway (Battery)'!N$408</f>
        <v>1.9714269379278563E-2</v>
      </c>
      <c r="R30" s="126">
        <f>'Railway (Battery)'!O$408</f>
        <v>1.9386747096857261E-2</v>
      </c>
      <c r="S30" s="126">
        <f>'Railway (Battery)'!P$408</f>
        <v>1.9087682917475854E-2</v>
      </c>
      <c r="T30" s="126">
        <f>'Railway (Battery)'!Q$408</f>
        <v>1.8831316635658561E-2</v>
      </c>
      <c r="U30" s="126">
        <f>'Railway (Battery)'!R$408</f>
        <v>1.8622729593431128E-2</v>
      </c>
      <c r="V30" s="126">
        <f>'Railway (Battery)'!S$408</f>
        <v>1.8459451230563445E-2</v>
      </c>
      <c r="W30" s="126">
        <f>'Railway (Battery)'!T$408</f>
        <v>1.833470480304162E-2</v>
      </c>
      <c r="X30" s="126">
        <f>'Railway (Battery)'!U$408</f>
        <v>1.8240365084011327E-2</v>
      </c>
      <c r="Y30" s="126">
        <f>'Railway (Battery)'!V$408</f>
        <v>1.8168809441766569E-2</v>
      </c>
      <c r="Z30" s="126">
        <f>'Railway (Battery)'!W$408</f>
        <v>1.8113727344762482E-2</v>
      </c>
      <c r="AA30" s="126">
        <f>'Railway (Battery)'!X$408</f>
        <v>1.8070268191530604E-2</v>
      </c>
      <c r="AB30" s="126">
        <f>'Railway (Battery)'!Y$408</f>
        <v>1.8034874058498334E-2</v>
      </c>
      <c r="AC30" s="126">
        <f>'Railway (Battery)'!Z$408</f>
        <v>1.8005013243418105E-2</v>
      </c>
      <c r="AD30" s="126">
        <f>'Railway (Battery)'!AA$408</f>
        <v>1.7978919888130239E-2</v>
      </c>
      <c r="AE30" s="126">
        <f>'Railway (Battery)'!AB$408</f>
        <v>1.7955378504229902E-2</v>
      </c>
      <c r="AF30" s="126">
        <f>'Railway (Battery)'!AC$408</f>
        <v>1.7933559776614191E-2</v>
      </c>
    </row>
    <row r="31" spans="1:32" x14ac:dyDescent="0.25">
      <c r="A31">
        <v>30</v>
      </c>
      <c r="B31" t="s">
        <v>227</v>
      </c>
      <c r="C31" t="s">
        <v>87</v>
      </c>
      <c r="D31" t="s">
        <v>226</v>
      </c>
      <c r="E31" s="126">
        <f>'Railway (Battery)'!B$513</f>
        <v>2.49301340667612E-2</v>
      </c>
      <c r="F31" s="126">
        <f>'Railway (Battery)'!C$513</f>
        <v>2.4900880731022784E-2</v>
      </c>
      <c r="G31" s="126">
        <f>'Railway (Battery)'!D$513</f>
        <v>2.4859348227219268E-2</v>
      </c>
      <c r="H31" s="126">
        <f>'Railway (Battery)'!E$513</f>
        <v>2.4800652105225567E-2</v>
      </c>
      <c r="I31" s="126">
        <f>'Railway (Battery)'!F$513</f>
        <v>2.4718255822889945E-2</v>
      </c>
      <c r="J31" s="126">
        <f>'Railway (Battery)'!G$513</f>
        <v>2.4603718381701788E-2</v>
      </c>
      <c r="K31" s="126">
        <f>'Railway (Battery)'!H$513</f>
        <v>2.4446735846770248E-2</v>
      </c>
      <c r="L31" s="126">
        <f>'Railway (Battery)'!I$513</f>
        <v>2.4235848194869881E-2</v>
      </c>
      <c r="M31" s="126">
        <f>'Railway (Battery)'!J$513</f>
        <v>2.4033604583017218E-2</v>
      </c>
      <c r="N31" s="126">
        <f>'Railway (Battery)'!K$513</f>
        <v>2.3760078951574601E-2</v>
      </c>
      <c r="O31" s="126">
        <f>'Railway (Battery)'!L$513</f>
        <v>2.3417471472468081E-2</v>
      </c>
      <c r="P31" s="126">
        <f>'Railway (Battery)'!M$513</f>
        <v>2.302084239242996E-2</v>
      </c>
      <c r="Q31" s="126">
        <f>'Railway (Battery)'!N$513</f>
        <v>2.2598464663464136E-2</v>
      </c>
      <c r="R31" s="126">
        <f>'Railway (Battery)'!O$513</f>
        <v>2.2082458138598687E-2</v>
      </c>
      <c r="S31" s="126">
        <f>'Railway (Battery)'!P$513</f>
        <v>2.1610420443878453E-2</v>
      </c>
      <c r="T31" s="126">
        <f>'Railway (Battery)'!Q$513</f>
        <v>2.1204987128103838E-2</v>
      </c>
      <c r="U31" s="126">
        <f>'Railway (Battery)'!R$513</f>
        <v>2.0874427914419631E-2</v>
      </c>
      <c r="V31" s="126">
        <f>'Railway (Battery)'!S$513</f>
        <v>2.0615074119348931E-2</v>
      </c>
      <c r="W31" s="126">
        <f>'Railway (Battery)'!T$513</f>
        <v>2.0416392229028388E-2</v>
      </c>
      <c r="X31" s="126">
        <f>'Railway (Battery)'!U$513</f>
        <v>2.0265652076276057E-2</v>
      </c>
      <c r="Y31" s="126">
        <f>'Railway (Battery)'!V$513</f>
        <v>2.0150868488109715E-2</v>
      </c>
      <c r="Z31" s="126">
        <f>'Railway (Battery)'!W$513</f>
        <v>2.0062099378894055E-2</v>
      </c>
      <c r="AA31" s="126">
        <f>'Railway (Battery)'!X$513</f>
        <v>1.999169319421025E-2</v>
      </c>
      <c r="AB31" s="126">
        <f>'Railway (Battery)'!Y$513</f>
        <v>1.9934032934983682E-2</v>
      </c>
      <c r="AC31" s="126">
        <f>'Railway (Battery)'!Z$513</f>
        <v>1.988511954286484E-2</v>
      </c>
      <c r="AD31" s="126">
        <f>'Railway (Battery)'!AA$513</f>
        <v>1.9842162633472302E-2</v>
      </c>
      <c r="AE31" s="126">
        <f>'Railway (Battery)'!AB$513</f>
        <v>1.9803241001600684E-2</v>
      </c>
      <c r="AF31" s="126">
        <f>'Railway (Battery)'!AC$513</f>
        <v>1.976704357882381E-2</v>
      </c>
    </row>
    <row r="32" spans="1:32" x14ac:dyDescent="0.25">
      <c r="A32">
        <v>31</v>
      </c>
      <c r="B32" t="s">
        <v>227</v>
      </c>
      <c r="C32" t="s">
        <v>103</v>
      </c>
      <c r="D32" t="s">
        <v>222</v>
      </c>
      <c r="E32" s="126">
        <f>'Railway (Hydrogen)'!B$85</f>
        <v>2.133769640797668E-2</v>
      </c>
      <c r="F32" s="126">
        <f>'Railway (Hydrogen)'!C$85</f>
        <v>2.1126575458193471E-2</v>
      </c>
      <c r="G32" s="126">
        <f>'Railway (Hydrogen)'!D$85</f>
        <v>2.090079514589778E-2</v>
      </c>
      <c r="H32" s="126">
        <f>'Railway (Hydrogen)'!E$85</f>
        <v>2.0709230018088998E-2</v>
      </c>
      <c r="I32" s="126">
        <f>'Railway (Hydrogen)'!F$85</f>
        <v>2.0489360043406908E-2</v>
      </c>
      <c r="J32" s="126">
        <f>'Railway (Hydrogen)'!G$85</f>
        <v>2.023122570562564E-2</v>
      </c>
      <c r="K32" s="126">
        <f>'Railway (Hydrogen)'!H$85</f>
        <v>1.9922727521760941E-2</v>
      </c>
      <c r="L32" s="126">
        <f>'Railway (Hydrogen)'!I$85</f>
        <v>1.9550497103949682E-2</v>
      </c>
      <c r="M32" s="126">
        <f>'Railway (Hydrogen)'!J$85</f>
        <v>1.9228932899363955E-2</v>
      </c>
      <c r="N32" s="126">
        <f>'Railway (Hydrogen)'!K$85</f>
        <v>1.8821236645145761E-2</v>
      </c>
      <c r="O32" s="126">
        <f>'Railway (Hydrogen)'!L$85</f>
        <v>1.8329831157951983E-2</v>
      </c>
      <c r="P32" s="126">
        <f>'Railway (Hydrogen)'!M$85</f>
        <v>1.7772633240648497E-2</v>
      </c>
      <c r="Q32" s="126">
        <f>'Railway (Hydrogen)'!N$85</f>
        <v>1.718358018755458E-2</v>
      </c>
      <c r="R32" s="126">
        <f>'Railway (Hydrogen)'!O$85</f>
        <v>1.6490543980127566E-2</v>
      </c>
      <c r="S32" s="126">
        <f>'Railway (Hydrogen)'!P$85</f>
        <v>1.5853231704726523E-2</v>
      </c>
      <c r="T32" s="126">
        <f>'Railway (Hydrogen)'!Q$85</f>
        <v>1.5298515125872311E-2</v>
      </c>
      <c r="U32" s="126">
        <f>'Railway (Hydrogen)'!R$85</f>
        <v>1.4835791728555052E-2</v>
      </c>
      <c r="V32" s="126">
        <f>'Railway (Hydrogen)'!S$85</f>
        <v>1.4460058189894459E-2</v>
      </c>
      <c r="W32" s="126">
        <f>'Railway (Hydrogen)'!T$85</f>
        <v>1.4165846788202577E-2</v>
      </c>
      <c r="X32" s="126">
        <f>'Railway (Hydrogen)'!U$85</f>
        <v>1.3929679565409036E-2</v>
      </c>
      <c r="Y32" s="126">
        <f>'Railway (Hydrogen)'!V$85</f>
        <v>1.3736914793299705E-2</v>
      </c>
      <c r="Z32" s="126">
        <f>'Railway (Hydrogen)'!W$85</f>
        <v>1.357546139516015E-2</v>
      </c>
      <c r="AA32" s="126">
        <f>'Railway (Hydrogen)'!X$85</f>
        <v>1.3436047950684333E-2</v>
      </c>
      <c r="AB32" s="126">
        <f>'Railway (Hydrogen)'!Y$85</f>
        <v>1.3328828643060781E-2</v>
      </c>
      <c r="AC32" s="126">
        <f>'Railway (Hydrogen)'!Z$85</f>
        <v>1.3232027970164879E-2</v>
      </c>
      <c r="AD32" s="126">
        <f>'Railway (Hydrogen)'!AA$85</f>
        <v>1.3142306483395353E-2</v>
      </c>
      <c r="AE32" s="126">
        <f>'Railway (Hydrogen)'!AB$85</f>
        <v>1.305737021091379E-2</v>
      </c>
      <c r="AF32" s="126">
        <f>'Railway (Hydrogen)'!AC$85</f>
        <v>1.2975657245638596E-2</v>
      </c>
    </row>
    <row r="33" spans="1:32" x14ac:dyDescent="0.25">
      <c r="A33">
        <v>32</v>
      </c>
      <c r="B33" t="s">
        <v>227</v>
      </c>
      <c r="C33" t="s">
        <v>103</v>
      </c>
      <c r="D33" t="s">
        <v>223</v>
      </c>
      <c r="E33" s="126">
        <f>'Railway (Hydrogen)'!B$191</f>
        <v>3.2054382492967229E-2</v>
      </c>
      <c r="F33" s="126">
        <f>'Railway (Hydrogen)'!C$191</f>
        <v>3.1738915279362359E-2</v>
      </c>
      <c r="G33" s="126">
        <f>'Railway (Hydrogen)'!D$191</f>
        <v>3.1401543331765952E-2</v>
      </c>
      <c r="H33" s="126">
        <f>'Railway (Hydrogen)'!E$191</f>
        <v>3.1115297380543406E-2</v>
      </c>
      <c r="I33" s="126">
        <f>'Railway (Hydrogen)'!F$191</f>
        <v>3.0786756947490411E-2</v>
      </c>
      <c r="J33" s="126">
        <f>'Railway (Hydrogen)'!G$191</f>
        <v>3.0401040038016386E-2</v>
      </c>
      <c r="K33" s="126">
        <f>'Railway (Hydrogen)'!H$191</f>
        <v>2.994006701489433E-2</v>
      </c>
      <c r="L33" s="126">
        <f>'Railway (Hydrogen)'!I$191</f>
        <v>2.9383862181378371E-2</v>
      </c>
      <c r="M33" s="126">
        <f>'Railway (Hydrogen)'!J$191</f>
        <v>2.8903365273232118E-2</v>
      </c>
      <c r="N33" s="126">
        <f>'Railway (Hydrogen)'!K$191</f>
        <v>2.8294165658284243E-2</v>
      </c>
      <c r="O33" s="126">
        <f>'Railway (Hydrogen)'!L$191</f>
        <v>2.7559883627276124E-2</v>
      </c>
      <c r="P33" s="126">
        <f>'Railway (Hydrogen)'!M$191</f>
        <v>2.6727291340349239E-2</v>
      </c>
      <c r="Q33" s="126">
        <f>'Railway (Hydrogen)'!N$191</f>
        <v>2.5847099556844069E-2</v>
      </c>
      <c r="R33" s="126">
        <f>'Railway (Hydrogen)'!O$191</f>
        <v>2.4811531075796575E-2</v>
      </c>
      <c r="S33" s="126">
        <f>'Railway (Hydrogen)'!P$191</f>
        <v>2.3859228010073313E-2</v>
      </c>
      <c r="T33" s="126">
        <f>'Railway (Hydrogen)'!Q$191</f>
        <v>2.303034346000251E-2</v>
      </c>
      <c r="U33" s="126">
        <f>'Railway (Hydrogen)'!R$191</f>
        <v>2.2338919605707816E-2</v>
      </c>
      <c r="V33" s="126">
        <f>'Railway (Hydrogen)'!S$191</f>
        <v>2.1777480238269975E-2</v>
      </c>
      <c r="W33" s="126">
        <f>'Railway (Hydrogen)'!T$191</f>
        <v>2.1337855221435623E-2</v>
      </c>
      <c r="X33" s="126">
        <f>'Railway (Hydrogen)'!U$191</f>
        <v>2.0984962645895458E-2</v>
      </c>
      <c r="Y33" s="126">
        <f>'Railway (Hydrogen)'!V$191</f>
        <v>2.0696924127686075E-2</v>
      </c>
      <c r="Z33" s="126">
        <f>'Railway (Hydrogen)'!W$191</f>
        <v>2.0455672590638588E-2</v>
      </c>
      <c r="AA33" s="126">
        <f>'Railway (Hydrogen)'!X$191</f>
        <v>2.0247354226624936E-2</v>
      </c>
      <c r="AB33" s="126">
        <f>'Railway (Hydrogen)'!Y$191</f>
        <v>2.0087141911099733E-2</v>
      </c>
      <c r="AC33" s="126">
        <f>'Railway (Hydrogen)'!Z$191</f>
        <v>1.9942497627408767E-2</v>
      </c>
      <c r="AD33" s="126">
        <f>'Railway (Hydrogen)'!AA$191</f>
        <v>1.9808431408680899E-2</v>
      </c>
      <c r="AE33" s="126">
        <f>'Railway (Hydrogen)'!AB$191</f>
        <v>1.9681515490382613E-2</v>
      </c>
      <c r="AF33" s="126">
        <f>'Railway (Hydrogen)'!AC$191</f>
        <v>1.9559415994822228E-2</v>
      </c>
    </row>
    <row r="34" spans="1:32" x14ac:dyDescent="0.25">
      <c r="A34">
        <v>33</v>
      </c>
      <c r="B34" t="s">
        <v>227</v>
      </c>
      <c r="C34" t="s">
        <v>103</v>
      </c>
      <c r="D34" t="s">
        <v>224</v>
      </c>
      <c r="E34" s="126">
        <f>'Railway (Hydrogen)'!B$299</f>
        <v>3.0784480924234296E-2</v>
      </c>
      <c r="F34" s="126">
        <f>'Railway (Hydrogen)'!C$299</f>
        <v>3.0469013710629409E-2</v>
      </c>
      <c r="G34" s="126">
        <f>'Railway (Hydrogen)'!D$299</f>
        <v>3.0131641763033012E-2</v>
      </c>
      <c r="H34" s="126">
        <f>'Railway (Hydrogen)'!E$299</f>
        <v>2.9845395811810463E-2</v>
      </c>
      <c r="I34" s="126">
        <f>'Railway (Hydrogen)'!F$299</f>
        <v>2.9516855378757468E-2</v>
      </c>
      <c r="J34" s="126">
        <f>'Railway (Hydrogen)'!G$299</f>
        <v>2.9131138469283443E-2</v>
      </c>
      <c r="K34" s="126">
        <f>'Railway (Hydrogen)'!H$299</f>
        <v>2.867016544616139E-2</v>
      </c>
      <c r="L34" s="126">
        <f>'Railway (Hydrogen)'!I$299</f>
        <v>2.8113960612645428E-2</v>
      </c>
      <c r="M34" s="126">
        <f>'Railway (Hydrogen)'!J$299</f>
        <v>2.7633463704499178E-2</v>
      </c>
      <c r="N34" s="126">
        <f>'Railway (Hydrogen)'!K$299</f>
        <v>2.7024264089551293E-2</v>
      </c>
      <c r="O34" s="126">
        <f>'Railway (Hydrogen)'!L$299</f>
        <v>2.6289982058543181E-2</v>
      </c>
      <c r="P34" s="126">
        <f>'Railway (Hydrogen)'!M$299</f>
        <v>2.5457389771616303E-2</v>
      </c>
      <c r="Q34" s="126">
        <f>'Railway (Hydrogen)'!N$299</f>
        <v>2.457719798811113E-2</v>
      </c>
      <c r="R34" s="126">
        <f>'Railway (Hydrogen)'!O$299</f>
        <v>2.3541629507063636E-2</v>
      </c>
      <c r="S34" s="126">
        <f>'Railway (Hydrogen)'!P$299</f>
        <v>2.2589326441340374E-2</v>
      </c>
      <c r="T34" s="126">
        <f>'Railway (Hydrogen)'!Q$299</f>
        <v>2.176044189126957E-2</v>
      </c>
      <c r="U34" s="126">
        <f>'Railway (Hydrogen)'!R$299</f>
        <v>2.1069018036974876E-2</v>
      </c>
      <c r="V34" s="126">
        <f>'Railway (Hydrogen)'!S$299</f>
        <v>2.0507578669537029E-2</v>
      </c>
      <c r="W34" s="126">
        <f>'Railway (Hydrogen)'!T$299</f>
        <v>2.0067953652702683E-2</v>
      </c>
      <c r="X34" s="126">
        <f>'Railway (Hydrogen)'!U$299</f>
        <v>1.9715061077162515E-2</v>
      </c>
      <c r="Y34" s="126">
        <f>'Railway (Hydrogen)'!V$299</f>
        <v>1.9427022558953136E-2</v>
      </c>
      <c r="Z34" s="126">
        <f>'Railway (Hydrogen)'!W$299</f>
        <v>1.9185771021905641E-2</v>
      </c>
      <c r="AA34" s="126">
        <f>'Railway (Hydrogen)'!X$299</f>
        <v>1.8977452657891993E-2</v>
      </c>
      <c r="AB34" s="126">
        <f>'Railway (Hydrogen)'!Y$299</f>
        <v>1.8817240342366794E-2</v>
      </c>
      <c r="AC34" s="126">
        <f>'Railway (Hydrogen)'!Z$299</f>
        <v>1.8672596058675831E-2</v>
      </c>
      <c r="AD34" s="126">
        <f>'Railway (Hydrogen)'!AA$299</f>
        <v>1.8538529839947963E-2</v>
      </c>
      <c r="AE34" s="126">
        <f>'Railway (Hydrogen)'!AB$299</f>
        <v>1.841161392164967E-2</v>
      </c>
      <c r="AF34" s="126">
        <f>'Railway (Hydrogen)'!AC$299</f>
        <v>1.8289514426089285E-2</v>
      </c>
    </row>
    <row r="35" spans="1:32" x14ac:dyDescent="0.25">
      <c r="A35">
        <v>34</v>
      </c>
      <c r="B35" t="s">
        <v>227</v>
      </c>
      <c r="C35" t="s">
        <v>103</v>
      </c>
      <c r="D35" t="s">
        <v>225</v>
      </c>
      <c r="E35" s="126">
        <f>'Railway (Hydrogen)'!B$408</f>
        <v>2.4968173966746804E-2</v>
      </c>
      <c r="F35" s="126">
        <f>'Railway (Hydrogen)'!C$408</f>
        <v>2.4780241075590646E-2</v>
      </c>
      <c r="G35" s="126">
        <f>'Railway (Hydrogen)'!D$408</f>
        <v>2.4579258904472892E-2</v>
      </c>
      <c r="H35" s="126">
        <f>'Railway (Hydrogen)'!E$408</f>
        <v>2.4408733959644931E-2</v>
      </c>
      <c r="I35" s="126">
        <f>'Railway (Hydrogen)'!F$408</f>
        <v>2.4213012975711937E-2</v>
      </c>
      <c r="J35" s="126">
        <f>'Railway (Hydrogen)'!G$408</f>
        <v>2.3983230320529063E-2</v>
      </c>
      <c r="K35" s="126">
        <f>'Railway (Hydrogen)'!H$408</f>
        <v>2.3708615434277106E-2</v>
      </c>
      <c r="L35" s="126">
        <f>'Railway (Hydrogen)'!I$408</f>
        <v>2.3377268219955779E-2</v>
      </c>
      <c r="M35" s="126">
        <f>'Railway (Hydrogen)'!J$408</f>
        <v>2.3091022393939058E-2</v>
      </c>
      <c r="N35" s="126">
        <f>'Railway (Hydrogen)'!K$408</f>
        <v>2.272810466432747E-2</v>
      </c>
      <c r="O35" s="126">
        <f>'Railway (Hydrogen)'!L$408</f>
        <v>2.2290671742425758E-2</v>
      </c>
      <c r="P35" s="126">
        <f>'Railway (Hydrogen)'!M$408</f>
        <v>2.1794672573927469E-2</v>
      </c>
      <c r="Q35" s="126">
        <f>'Railway (Hydrogen)'!N$408</f>
        <v>2.1270317016480508E-2</v>
      </c>
      <c r="R35" s="126">
        <f>'Railway (Hydrogen)'!O$408</f>
        <v>2.0653399092080253E-2</v>
      </c>
      <c r="S35" s="126">
        <f>'Railway (Hydrogen)'!P$408</f>
        <v>2.0086084770084157E-2</v>
      </c>
      <c r="T35" s="126">
        <f>'Railway (Hydrogen)'!Q$408</f>
        <v>1.9592294407055851E-2</v>
      </c>
      <c r="U35" s="126">
        <f>'Railway (Hydrogen)'!R$408</f>
        <v>1.9180393333511358E-2</v>
      </c>
      <c r="V35" s="126">
        <f>'Railway (Hydrogen)'!S$408</f>
        <v>1.8845927756801266E-2</v>
      </c>
      <c r="W35" s="126">
        <f>'Railway (Hydrogen)'!T$408</f>
        <v>1.8584030491807707E-2</v>
      </c>
      <c r="X35" s="126">
        <f>'Railway (Hydrogen)'!U$408</f>
        <v>1.8373802236291197E-2</v>
      </c>
      <c r="Y35" s="126">
        <f>'Railway (Hydrogen)'!V$408</f>
        <v>1.8202209407759656E-2</v>
      </c>
      <c r="Z35" s="126">
        <f>'Railway (Hydrogen)'!W$408</f>
        <v>1.805848892937742E-2</v>
      </c>
      <c r="AA35" s="126">
        <f>'Railway (Hydrogen)'!X$408</f>
        <v>1.7934387689243339E-2</v>
      </c>
      <c r="AB35" s="126">
        <f>'Railway (Hydrogen)'!Y$408</f>
        <v>1.7838944605597935E-2</v>
      </c>
      <c r="AC35" s="126">
        <f>'Railway (Hydrogen)'!Z$408</f>
        <v>1.7752775846212043E-2</v>
      </c>
      <c r="AD35" s="126">
        <f>'Railway (Hydrogen)'!AA$408</f>
        <v>1.767290874432215E-2</v>
      </c>
      <c r="AE35" s="126">
        <f>'Railway (Hydrogen)'!AB$408</f>
        <v>1.7597301282022089E-2</v>
      </c>
      <c r="AF35" s="126">
        <f>'Railway (Hydrogen)'!AC$408</f>
        <v>1.7524563101254713E-2</v>
      </c>
    </row>
    <row r="36" spans="1:32" x14ac:dyDescent="0.25">
      <c r="A36">
        <v>35</v>
      </c>
      <c r="B36" t="s">
        <v>227</v>
      </c>
      <c r="C36" t="s">
        <v>103</v>
      </c>
      <c r="D36" t="s">
        <v>226</v>
      </c>
      <c r="E36" s="126">
        <f>'Railway (Hydrogen)'!B$513</f>
        <v>3.1543189491869697E-2</v>
      </c>
      <c r="F36" s="126">
        <f>'Railway (Hydrogen)'!C$513</f>
        <v>3.1228602141358964E-2</v>
      </c>
      <c r="G36" s="126">
        <f>'Railway (Hydrogen)'!D$513</f>
        <v>3.0892171150898165E-2</v>
      </c>
      <c r="H36" s="126">
        <f>'Railway (Hydrogen)'!E$513</f>
        <v>3.0606723562349988E-2</v>
      </c>
      <c r="I36" s="126">
        <f>'Railway (Hydrogen)'!F$513</f>
        <v>3.0279099454637672E-2</v>
      </c>
      <c r="J36" s="126">
        <f>'Railway (Hydrogen)'!G$513</f>
        <v>2.9894458340234572E-2</v>
      </c>
      <c r="K36" s="126">
        <f>'Railway (Hydrogen)'!H$513</f>
        <v>2.9434771007456721E-2</v>
      </c>
      <c r="L36" s="126">
        <f>'Railway (Hydrogen)'!I$513</f>
        <v>2.8880117473361722E-2</v>
      </c>
      <c r="M36" s="126">
        <f>'Railway (Hydrogen)'!J$513</f>
        <v>2.8400960709224411E-2</v>
      </c>
      <c r="N36" s="126">
        <f>'Railway (Hydrogen)'!K$513</f>
        <v>2.7793460200348563E-2</v>
      </c>
      <c r="O36" s="126">
        <f>'Railway (Hydrogen)'!L$513</f>
        <v>2.7061226140197382E-2</v>
      </c>
      <c r="P36" s="126">
        <f>'Railway (Hydrogen)'!M$513</f>
        <v>2.6230956019233066E-2</v>
      </c>
      <c r="Q36" s="126">
        <f>'Railway (Hydrogen)'!N$513</f>
        <v>2.5353219160463902E-2</v>
      </c>
      <c r="R36" s="126">
        <f>'Railway (Hydrogen)'!O$513</f>
        <v>2.4320538962092533E-2</v>
      </c>
      <c r="S36" s="126">
        <f>'Railway (Hydrogen)'!P$513</f>
        <v>2.3370891945194115E-2</v>
      </c>
      <c r="T36" s="126">
        <f>'Railway (Hydrogen)'!Q$513</f>
        <v>2.2544319219913549E-2</v>
      </c>
      <c r="U36" s="126">
        <f>'Railway (Hydrogen)'!R$513</f>
        <v>2.1854823801619717E-2</v>
      </c>
      <c r="V36" s="126">
        <f>'Railway (Hydrogen)'!S$513</f>
        <v>2.1294950333133351E-2</v>
      </c>
      <c r="W36" s="126">
        <f>'Railway (Hydrogen)'!T$513</f>
        <v>2.0856551465359491E-2</v>
      </c>
      <c r="X36" s="126">
        <f>'Railway (Hydrogen)'!U$513</f>
        <v>2.0504643135217979E-2</v>
      </c>
      <c r="Y36" s="126">
        <f>'Railway (Hydrogen)'!V$513</f>
        <v>2.0217407979294562E-2</v>
      </c>
      <c r="Z36" s="126">
        <f>'Railway (Hydrogen)'!W$513</f>
        <v>1.9976829311929557E-2</v>
      </c>
      <c r="AA36" s="126">
        <f>'Railway (Hydrogen)'!X$513</f>
        <v>1.9769091964365233E-2</v>
      </c>
      <c r="AB36" s="126">
        <f>'Railway (Hydrogen)'!Y$513</f>
        <v>1.960932649370245E-2</v>
      </c>
      <c r="AC36" s="126">
        <f>'Railway (Hydrogen)'!Z$513</f>
        <v>1.9465085634397635E-2</v>
      </c>
      <c r="AD36" s="126">
        <f>'Railway (Hydrogen)'!AA$513</f>
        <v>1.9331393336993258E-2</v>
      </c>
      <c r="AE36" s="126">
        <f>'Railway (Hydrogen)'!AB$513</f>
        <v>1.9204831397263124E-2</v>
      </c>
      <c r="AF36" s="126">
        <f>'Railway (Hydrogen)'!AC$513</f>
        <v>1.9083072446885646E-2</v>
      </c>
    </row>
    <row r="37" spans="1:32" x14ac:dyDescent="0.25">
      <c r="A37">
        <v>36</v>
      </c>
      <c r="B37" t="s">
        <v>168</v>
      </c>
      <c r="C37" t="s">
        <v>279</v>
      </c>
      <c r="D37" t="s">
        <v>222</v>
      </c>
      <c r="E37" s="126">
        <f>'Short-sea (MGO)'!B$85</f>
        <v>1.032270109405839E-2</v>
      </c>
      <c r="F37" s="126">
        <f>'Short-sea (MGO)'!C$85</f>
        <v>1.0149905130317143E-2</v>
      </c>
      <c r="G37" s="126">
        <f>'Short-sea (MGO)'!D$85</f>
        <v>9.9769801246638156E-3</v>
      </c>
      <c r="H37" s="126">
        <f>'Short-sea (MGO)'!E$85</f>
        <v>9.8038781951643571E-3</v>
      </c>
      <c r="I37" s="126">
        <f>'Short-sea (MGO)'!F$85</f>
        <v>9.6305345725286075E-3</v>
      </c>
      <c r="J37" s="126">
        <f>'Short-sea (MGO)'!G$85</f>
        <v>9.4568623393620523E-3</v>
      </c>
      <c r="K37" s="126">
        <f>'Short-sea (MGO)'!H$85</f>
        <v>9.2827461552562537E-3</v>
      </c>
      <c r="L37" s="126">
        <f>'Short-sea (MGO)'!I$85</f>
        <v>9.1080354150267599E-3</v>
      </c>
      <c r="M37" s="126">
        <f>'Short-sea (MGO)'!J$85</f>
        <v>9.0543561934691534E-3</v>
      </c>
      <c r="N37" s="126">
        <f>'Short-sea (MGO)'!K$85</f>
        <v>8.9993718167791052E-3</v>
      </c>
      <c r="O37" s="126">
        <f>'Short-sea (MGO)'!L$85</f>
        <v>8.942643441232679E-3</v>
      </c>
      <c r="P37" s="126">
        <f>'Short-sea (MGO)'!M$85</f>
        <v>8.8836488411069524E-3</v>
      </c>
      <c r="Q37" s="126">
        <f>'Short-sea (MGO)'!N$85</f>
        <v>8.8218283856102784E-3</v>
      </c>
      <c r="R37" s="126">
        <f>'Short-sea (MGO)'!O$85</f>
        <v>8.7566931761626221E-3</v>
      </c>
      <c r="S37" s="126">
        <f>'Short-sea (MGO)'!P$85</f>
        <v>8.6880113107290144E-3</v>
      </c>
      <c r="T37" s="126">
        <f>'Short-sea (MGO)'!Q$85</f>
        <v>8.6160467951829217E-3</v>
      </c>
      <c r="U37" s="126">
        <f>'Short-sea (MGO)'!R$85</f>
        <v>8.5417485839832993E-3</v>
      </c>
      <c r="V37" s="126">
        <f>'Short-sea (MGO)'!S$85</f>
        <v>8.4667273816306371E-3</v>
      </c>
      <c r="W37" s="126">
        <f>'Short-sea (MGO)'!T$85</f>
        <v>8.3929204279309284E-3</v>
      </c>
      <c r="X37" s="126">
        <f>'Short-sea (MGO)'!U$85</f>
        <v>8.3220555056878233E-3</v>
      </c>
      <c r="Y37" s="126">
        <f>'Short-sea (MGO)'!V$85</f>
        <v>8.2552043156252797E-3</v>
      </c>
      <c r="Z37" s="126">
        <f>'Short-sea (MGO)'!W$85</f>
        <v>8.1926510364980151E-3</v>
      </c>
      <c r="AA37" s="126">
        <f>'Short-sea (MGO)'!X$85</f>
        <v>8.134060817701412E-3</v>
      </c>
      <c r="AB37" s="126">
        <f>'Short-sea (MGO)'!Y$85</f>
        <v>8.0787698500953374E-3</v>
      </c>
      <c r="AC37" s="126">
        <f>'Short-sea (MGO)'!Z$85</f>
        <v>8.0260357528907852E-3</v>
      </c>
      <c r="AD37" s="126">
        <f>'Short-sea (MGO)'!AA$85</f>
        <v>7.9751863268048041E-3</v>
      </c>
      <c r="AE37" s="126">
        <f>'Short-sea (MGO)'!AB$85</f>
        <v>7.9256785400569352E-3</v>
      </c>
      <c r="AF37" s="126">
        <f>'Short-sea (MGO)'!AC$85</f>
        <v>7.8771031584756231E-3</v>
      </c>
    </row>
    <row r="38" spans="1:32" x14ac:dyDescent="0.25">
      <c r="A38">
        <v>37</v>
      </c>
      <c r="B38" t="s">
        <v>168</v>
      </c>
      <c r="C38" t="s">
        <v>279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279</v>
      </c>
      <c r="D39" t="s">
        <v>224</v>
      </c>
      <c r="E39" s="126">
        <f>'Short-sea (MGO)'!B$191</f>
        <v>1.2875560078180342E-2</v>
      </c>
      <c r="F39" s="126">
        <f>'Short-sea (MGO)'!C$191</f>
        <v>1.2670616028161654E-2</v>
      </c>
      <c r="G39" s="126">
        <f>'Short-sea (MGO)'!D$191</f>
        <v>1.2465518928433287E-2</v>
      </c>
      <c r="H39" s="126">
        <f>'Short-sea (MGO)'!E$191</f>
        <v>1.2260211988794397E-2</v>
      </c>
      <c r="I39" s="126">
        <f>'Short-sea (MGO)'!F$191</f>
        <v>1.2054618389854319E-2</v>
      </c>
      <c r="J39" s="126">
        <f>'Short-sea (MGO)'!G$191</f>
        <v>1.1848635043540497E-2</v>
      </c>
      <c r="K39" s="126">
        <f>'Short-sea (MGO)'!H$191</f>
        <v>1.1642125150763854E-2</v>
      </c>
      <c r="L39" s="126">
        <f>'Short-sea (MGO)'!I$191</f>
        <v>1.1434910086770734E-2</v>
      </c>
      <c r="M39" s="126">
        <f>'Short-sea (MGO)'!J$191</f>
        <v>1.1371244033295433E-2</v>
      </c>
      <c r="N39" s="126">
        <f>'Short-sea (MGO)'!K$191</f>
        <v>1.1306030005128163E-2</v>
      </c>
      <c r="O39" s="126">
        <f>'Short-sea (MGO)'!L$191</f>
        <v>1.123874751320101E-2</v>
      </c>
      <c r="P39" s="126">
        <f>'Short-sea (MGO)'!M$191</f>
        <v>1.1168777173517009E-2</v>
      </c>
      <c r="Q39" s="126">
        <f>'Short-sea (MGO)'!N$191</f>
        <v>1.1095455237927928E-2</v>
      </c>
      <c r="R39" s="126">
        <f>'Short-sea (MGO)'!O$191</f>
        <v>1.1018201849978381E-2</v>
      </c>
      <c r="S39" s="126">
        <f>'Short-sea (MGO)'!P$191</f>
        <v>1.0936741963068755E-2</v>
      </c>
      <c r="T39" s="126">
        <f>'Short-sea (MGO)'!Q$191</f>
        <v>1.0851388700444321E-2</v>
      </c>
      <c r="U39" s="126">
        <f>'Short-sea (MGO)'!R$191</f>
        <v>1.0763267566230816E-2</v>
      </c>
      <c r="V39" s="126">
        <f>'Short-sea (MGO)'!S$191</f>
        <v>1.0674288930882309E-2</v>
      </c>
      <c r="W39" s="126">
        <f>'Short-sea (MGO)'!T$191</f>
        <v>1.0586750450912886E-2</v>
      </c>
      <c r="X39" s="126">
        <f>'Short-sea (MGO)'!U$191</f>
        <v>1.050270135708967E-2</v>
      </c>
      <c r="Y39" s="126">
        <f>'Short-sea (MGO)'!V$191</f>
        <v>1.0423412736317814E-2</v>
      </c>
      <c r="Z39" s="126">
        <f>'Short-sea (MGO)'!W$191</f>
        <v>1.0349221637818037E-2</v>
      </c>
      <c r="AA39" s="126">
        <f>'Short-sea (MGO)'!X$191</f>
        <v>1.0279730913198807E-2</v>
      </c>
      <c r="AB39" s="126">
        <f>'Short-sea (MGO)'!Y$191</f>
        <v>1.0214153253945089E-2</v>
      </c>
      <c r="AC39" s="126">
        <f>'Short-sea (MGO)'!Z$191</f>
        <v>1.0151608161911787E-2</v>
      </c>
      <c r="AD39" s="126">
        <f>'Short-sea (MGO)'!AA$191</f>
        <v>1.0091298377484226E-2</v>
      </c>
      <c r="AE39" s="126">
        <f>'Short-sea (MGO)'!AB$191</f>
        <v>1.0032579839713498E-2</v>
      </c>
      <c r="AF39" s="126">
        <f>'Short-sea (MGO)'!AC$191</f>
        <v>9.9749671778379886E-3</v>
      </c>
    </row>
    <row r="40" spans="1:32" x14ac:dyDescent="0.25">
      <c r="A40">
        <v>39</v>
      </c>
      <c r="B40" t="s">
        <v>168</v>
      </c>
      <c r="C40" t="s">
        <v>279</v>
      </c>
      <c r="D40" t="s">
        <v>225</v>
      </c>
      <c r="E40" s="126">
        <f>'Short-sea (MGO)'!B$299</f>
        <v>1.3496447195181512E-2</v>
      </c>
      <c r="F40" s="126">
        <f>'Short-sea (MGO)'!C$299</f>
        <v>1.3270483242596807E-2</v>
      </c>
      <c r="G40" s="126">
        <f>'Short-sea (MGO)'!D$299</f>
        <v>1.3044350542896297E-2</v>
      </c>
      <c r="H40" s="126">
        <f>'Short-sea (MGO)'!E$299</f>
        <v>1.281798648124316E-2</v>
      </c>
      <c r="I40" s="126">
        <f>'Short-sea (MGO)'!F$299</f>
        <v>1.2591306359334871E-2</v>
      </c>
      <c r="J40" s="126">
        <f>'Short-sea (MGO)'!G$299</f>
        <v>1.2364196515963223E-2</v>
      </c>
      <c r="K40" s="126">
        <f>'Short-sea (MGO)'!H$299</f>
        <v>1.2136506121363333E-2</v>
      </c>
      <c r="L40" s="126">
        <f>'Short-sea (MGO)'!I$299</f>
        <v>1.1908038230293993E-2</v>
      </c>
      <c r="M40" s="126">
        <f>'Short-sea (MGO)'!J$299</f>
        <v>1.18378423251802E-2</v>
      </c>
      <c r="N40" s="126">
        <f>'Short-sea (MGO)'!K$299</f>
        <v>1.176593967873937E-2</v>
      </c>
      <c r="O40" s="126">
        <f>'Short-sea (MGO)'!L$299</f>
        <v>1.1691756418409426E-2</v>
      </c>
      <c r="P40" s="126">
        <f>'Short-sea (MGO)'!M$299</f>
        <v>1.1614609633629631E-2</v>
      </c>
      <c r="Q40" s="126">
        <f>'Short-sea (MGO)'!N$299</f>
        <v>1.1533767499518595E-2</v>
      </c>
      <c r="R40" s="126">
        <f>'Short-sea (MGO)'!O$299</f>
        <v>1.1448590687163964E-2</v>
      </c>
      <c r="S40" s="126">
        <f>'Short-sea (MGO)'!P$299</f>
        <v>1.1358775940058479E-2</v>
      </c>
      <c r="T40" s="126">
        <f>'Short-sea (MGO)'!Q$299</f>
        <v>1.1264668496652053E-2</v>
      </c>
      <c r="U40" s="126">
        <f>'Short-sea (MGO)'!R$299</f>
        <v>1.1167509297391007E-2</v>
      </c>
      <c r="V40" s="126">
        <f>'Short-sea (MGO)'!S$299</f>
        <v>1.1069404648160603E-2</v>
      </c>
      <c r="W40" s="126">
        <f>'Short-sea (MGO)'!T$299</f>
        <v>1.0972887862553292E-2</v>
      </c>
      <c r="X40" s="126">
        <f>'Short-sea (MGO)'!U$299</f>
        <v>1.0880218348850772E-2</v>
      </c>
      <c r="Y40" s="126">
        <f>'Short-sea (MGO)'!V$299</f>
        <v>1.0792797561845905E-2</v>
      </c>
      <c r="Z40" s="126">
        <f>'Short-sea (MGO)'!W$299</f>
        <v>1.071099711991025E-2</v>
      </c>
      <c r="AA40" s="126">
        <f>'Short-sea (MGO)'!X$299</f>
        <v>1.0634379141483925E-2</v>
      </c>
      <c r="AB40" s="126">
        <f>'Short-sea (MGO)'!Y$299</f>
        <v>1.0562075568460595E-2</v>
      </c>
      <c r="AC40" s="126">
        <f>'Short-sea (MGO)'!Z$299</f>
        <v>1.0493115595193104E-2</v>
      </c>
      <c r="AD40" s="126">
        <f>'Short-sea (MGO)'!AA$299</f>
        <v>1.0426620191849898E-2</v>
      </c>
      <c r="AE40" s="126">
        <f>'Short-sea (MGO)'!AB$299</f>
        <v>1.0361879239948839E-2</v>
      </c>
      <c r="AF40" s="126">
        <f>'Short-sea (MGO)'!AC$299</f>
        <v>1.0298357587111739E-2</v>
      </c>
    </row>
    <row r="41" spans="1:32" x14ac:dyDescent="0.25">
      <c r="A41">
        <v>40</v>
      </c>
      <c r="B41" t="s">
        <v>168</v>
      </c>
      <c r="C41" t="s">
        <v>279</v>
      </c>
      <c r="D41" t="s">
        <v>226</v>
      </c>
      <c r="E41" s="126">
        <f>'Short-sea (MGO)'!B$408</f>
        <v>1.0317566302354808E-2</v>
      </c>
      <c r="F41" s="126">
        <f>'Short-sea (MGO)'!C$408</f>
        <v>1.0144770338613562E-2</v>
      </c>
      <c r="G41" s="126">
        <f>'Short-sea (MGO)'!D$408</f>
        <v>9.9718453329602323E-3</v>
      </c>
      <c r="H41" s="126">
        <f>'Short-sea (MGO)'!E$408</f>
        <v>9.7987434034607756E-3</v>
      </c>
      <c r="I41" s="126">
        <f>'Short-sea (MGO)'!F$408</f>
        <v>9.6253997808250259E-3</v>
      </c>
      <c r="J41" s="126">
        <f>'Short-sea (MGO)'!G$408</f>
        <v>9.451727547658469E-3</v>
      </c>
      <c r="K41" s="126">
        <f>'Short-sea (MGO)'!H$408</f>
        <v>9.2776113635526722E-3</v>
      </c>
      <c r="L41" s="126">
        <f>'Short-sea (MGO)'!I$408</f>
        <v>9.1029006233231766E-3</v>
      </c>
      <c r="M41" s="126">
        <f>'Short-sea (MGO)'!J$408</f>
        <v>9.0492214017655719E-3</v>
      </c>
      <c r="N41" s="126">
        <f>'Short-sea (MGO)'!K$408</f>
        <v>8.9942370250755237E-3</v>
      </c>
      <c r="O41" s="126">
        <f>'Short-sea (MGO)'!L$408</f>
        <v>8.9375086495290974E-3</v>
      </c>
      <c r="P41" s="126">
        <f>'Short-sea (MGO)'!M$408</f>
        <v>8.8785140494033708E-3</v>
      </c>
      <c r="Q41" s="126">
        <f>'Short-sea (MGO)'!N$408</f>
        <v>8.8166935939066951E-3</v>
      </c>
      <c r="R41" s="126">
        <f>'Short-sea (MGO)'!O$408</f>
        <v>8.7515583844590371E-3</v>
      </c>
      <c r="S41" s="126">
        <f>'Short-sea (MGO)'!P$408</f>
        <v>8.6828765190254311E-3</v>
      </c>
      <c r="T41" s="126">
        <f>'Short-sea (MGO)'!Q$408</f>
        <v>8.6109120034793402E-3</v>
      </c>
      <c r="U41" s="126">
        <f>'Short-sea (MGO)'!R$408</f>
        <v>8.536613792279716E-3</v>
      </c>
      <c r="V41" s="126">
        <f>'Short-sea (MGO)'!S$408</f>
        <v>8.4615925899270555E-3</v>
      </c>
      <c r="W41" s="126">
        <f>'Short-sea (MGO)'!T$408</f>
        <v>8.3877856362273451E-3</v>
      </c>
      <c r="X41" s="126">
        <f>'Short-sea (MGO)'!U$408</f>
        <v>8.3169207139842417E-3</v>
      </c>
      <c r="Y41" s="126">
        <f>'Short-sea (MGO)'!V$408</f>
        <v>8.2500695239216982E-3</v>
      </c>
      <c r="Z41" s="126">
        <f>'Short-sea (MGO)'!W$408</f>
        <v>8.1875162447944318E-3</v>
      </c>
      <c r="AA41" s="126">
        <f>'Short-sea (MGO)'!X$408</f>
        <v>8.1289260259978305E-3</v>
      </c>
      <c r="AB41" s="126">
        <f>'Short-sea (MGO)'!Y$408</f>
        <v>8.0736350583917524E-3</v>
      </c>
      <c r="AC41" s="126">
        <f>'Short-sea (MGO)'!Z$408</f>
        <v>8.0209009611872037E-3</v>
      </c>
      <c r="AD41" s="126">
        <f>'Short-sea (MGO)'!AA$408</f>
        <v>7.9700515351012226E-3</v>
      </c>
      <c r="AE41" s="126">
        <f>'Short-sea (MGO)'!AB$408</f>
        <v>7.9205437483533536E-3</v>
      </c>
      <c r="AF41" s="126">
        <f>'Short-sea (MGO)'!AC$408</f>
        <v>7.8719683667720398E-3</v>
      </c>
    </row>
    <row r="42" spans="1:32" x14ac:dyDescent="0.25">
      <c r="A42">
        <v>41</v>
      </c>
      <c r="B42" t="s">
        <v>168</v>
      </c>
      <c r="C42" t="s">
        <v>280</v>
      </c>
      <c r="D42" t="s">
        <v>222</v>
      </c>
      <c r="E42" s="126">
        <f>'Short-sea (HFO)'!B$85</f>
        <v>6.723447093602411E-3</v>
      </c>
      <c r="F42" s="126">
        <f>'Short-sea (HFO)'!C$85</f>
        <v>6.6460274963496546E-3</v>
      </c>
      <c r="G42" s="126">
        <f>'Short-sea (HFO)'!D$85</f>
        <v>6.5685672629326409E-3</v>
      </c>
      <c r="H42" s="126">
        <f>'Short-sea (HFO)'!E$85</f>
        <v>6.4910523030152151E-3</v>
      </c>
      <c r="I42" s="126">
        <f>'Short-sea (HFO)'!F$85</f>
        <v>6.4134640570208149E-3</v>
      </c>
      <c r="J42" s="126">
        <f>'Short-sea (HFO)'!G$85</f>
        <v>6.3357783759992233E-3</v>
      </c>
      <c r="K42" s="126">
        <f>'Short-sea (HFO)'!H$85</f>
        <v>6.2579643671701549E-3</v>
      </c>
      <c r="L42" s="126">
        <f>'Short-sea (HFO)'!I$85</f>
        <v>6.1799834639484725E-3</v>
      </c>
      <c r="M42" s="126">
        <f>'Short-sea (HFO)'!J$85</f>
        <v>6.1563968084015971E-3</v>
      </c>
      <c r="N42" s="126">
        <f>'Short-sea (HFO)'!K$85</f>
        <v>6.1324174663546461E-3</v>
      </c>
      <c r="O42" s="126">
        <f>'Short-sea (HFO)'!L$85</f>
        <v>6.1079173282897149E-3</v>
      </c>
      <c r="P42" s="126">
        <f>'Short-sea (HFO)'!M$85</f>
        <v>6.0827461416992253E-3</v>
      </c>
      <c r="Q42" s="126">
        <f>'Short-sea (HFO)'!N$85</f>
        <v>6.0567464632568357E-3</v>
      </c>
      <c r="R42" s="126">
        <f>'Short-sea (HFO)'!O$85</f>
        <v>6.0297869934913617E-3</v>
      </c>
      <c r="S42" s="126">
        <f>'Short-sea (HFO)'!P$85</f>
        <v>6.0018182442824804E-3</v>
      </c>
      <c r="T42" s="126">
        <f>'Short-sea (HFO)'!Q$85</f>
        <v>5.9729417689717403E-3</v>
      </c>
      <c r="U42" s="126">
        <f>'Short-sea (HFO)'!R$85</f>
        <v>5.9434615924388434E-3</v>
      </c>
      <c r="V42" s="126">
        <f>'Short-sea (HFO)'!S$85</f>
        <v>5.9138703890096655E-3</v>
      </c>
      <c r="W42" s="126">
        <f>'Short-sea (HFO)'!T$85</f>
        <v>5.8847440253376182E-3</v>
      </c>
      <c r="X42" s="126">
        <f>'Short-sea (HFO)'!U$85</f>
        <v>5.8565814331507345E-3</v>
      </c>
      <c r="Y42" s="126">
        <f>'Short-sea (HFO)'!V$85</f>
        <v>5.8296769504427391E-3</v>
      </c>
      <c r="Z42" s="126">
        <f>'Short-sea (HFO)'!W$85</f>
        <v>5.8040890142721131E-3</v>
      </c>
      <c r="AA42" s="126">
        <f>'Short-sea (HFO)'!X$85</f>
        <v>5.7796963743175968E-3</v>
      </c>
      <c r="AB42" s="126">
        <f>'Short-sea (HFO)'!Y$85</f>
        <v>5.7562868497919324E-3</v>
      </c>
      <c r="AC42" s="126">
        <f>'Short-sea (HFO)'!Z$85</f>
        <v>5.7336313647403953E-3</v>
      </c>
      <c r="AD42" s="126">
        <f>'Short-sea (HFO)'!AA$85</f>
        <v>5.7115264520028446E-3</v>
      </c>
      <c r="AE42" s="126">
        <f>'Short-sea (HFO)'!AB$85</f>
        <v>5.6898099666033309E-3</v>
      </c>
      <c r="AF42" s="126">
        <f>'Short-sea (HFO)'!AC$85</f>
        <v>5.6683610640826379E-3</v>
      </c>
    </row>
    <row r="43" spans="1:32" x14ac:dyDescent="0.25">
      <c r="A43">
        <v>42</v>
      </c>
      <c r="B43" t="s">
        <v>168</v>
      </c>
      <c r="C43" t="s">
        <v>280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280</v>
      </c>
      <c r="D44" t="s">
        <v>224</v>
      </c>
      <c r="E44" s="126">
        <f>'Short-sea (HFO)'!B$191</f>
        <v>8.6066774264767394E-3</v>
      </c>
      <c r="F44" s="126">
        <f>'Short-sea (HFO)'!C$191</f>
        <v>8.5148541832234682E-3</v>
      </c>
      <c r="G44" s="126">
        <f>'Short-sea (HFO)'!D$191</f>
        <v>8.4229827435893349E-3</v>
      </c>
      <c r="H44" s="126">
        <f>'Short-sea (HFO)'!E$191</f>
        <v>8.3310463957802974E-3</v>
      </c>
      <c r="I44" s="126">
        <f>'Short-sea (HFO)'!F$191</f>
        <v>8.2390231272753099E-3</v>
      </c>
      <c r="J44" s="126">
        <f>'Short-sea (HFO)'!G$191</f>
        <v>8.1468842962962133E-3</v>
      </c>
      <c r="K44" s="126">
        <f>'Short-sea (HFO)'!H$191</f>
        <v>8.0545932625687121E-3</v>
      </c>
      <c r="L44" s="126">
        <f>'Short-sea (HFO)'!I$191</f>
        <v>7.962104284329044E-3</v>
      </c>
      <c r="M44" s="126">
        <f>'Short-sea (HFO)'!J$191</f>
        <v>7.9341294137967033E-3</v>
      </c>
      <c r="N44" s="126">
        <f>'Short-sea (HFO)'!K$191</f>
        <v>7.9056887988107841E-3</v>
      </c>
      <c r="O44" s="126">
        <f>'Short-sea (HFO)'!L$191</f>
        <v>7.8766304955244712E-3</v>
      </c>
      <c r="P44" s="126">
        <f>'Short-sea (HFO)'!M$191</f>
        <v>7.8467762974752837E-3</v>
      </c>
      <c r="Q44" s="126">
        <f>'Short-sea (HFO)'!N$191</f>
        <v>7.8159394695552428E-3</v>
      </c>
      <c r="R44" s="126">
        <f>'Short-sea (HFO)'!O$191</f>
        <v>7.7839642844845626E-3</v>
      </c>
      <c r="S44" s="126">
        <f>'Short-sea (HFO)'!P$191</f>
        <v>7.7507920470507741E-3</v>
      </c>
      <c r="T44" s="126">
        <f>'Short-sea (HFO)'!Q$191</f>
        <v>7.7165432042403601E-3</v>
      </c>
      <c r="U44" s="126">
        <f>'Short-sea (HFO)'!R$191</f>
        <v>7.681578343701344E-3</v>
      </c>
      <c r="V44" s="126">
        <f>'Short-sea (HFO)'!S$191</f>
        <v>7.6464818000992951E-3</v>
      </c>
      <c r="W44" s="126">
        <f>'Short-sea (HFO)'!T$191</f>
        <v>7.6119365780696578E-3</v>
      </c>
      <c r="X44" s="126">
        <f>'Short-sea (HFO)'!U$191</f>
        <v>7.578534433848004E-3</v>
      </c>
      <c r="Y44" s="126">
        <f>'Short-sea (HFO)'!V$191</f>
        <v>7.5466244659850336E-3</v>
      </c>
      <c r="Z44" s="126">
        <f>'Short-sea (HFO)'!W$191</f>
        <v>7.5162759835501062E-3</v>
      </c>
      <c r="AA44" s="126">
        <f>'Short-sea (HFO)'!X$191</f>
        <v>7.4873451780226551E-3</v>
      </c>
      <c r="AB44" s="126">
        <f>'Short-sea (HFO)'!Y$191</f>
        <v>7.4595803931201236E-3</v>
      </c>
      <c r="AC44" s="126">
        <f>'Short-sea (HFO)'!Z$191</f>
        <v>7.43270993410551E-3</v>
      </c>
      <c r="AD44" s="126">
        <f>'Short-sea (HFO)'!AA$191</f>
        <v>7.406492479463297E-3</v>
      </c>
      <c r="AE44" s="126">
        <f>'Short-sea (HFO)'!AB$191</f>
        <v>7.3807357177103862E-3</v>
      </c>
      <c r="AF44" s="126">
        <f>'Short-sea (HFO)'!AC$191</f>
        <v>7.3552963216974732E-3</v>
      </c>
    </row>
    <row r="45" spans="1:32" x14ac:dyDescent="0.25">
      <c r="A45">
        <v>44</v>
      </c>
      <c r="B45" t="s">
        <v>168</v>
      </c>
      <c r="C45" t="s">
        <v>280</v>
      </c>
      <c r="D45" t="s">
        <v>225</v>
      </c>
      <c r="E45" s="126">
        <f>'Short-sea (HFO)'!B$299</f>
        <v>8.7897304253544608E-3</v>
      </c>
      <c r="F45" s="126">
        <f>'Short-sea (HFO)'!C$299</f>
        <v>8.688489413562395E-3</v>
      </c>
      <c r="G45" s="126">
        <f>'Short-sea (HFO)'!D$299</f>
        <v>8.5871952621709158E-3</v>
      </c>
      <c r="H45" s="126">
        <f>'Short-sea (HFO)'!E$299</f>
        <v>8.4858295453558198E-3</v>
      </c>
      <c r="I45" s="126">
        <f>'Short-sea (HFO)'!F$299</f>
        <v>8.3843679929016032E-3</v>
      </c>
      <c r="J45" s="126">
        <f>'Short-sea (HFO)'!G$299</f>
        <v>8.2827790254118312E-3</v>
      </c>
      <c r="K45" s="126">
        <f>'Short-sea (HFO)'!H$299</f>
        <v>8.1810222446353567E-3</v>
      </c>
      <c r="L45" s="126">
        <f>'Short-sea (HFO)'!I$299</f>
        <v>8.0790472173454669E-3</v>
      </c>
      <c r="M45" s="126">
        <f>'Short-sea (HFO)'!J$299</f>
        <v>8.0482031293226276E-3</v>
      </c>
      <c r="N45" s="126">
        <f>'Short-sea (HFO)'!K$299</f>
        <v>8.0168455281843087E-3</v>
      </c>
      <c r="O45" s="126">
        <f>'Short-sea (HFO)'!L$299</f>
        <v>7.9848068860993958E-3</v>
      </c>
      <c r="P45" s="126">
        <f>'Short-sea (HFO)'!M$299</f>
        <v>7.9518907190195276E-3</v>
      </c>
      <c r="Q45" s="126">
        <f>'Short-sea (HFO)'!N$299</f>
        <v>7.9178911395179387E-3</v>
      </c>
      <c r="R45" s="126">
        <f>'Short-sea (HFO)'!O$299</f>
        <v>7.8826364482861653E-3</v>
      </c>
      <c r="S45" s="126">
        <f>'Short-sea (HFO)'!P$299</f>
        <v>7.8460619300899353E-3</v>
      </c>
      <c r="T45" s="126">
        <f>'Short-sea (HFO)'!Q$299</f>
        <v>7.8083003854528136E-3</v>
      </c>
      <c r="U45" s="126">
        <f>'Short-sea (HFO)'!R$299</f>
        <v>7.7697493853713341E-3</v>
      </c>
      <c r="V45" s="126">
        <f>'Short-sea (HFO)'!S$299</f>
        <v>7.7310531962716394E-3</v>
      </c>
      <c r="W45" s="126">
        <f>'Short-sea (HFO)'!T$299</f>
        <v>7.6929648745466539E-3</v>
      </c>
      <c r="X45" s="126">
        <f>'Short-sea (HFO)'!U$299</f>
        <v>7.6561368693791902E-3</v>
      </c>
      <c r="Y45" s="126">
        <f>'Short-sea (HFO)'!V$299</f>
        <v>7.6209540842995041E-3</v>
      </c>
      <c r="Z45" s="126">
        <f>'Short-sea (HFO)'!W$299</f>
        <v>7.5874929369994558E-3</v>
      </c>
      <c r="AA45" s="126">
        <f>'Short-sea (HFO)'!X$299</f>
        <v>7.5555948693666261E-3</v>
      </c>
      <c r="AB45" s="126">
        <f>'Short-sea (HFO)'!Y$299</f>
        <v>7.5249824142176805E-3</v>
      </c>
      <c r="AC45" s="126">
        <f>'Short-sea (HFO)'!Z$299</f>
        <v>7.4953560106887484E-3</v>
      </c>
      <c r="AD45" s="126">
        <f>'Short-sea (HFO)'!AA$299</f>
        <v>7.4664495863396418E-3</v>
      </c>
      <c r="AE45" s="126">
        <f>'Short-sea (HFO)'!AB$299</f>
        <v>7.4380511054325856E-3</v>
      </c>
      <c r="AF45" s="126">
        <f>'Short-sea (HFO)'!AC$299</f>
        <v>7.4100025405978345E-3</v>
      </c>
    </row>
    <row r="46" spans="1:32" x14ac:dyDescent="0.25">
      <c r="A46">
        <v>45</v>
      </c>
      <c r="B46" t="s">
        <v>168</v>
      </c>
      <c r="C46" t="s">
        <v>280</v>
      </c>
      <c r="D46" t="s">
        <v>226</v>
      </c>
      <c r="E46" s="126">
        <f>'Short-sea (HFO)'!B$408</f>
        <v>6.7183123018988286E-3</v>
      </c>
      <c r="F46" s="126">
        <f>'Short-sea (HFO)'!C$408</f>
        <v>6.6408927046460731E-3</v>
      </c>
      <c r="G46" s="126">
        <f>'Short-sea (HFO)'!D$408</f>
        <v>6.5634324712290585E-3</v>
      </c>
      <c r="H46" s="126">
        <f>'Short-sea (HFO)'!E$408</f>
        <v>6.4859175113116327E-3</v>
      </c>
      <c r="I46" s="126">
        <f>'Short-sea (HFO)'!F$408</f>
        <v>6.4083292653172325E-3</v>
      </c>
      <c r="J46" s="126">
        <f>'Short-sea (HFO)'!G$408</f>
        <v>6.3306435842956418E-3</v>
      </c>
      <c r="K46" s="126">
        <f>'Short-sea (HFO)'!H$408</f>
        <v>6.2528295754665725E-3</v>
      </c>
      <c r="L46" s="126">
        <f>'Short-sea (HFO)'!I$408</f>
        <v>6.1748486722448918E-3</v>
      </c>
      <c r="M46" s="126">
        <f>'Short-sea (HFO)'!J$408</f>
        <v>6.1512620166980147E-3</v>
      </c>
      <c r="N46" s="126">
        <f>'Short-sea (HFO)'!K$408</f>
        <v>6.1272826746510646E-3</v>
      </c>
      <c r="O46" s="126">
        <f>'Short-sea (HFO)'!L$408</f>
        <v>6.1027825365861325E-3</v>
      </c>
      <c r="P46" s="126">
        <f>'Short-sea (HFO)'!M$408</f>
        <v>6.0776113499956437E-3</v>
      </c>
      <c r="Q46" s="126">
        <f>'Short-sea (HFO)'!N$408</f>
        <v>6.0516116715532541E-3</v>
      </c>
      <c r="R46" s="126">
        <f>'Short-sea (HFO)'!O$408</f>
        <v>6.0246522017877793E-3</v>
      </c>
      <c r="S46" s="126">
        <f>'Short-sea (HFO)'!P$408</f>
        <v>5.996683452578898E-3</v>
      </c>
      <c r="T46" s="126">
        <f>'Short-sea (HFO)'!Q$408</f>
        <v>5.9678069772681579E-3</v>
      </c>
      <c r="U46" s="126">
        <f>'Short-sea (HFO)'!R$408</f>
        <v>5.9383268007352618E-3</v>
      </c>
      <c r="V46" s="126">
        <f>'Short-sea (HFO)'!S$408</f>
        <v>5.9087355973060831E-3</v>
      </c>
      <c r="W46" s="126">
        <f>'Short-sea (HFO)'!T$408</f>
        <v>5.8796092336340358E-3</v>
      </c>
      <c r="X46" s="126">
        <f>'Short-sea (HFO)'!U$408</f>
        <v>5.8514466414471521E-3</v>
      </c>
      <c r="Y46" s="126">
        <f>'Short-sea (HFO)'!V$408</f>
        <v>5.8245421587391558E-3</v>
      </c>
      <c r="Z46" s="126">
        <f>'Short-sea (HFO)'!W$408</f>
        <v>5.7989542225685307E-3</v>
      </c>
      <c r="AA46" s="126">
        <f>'Short-sea (HFO)'!X$408</f>
        <v>5.7745615826140144E-3</v>
      </c>
      <c r="AB46" s="126">
        <f>'Short-sea (HFO)'!Y$408</f>
        <v>5.7511520580883499E-3</v>
      </c>
      <c r="AC46" s="126">
        <f>'Short-sea (HFO)'!Z$408</f>
        <v>5.7284965730368138E-3</v>
      </c>
      <c r="AD46" s="126">
        <f>'Short-sea (HFO)'!AA$408</f>
        <v>5.7063916602992613E-3</v>
      </c>
      <c r="AE46" s="126">
        <f>'Short-sea (HFO)'!AB$408</f>
        <v>5.6846751748997476E-3</v>
      </c>
      <c r="AF46" s="126">
        <f>'Short-sea (HFO)'!AC$408</f>
        <v>5.6632262723790554E-3</v>
      </c>
    </row>
    <row r="47" spans="1:32" x14ac:dyDescent="0.25">
      <c r="A47">
        <v>46</v>
      </c>
      <c r="B47" t="s">
        <v>168</v>
      </c>
      <c r="C47" t="s">
        <v>103</v>
      </c>
      <c r="D47" t="s">
        <v>222</v>
      </c>
      <c r="E47" s="126">
        <f>'Short-sea (Hydrogen)'!B$85</f>
        <v>2.2908180703883885E-2</v>
      </c>
      <c r="F47" s="126">
        <f>'Short-sea (Hydrogen)'!C$85</f>
        <v>2.2402612441099916E-2</v>
      </c>
      <c r="G47" s="126">
        <f>'Short-sea (Hydrogen)'!D$85</f>
        <v>2.1895743815636162E-2</v>
      </c>
      <c r="H47" s="126">
        <f>'Short-sea (Hydrogen)'!E$85</f>
        <v>2.1544004720269367E-2</v>
      </c>
      <c r="I47" s="126">
        <f>'Short-sea (Hydrogen)'!F$85</f>
        <v>2.1189613960378703E-2</v>
      </c>
      <c r="J47" s="126">
        <f>'Short-sea (Hydrogen)'!G$85</f>
        <v>2.0831508144045975E-2</v>
      </c>
      <c r="K47" s="126">
        <f>'Short-sea (Hydrogen)'!H$85</f>
        <v>2.0468219136269367E-2</v>
      </c>
      <c r="L47" s="126">
        <f>'Short-sea (Hydrogen)'!I$85</f>
        <v>2.0097742733551412E-2</v>
      </c>
      <c r="M47" s="126">
        <f>'Short-sea (Hydrogen)'!J$85</f>
        <v>2.0089535930507704E-2</v>
      </c>
      <c r="N47" s="126">
        <f>'Short-sea (Hydrogen)'!K$85</f>
        <v>2.0066334221030623E-2</v>
      </c>
      <c r="O47" s="126">
        <f>'Short-sea (Hydrogen)'!L$85</f>
        <v>2.0022783888199662E-2</v>
      </c>
      <c r="P47" s="126">
        <f>'Short-sea (Hydrogen)'!M$85</f>
        <v>1.995234937158101E-2</v>
      </c>
      <c r="Q47" s="126">
        <f>'Short-sea (Hydrogen)'!N$85</f>
        <v>1.9847765133453023E-2</v>
      </c>
      <c r="R47" s="126">
        <f>'Short-sea (Hydrogen)'!O$85</f>
        <v>1.934646706244756E-2</v>
      </c>
      <c r="S47" s="126">
        <f>'Short-sea (Hydrogen)'!P$85</f>
        <v>1.8806618156927347E-2</v>
      </c>
      <c r="T47" s="126">
        <f>'Short-sea (Hydrogen)'!Q$85</f>
        <v>1.8231587345629918E-2</v>
      </c>
      <c r="U47" s="126">
        <f>'Short-sea (Hydrogen)'!R$85</f>
        <v>1.7632287817195745E-2</v>
      </c>
      <c r="V47" s="126">
        <f>'Short-sea (Hydrogen)'!S$85</f>
        <v>1.7026735195318228E-2</v>
      </c>
      <c r="W47" s="126">
        <f>'Short-sea (Hydrogen)'!T$85</f>
        <v>1.6459763960556709E-2</v>
      </c>
      <c r="X47" s="126">
        <f>'Short-sea (Hydrogen)'!U$85</f>
        <v>1.5925843205865854E-2</v>
      </c>
      <c r="Y47" s="126">
        <f>'Short-sea (Hydrogen)'!V$85</f>
        <v>1.543632333112639E-2</v>
      </c>
      <c r="Z47" s="126">
        <f>'Short-sea (Hydrogen)'!W$85</f>
        <v>1.4993948265730911E-2</v>
      </c>
      <c r="AA47" s="126">
        <f>'Short-sea (Hydrogen)'!X$85</f>
        <v>1.4594804265059798E-2</v>
      </c>
      <c r="AB47" s="126">
        <f>'Short-sea (Hydrogen)'!Y$85</f>
        <v>1.4281637489688484E-2</v>
      </c>
      <c r="AC47" s="126">
        <f>'Short-sea (Hydrogen)'!Z$85</f>
        <v>1.3995826702339717E-2</v>
      </c>
      <c r="AD47" s="126">
        <f>'Short-sea (Hydrogen)'!AA$85</f>
        <v>1.3730203090630973E-2</v>
      </c>
      <c r="AE47" s="126">
        <f>'Short-sea (Hydrogen)'!AB$85</f>
        <v>1.3478971256299623E-2</v>
      </c>
      <c r="AF47" s="126">
        <f>'Short-sea (Hydrogen)'!AC$85</f>
        <v>1.3237758655356561E-2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2.7546698317471741E-2</v>
      </c>
      <c r="F49" s="126">
        <f>'Short-sea (Hydrogen)'!C$191</f>
        <v>2.6953723609090464E-2</v>
      </c>
      <c r="G49" s="126">
        <f>'Short-sea (Hydrogen)'!D$191</f>
        <v>2.6359241274784024E-2</v>
      </c>
      <c r="H49" s="126">
        <f>'Short-sea (Hydrogen)'!E$191</f>
        <v>2.5946749475844154E-2</v>
      </c>
      <c r="I49" s="126">
        <f>'Short-sea (Hydrogen)'!F$191</f>
        <v>2.5531183294195341E-2</v>
      </c>
      <c r="J49" s="126">
        <f>'Short-sea (Hydrogen)'!G$191</f>
        <v>2.5111309339746903E-2</v>
      </c>
      <c r="K49" s="126">
        <f>'Short-sea (Hydrogen)'!H$191</f>
        <v>2.4685424490852502E-2</v>
      </c>
      <c r="L49" s="126">
        <f>'Short-sea (Hydrogen)'!I$191</f>
        <v>2.4251203277061331E-2</v>
      </c>
      <c r="M49" s="126">
        <f>'Short-sea (Hydrogen)'!J$191</f>
        <v>2.4242081995333748E-2</v>
      </c>
      <c r="N49" s="126">
        <f>'Short-sea (Hydrogen)'!K$191</f>
        <v>2.4215573469163205E-2</v>
      </c>
      <c r="O49" s="126">
        <f>'Short-sea (Hydrogen)'!L$191</f>
        <v>2.4165466523718364E-2</v>
      </c>
      <c r="P49" s="126">
        <f>'Short-sea (Hydrogen)'!M$191</f>
        <v>2.4084175556206774E-2</v>
      </c>
      <c r="Q49" s="126">
        <f>'Short-sea (Hydrogen)'!N$191</f>
        <v>2.3963261608098411E-2</v>
      </c>
      <c r="R49" s="126">
        <f>'Short-sea (Hydrogen)'!O$191</f>
        <v>2.3377319572585178E-2</v>
      </c>
      <c r="S49" s="126">
        <f>'Short-sea (Hydrogen)'!P$191</f>
        <v>2.2746555022425768E-2</v>
      </c>
      <c r="T49" s="126">
        <f>'Short-sea (Hydrogen)'!Q$191</f>
        <v>2.2074825349875649E-2</v>
      </c>
      <c r="U49" s="126">
        <f>'Short-sea (Hydrogen)'!R$191</f>
        <v>2.1374749459763524E-2</v>
      </c>
      <c r="V49" s="126">
        <f>'Short-sea (Hydrogen)'!S$191</f>
        <v>2.0667218786644986E-2</v>
      </c>
      <c r="W49" s="126">
        <f>'Short-sea (Hydrogen)'!T$191</f>
        <v>2.0004628971211313E-2</v>
      </c>
      <c r="X49" s="126">
        <f>'Short-sea (Hydrogen)'!U$191</f>
        <v>1.9380301915136091E-2</v>
      </c>
      <c r="Y49" s="126">
        <f>'Short-sea (Hydrogen)'!V$191</f>
        <v>1.8807493869985578E-2</v>
      </c>
      <c r="Z49" s="126">
        <f>'Short-sea (Hydrogen)'!W$191</f>
        <v>1.8289456455045743E-2</v>
      </c>
      <c r="AA49" s="126">
        <f>'Short-sea (Hydrogen)'!X$191</f>
        <v>1.7821684049501921E-2</v>
      </c>
      <c r="AB49" s="126">
        <f>'Short-sea (Hydrogen)'!Y$191</f>
        <v>1.7454541414849326E-2</v>
      </c>
      <c r="AC49" s="126">
        <f>'Short-sea (Hydrogen)'!Z$191</f>
        <v>1.7119240046434125E-2</v>
      </c>
      <c r="AD49" s="126">
        <f>'Short-sea (Hydrogen)'!AA$191</f>
        <v>1.6807442909438641E-2</v>
      </c>
      <c r="AE49" s="126">
        <f>'Short-sea (Hydrogen)'!AB$191</f>
        <v>1.6512406230386273E-2</v>
      </c>
      <c r="AF49" s="126">
        <f>'Short-sea (Hydrogen)'!AC$191</f>
        <v>1.6229039938022057E-2</v>
      </c>
    </row>
    <row r="50" spans="1:32" x14ac:dyDescent="0.25">
      <c r="A50">
        <v>49</v>
      </c>
      <c r="B50" t="s">
        <v>168</v>
      </c>
      <c r="C50" t="s">
        <v>103</v>
      </c>
      <c r="D50" t="s">
        <v>225</v>
      </c>
      <c r="E50" s="126">
        <f>'Short-sea (Hydrogen)'!B$299</f>
        <v>2.9458766332593509E-2</v>
      </c>
      <c r="F50" s="126">
        <f>'Short-sea (Hydrogen)'!C$299</f>
        <v>2.8808656573610286E-2</v>
      </c>
      <c r="G50" s="126">
        <f>'Short-sea (Hydrogen)'!D$299</f>
        <v>2.8156910278535313E-2</v>
      </c>
      <c r="H50" s="126">
        <f>'Short-sea (Hydrogen)'!E$299</f>
        <v>2.7704726922098147E-2</v>
      </c>
      <c r="I50" s="126">
        <f>'Short-sea (Hydrogen)'!F$299</f>
        <v>2.7249206247691865E-2</v>
      </c>
      <c r="J50" s="126">
        <f>'Short-sea (Hydrogen)'!G$299</f>
        <v>2.6789009394036355E-2</v>
      </c>
      <c r="K50" s="126">
        <f>'Short-sea (Hydrogen)'!H$299</f>
        <v>2.6322287570912165E-2</v>
      </c>
      <c r="L50" s="126">
        <f>'Short-sea (Hydrogen)'!I$299</f>
        <v>2.5846516332771546E-2</v>
      </c>
      <c r="M50" s="126">
        <f>'Short-sea (Hydrogen)'!J$299</f>
        <v>2.5836979762159894E-2</v>
      </c>
      <c r="N50" s="126">
        <f>'Short-sea (Hydrogen)'!K$299</f>
        <v>2.5808565353944712E-2</v>
      </c>
      <c r="O50" s="126">
        <f>'Short-sea (Hydrogen)'!L$299</f>
        <v>2.5754527396245931E-2</v>
      </c>
      <c r="P50" s="126">
        <f>'Short-sea (Hydrogen)'!M$299</f>
        <v>2.5666625479707848E-2</v>
      </c>
      <c r="Q50" s="126">
        <f>'Short-sea (Hydrogen)'!N$299</f>
        <v>2.5535688528209609E-2</v>
      </c>
      <c r="R50" s="126">
        <f>'Short-sea (Hydrogen)'!O$299</f>
        <v>2.4895255635632343E-2</v>
      </c>
      <c r="S50" s="126">
        <f>'Short-sea (Hydrogen)'!P$299</f>
        <v>2.4206117934467409E-2</v>
      </c>
      <c r="T50" s="126">
        <f>'Short-sea (Hydrogen)'!Q$299</f>
        <v>2.3472443894802804E-2</v>
      </c>
      <c r="U50" s="126">
        <f>'Short-sea (Hydrogen)'!R$299</f>
        <v>2.2707919728993105E-2</v>
      </c>
      <c r="V50" s="126">
        <f>'Short-sea (Hydrogen)'!S$299</f>
        <v>2.1935229211187113E-2</v>
      </c>
      <c r="W50" s="126">
        <f>'Short-sea (Hydrogen)'!T$299</f>
        <v>2.12116015788174E-2</v>
      </c>
      <c r="X50" s="126">
        <f>'Short-sea (Hydrogen)'!U$299</f>
        <v>2.0529506510428099E-2</v>
      </c>
      <c r="Y50" s="126">
        <f>'Short-sea (Hydrogen)'!V$299</f>
        <v>1.9903378892845561E-2</v>
      </c>
      <c r="Z50" s="126">
        <f>'Short-sea (Hydrogen)'!W$299</f>
        <v>1.933677872579511E-2</v>
      </c>
      <c r="AA50" s="126">
        <f>'Short-sea (Hydrogen)'!X$299</f>
        <v>1.8824825787632726E-2</v>
      </c>
      <c r="AB50" s="126">
        <f>'Short-sea (Hydrogen)'!Y$299</f>
        <v>1.842289897990608E-2</v>
      </c>
      <c r="AC50" s="126">
        <f>'Short-sea (Hydrogen)'!Z$299</f>
        <v>1.8055600964439283E-2</v>
      </c>
      <c r="AD50" s="126">
        <f>'Short-sea (Hydrogen)'!AA$299</f>
        <v>1.7713867339529454E-2</v>
      </c>
      <c r="AE50" s="126">
        <f>'Short-sea (Hydrogen)'!AB$299</f>
        <v>1.739036438160825E-2</v>
      </c>
      <c r="AF50" s="126">
        <f>'Short-sea (Hydrogen)'!AC$299</f>
        <v>1.7079556011347096E-2</v>
      </c>
    </row>
    <row r="51" spans="1:32" x14ac:dyDescent="0.25">
      <c r="A51">
        <v>50</v>
      </c>
      <c r="B51" t="s">
        <v>168</v>
      </c>
      <c r="C51" t="s">
        <v>103</v>
      </c>
      <c r="D51" t="s">
        <v>226</v>
      </c>
      <c r="E51" s="126">
        <f>'Short-sea (Hydrogen)'!B$408</f>
        <v>2.2902658139478661E-2</v>
      </c>
      <c r="F51" s="126">
        <f>'Short-sea (Hydrogen)'!C$408</f>
        <v>2.2397089958601187E-2</v>
      </c>
      <c r="G51" s="126">
        <f>'Short-sea (Hydrogen)'!D$408</f>
        <v>2.189022145037875E-2</v>
      </c>
      <c r="H51" s="126">
        <f>'Short-sea (Hydrogen)'!E$408</f>
        <v>2.1538482522721579E-2</v>
      </c>
      <c r="I51" s="126">
        <f>'Short-sea (Hydrogen)'!F$408</f>
        <v>2.1184092002499801E-2</v>
      </c>
      <c r="J51" s="126">
        <f>'Short-sea (Hydrogen)'!G$408</f>
        <v>2.0825986528175085E-2</v>
      </c>
      <c r="K51" s="126">
        <f>'Short-sea (Hydrogen)'!H$408</f>
        <v>2.0462698007397667E-2</v>
      </c>
      <c r="L51" s="126">
        <f>'Short-sea (Hydrogen)'!I$408</f>
        <v>2.0092222295938704E-2</v>
      </c>
      <c r="M51" s="126">
        <f>'Short-sea (Hydrogen)'!J$408</f>
        <v>2.0084016469502933E-2</v>
      </c>
      <c r="N51" s="126">
        <f>'Short-sea (Hydrogen)'!K$408</f>
        <v>2.0060816130335841E-2</v>
      </c>
      <c r="O51" s="126">
        <f>'Short-sea (Hydrogen)'!L$408</f>
        <v>2.0017267701124053E-2</v>
      </c>
      <c r="P51" s="126">
        <f>'Short-sea (Hydrogen)'!M$408</f>
        <v>1.9946835791258326E-2</v>
      </c>
      <c r="Q51" s="126">
        <f>'Short-sea (Hydrogen)'!N$408</f>
        <v>1.9842255050805453E-2</v>
      </c>
      <c r="R51" s="126">
        <f>'Short-sea (Hydrogen)'!O$408</f>
        <v>1.9340961542415498E-2</v>
      </c>
      <c r="S51" s="126">
        <f>'Short-sea (Hydrogen)'!P$408</f>
        <v>1.8801118367443869E-2</v>
      </c>
      <c r="T51" s="126">
        <f>'Short-sea (Hydrogen)'!Q$408</f>
        <v>1.8226094410234879E-2</v>
      </c>
      <c r="U51" s="126">
        <f>'Short-sea (Hydrogen)'!R$408</f>
        <v>1.7626802602932656E-2</v>
      </c>
      <c r="V51" s="126">
        <f>'Short-sea (Hydrogen)'!S$408</f>
        <v>1.7021258098687115E-2</v>
      </c>
      <c r="W51" s="126">
        <f>'Short-sea (Hydrogen)'!T$408</f>
        <v>1.6454294788590222E-2</v>
      </c>
      <c r="X51" s="126">
        <f>'Short-sea (Hydrogen)'!U$408</f>
        <v>1.5920381219453311E-2</v>
      </c>
      <c r="Y51" s="126">
        <f>'Short-sea (Hydrogen)'!V$408</f>
        <v>1.5430867430229648E-2</v>
      </c>
      <c r="Z51" s="126">
        <f>'Short-sea (Hydrogen)'!W$408</f>
        <v>1.4988497224275128E-2</v>
      </c>
      <c r="AA51" s="126">
        <f>'Short-sea (Hydrogen)'!X$408</f>
        <v>1.4589356923249312E-2</v>
      </c>
      <c r="AB51" s="126">
        <f>'Short-sea (Hydrogen)'!Y$408</f>
        <v>1.4276192862832817E-2</v>
      </c>
      <c r="AC51" s="126">
        <f>'Short-sea (Hydrogen)'!Z$408</f>
        <v>1.3990384014262837E-2</v>
      </c>
      <c r="AD51" s="126">
        <f>'Short-sea (Hydrogen)'!AA$408</f>
        <v>1.3724761760173447E-2</v>
      </c>
      <c r="AE51" s="126">
        <f>'Short-sea (Hydrogen)'!AB$408</f>
        <v>1.3473530863473762E-2</v>
      </c>
      <c r="AF51" s="126">
        <f>'Short-sea (Hydrogen)'!AC$408</f>
        <v>1.3232318903932011E-2</v>
      </c>
    </row>
    <row r="52" spans="1:32" x14ac:dyDescent="0.25">
      <c r="A52">
        <v>51</v>
      </c>
      <c r="B52" t="s">
        <v>168</v>
      </c>
      <c r="C52" t="s">
        <v>186</v>
      </c>
      <c r="D52" t="s">
        <v>222</v>
      </c>
      <c r="E52" s="126">
        <f>'Short-sea (Ammonia)'!B$85</f>
        <v>2.0758202356560212E-2</v>
      </c>
      <c r="F52" s="126">
        <f>'Short-sea (Ammonia)'!C$85</f>
        <v>2.0396638383853281E-2</v>
      </c>
      <c r="G52" s="126">
        <f>'Short-sea (Ammonia)'!D$85</f>
        <v>2.0033844291116279E-2</v>
      </c>
      <c r="H52" s="126">
        <f>'Short-sea (Ammonia)'!E$85</f>
        <v>1.9799166636329378E-2</v>
      </c>
      <c r="I52" s="126">
        <f>'Short-sea (Ammonia)'!F$85</f>
        <v>1.9561968618954654E-2</v>
      </c>
      <c r="J52" s="126">
        <f>'Short-sea (Ammonia)'!G$85</f>
        <v>1.9321220678771733E-2</v>
      </c>
      <c r="K52" s="126">
        <f>'Short-sea (Ammonia)'!H$85</f>
        <v>1.9075492366451549E-2</v>
      </c>
      <c r="L52" s="126">
        <f>'Short-sea (Ammonia)'!I$85</f>
        <v>1.8822817413035674E-2</v>
      </c>
      <c r="M52" s="126">
        <f>'Short-sea (Ammonia)'!J$85</f>
        <v>1.8961623659804503E-2</v>
      </c>
      <c r="N52" s="126">
        <f>'Short-sea (Ammonia)'!K$85</f>
        <v>1.9085692359326004E-2</v>
      </c>
      <c r="O52" s="126">
        <f>'Short-sea (Ammonia)'!L$85</f>
        <v>1.9189617136163677E-2</v>
      </c>
      <c r="P52" s="126">
        <f>'Short-sea (Ammonia)'!M$85</f>
        <v>1.9266716721993031E-2</v>
      </c>
      <c r="Q52" s="126">
        <f>'Short-sea (Ammonia)'!N$85</f>
        <v>1.9309431790415589E-2</v>
      </c>
      <c r="R52" s="126">
        <f>'Short-sea (Ammonia)'!O$85</f>
        <v>1.8874628639557002E-2</v>
      </c>
      <c r="S52" s="126">
        <f>'Short-sea (Ammonia)'!P$85</f>
        <v>1.8400820363906563E-2</v>
      </c>
      <c r="T52" s="126">
        <f>'Short-sea (Ammonia)'!Q$85</f>
        <v>1.7890781342926411E-2</v>
      </c>
      <c r="U52" s="126">
        <f>'Short-sea (Ammonia)'!R$85</f>
        <v>1.7354762820518378E-2</v>
      </c>
      <c r="V52" s="126">
        <f>'Short-sea (Ammonia)'!S$85</f>
        <v>1.6810247751507277E-2</v>
      </c>
      <c r="W52" s="126">
        <f>'Short-sea (Ammonia)'!T$85</f>
        <v>1.629985720655195E-2</v>
      </c>
      <c r="X52" s="126">
        <f>'Short-sea (Ammonia)'!U$85</f>
        <v>1.5820359881500469E-2</v>
      </c>
      <c r="Y52" s="126">
        <f>'Short-sea (Ammonia)'!V$85</f>
        <v>1.5383596948491573E-2</v>
      </c>
      <c r="Z52" s="126">
        <f>'Short-sea (Ammonia)'!W$85</f>
        <v>1.4992896826073883E-2</v>
      </c>
      <c r="AA52" s="126">
        <f>'Short-sea (Ammonia)'!X$85</f>
        <v>1.4644855803280529E-2</v>
      </c>
      <c r="AB52" s="126">
        <f>'Short-sea (Ammonia)'!Y$85</f>
        <v>1.4343314004156246E-2</v>
      </c>
      <c r="AC52" s="126">
        <f>'Short-sea (Ammonia)'!Z$85</f>
        <v>1.4069408409792124E-2</v>
      </c>
      <c r="AD52" s="126">
        <f>'Short-sea (Ammonia)'!AA$85</f>
        <v>1.3815950377527314E-2</v>
      </c>
      <c r="AE52" s="126">
        <f>'Short-sea (Ammonia)'!AB$85</f>
        <v>1.3577102668787758E-2</v>
      </c>
      <c r="AF52" s="126">
        <f>'Short-sea (Ammonia)'!AC$85</f>
        <v>1.3348446874230126E-2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2.5070994787644955E-2</v>
      </c>
      <c r="F54" s="126">
        <f>'Short-sea (Ammonia)'!C$191</f>
        <v>2.4645938977397717E-2</v>
      </c>
      <c r="G54" s="126">
        <f>'Short-sea (Ammonia)'!D$191</f>
        <v>2.4219445091439716E-2</v>
      </c>
      <c r="H54" s="126">
        <f>'Short-sea (Ammonia)'!E$191</f>
        <v>2.3943584965240409E-2</v>
      </c>
      <c r="I54" s="126">
        <f>'Short-sea (Ammonia)'!F$191</f>
        <v>2.3664778413764007E-2</v>
      </c>
      <c r="J54" s="126">
        <f>'Short-sea (Ammonia)'!G$191</f>
        <v>2.3381821640594474E-2</v>
      </c>
      <c r="K54" s="126">
        <f>'Short-sea (Ammonia)'!H$191</f>
        <v>2.3093041997924797E-2</v>
      </c>
      <c r="L54" s="126">
        <f>'Short-sea (Ammonia)'!I$191</f>
        <v>2.27961400922983E-2</v>
      </c>
      <c r="M54" s="126">
        <f>'Short-sea (Ammonia)'!J$191</f>
        <v>2.2959568137780589E-2</v>
      </c>
      <c r="N54" s="126">
        <f>'Short-sea (Ammonia)'!K$191</f>
        <v>2.3105768407518597E-2</v>
      </c>
      <c r="O54" s="126">
        <f>'Short-sea (Ammonia)'!L$191</f>
        <v>2.3228419855714867E-2</v>
      </c>
      <c r="P54" s="126">
        <f>'Short-sea (Ammonia)'!M$191</f>
        <v>2.3319709455922558E-2</v>
      </c>
      <c r="Q54" s="126">
        <f>'Short-sea (Ammonia)'!N$191</f>
        <v>2.3370794728641522E-2</v>
      </c>
      <c r="R54" s="126">
        <f>'Short-sea (Ammonia)'!O$191</f>
        <v>2.2860623031958675E-2</v>
      </c>
      <c r="S54" s="126">
        <f>'Short-sea (Ammonia)'!P$191</f>
        <v>2.2304794457665287E-2</v>
      </c>
      <c r="T54" s="126">
        <f>'Short-sea (Ammonia)'!Q$191</f>
        <v>2.170652761200732E-2</v>
      </c>
      <c r="U54" s="126">
        <f>'Short-sea (Ammonia)'!R$191</f>
        <v>2.1077787997468574E-2</v>
      </c>
      <c r="V54" s="126">
        <f>'Short-sea (Ammonia)'!S$191</f>
        <v>2.0439013208642252E-2</v>
      </c>
      <c r="W54" s="126">
        <f>'Short-sea (Ammonia)'!T$191</f>
        <v>1.9840214053191405E-2</v>
      </c>
      <c r="X54" s="126">
        <f>'Short-sea (Ammonia)'!U$191</f>
        <v>1.9277497449817594E-2</v>
      </c>
      <c r="Y54" s="126">
        <f>'Short-sea (Ammonia)'!V$191</f>
        <v>1.8764753697531715E-2</v>
      </c>
      <c r="Z54" s="126">
        <f>'Short-sea (Ammonia)'!W$191</f>
        <v>1.8305909424916993E-2</v>
      </c>
      <c r="AA54" s="126">
        <f>'Short-sea (Ammonia)'!X$191</f>
        <v>1.7897002615228821E-2</v>
      </c>
      <c r="AB54" s="126">
        <f>'Short-sea (Ammonia)'!Y$191</f>
        <v>1.754260887137353E-2</v>
      </c>
      <c r="AC54" s="126">
        <f>'Short-sea (Ammonia)'!Z$191</f>
        <v>1.722058310007497E-2</v>
      </c>
      <c r="AD54" s="126">
        <f>'Short-sea (Ammonia)'!AA$191</f>
        <v>1.6922509569606999E-2</v>
      </c>
      <c r="AE54" s="126">
        <f>'Short-sea (Ammonia)'!AB$191</f>
        <v>1.6641552568467853E-2</v>
      </c>
      <c r="AF54" s="126">
        <f>'Short-sea (Ammonia)'!AC$191</f>
        <v>1.637253687147959E-2</v>
      </c>
    </row>
    <row r="55" spans="1:32" x14ac:dyDescent="0.25">
      <c r="A55">
        <v>54</v>
      </c>
      <c r="B55" t="s">
        <v>168</v>
      </c>
      <c r="C55" t="s">
        <v>186</v>
      </c>
      <c r="D55" t="s">
        <v>225</v>
      </c>
      <c r="E55" s="126">
        <f>'Short-sea (Ammonia)'!B$299</f>
        <v>2.6785842871702544E-2</v>
      </c>
      <c r="F55" s="126">
        <f>'Short-sea (Ammonia)'!C$299</f>
        <v>2.6319280497586708E-2</v>
      </c>
      <c r="G55" s="126">
        <f>'Short-sea (Ammonia)'!D$299</f>
        <v>2.585114723916657E-2</v>
      </c>
      <c r="H55" s="126">
        <f>'Short-sea (Ammonia)'!E$299</f>
        <v>2.5548375121913866E-2</v>
      </c>
      <c r="I55" s="126">
        <f>'Short-sea (Ammonia)'!F$299</f>
        <v>2.5242384441212663E-2</v>
      </c>
      <c r="J55" s="126">
        <f>'Short-sea (Ammonia)'!G$299</f>
        <v>2.4931860197567671E-2</v>
      </c>
      <c r="K55" s="126">
        <f>'Short-sea (Ammonia)'!H$299</f>
        <v>2.4614975203468996E-2</v>
      </c>
      <c r="L55" s="126">
        <f>'Short-sea (Ammonia)'!I$299</f>
        <v>2.4289217565173014E-2</v>
      </c>
      <c r="M55" s="126">
        <f>'Short-sea (Ammonia)'!J$299</f>
        <v>2.4468831936103375E-2</v>
      </c>
      <c r="N55" s="126">
        <f>'Short-sea (Ammonia)'!K$299</f>
        <v>2.4629625599662232E-2</v>
      </c>
      <c r="O55" s="126">
        <f>'Short-sea (Ammonia)'!L$299</f>
        <v>2.4764692008834494E-2</v>
      </c>
      <c r="P55" s="126">
        <f>'Short-sea (Ammonia)'!M$299</f>
        <v>2.4865493446802132E-2</v>
      </c>
      <c r="Q55" s="126">
        <f>'Short-sea (Ammonia)'!N$299</f>
        <v>2.4922365439705968E-2</v>
      </c>
      <c r="R55" s="126">
        <f>'Short-sea (Ammonia)'!O$299</f>
        <v>2.4363324210790044E-2</v>
      </c>
      <c r="S55" s="126">
        <f>'Short-sea (Ammonia)'!P$299</f>
        <v>2.3754382507319025E-2</v>
      </c>
      <c r="T55" s="126">
        <f>'Short-sea (Ammonia)'!Q$299</f>
        <v>2.3099045866402497E-2</v>
      </c>
      <c r="U55" s="126">
        <f>'Short-sea (Ammonia)'!R$299</f>
        <v>2.2410378023077278E-2</v>
      </c>
      <c r="V55" s="126">
        <f>'Short-sea (Ammonia)'!S$299</f>
        <v>2.1710706315405962E-2</v>
      </c>
      <c r="W55" s="126">
        <f>'Short-sea (Ammonia)'!T$299</f>
        <v>2.105482003320985E-2</v>
      </c>
      <c r="X55" s="126">
        <f>'Short-sea (Ammonia)'!U$299</f>
        <v>2.0438343621984677E-2</v>
      </c>
      <c r="Y55" s="126">
        <f>'Short-sea (Ammonia)'!V$299</f>
        <v>1.9876473938301872E-2</v>
      </c>
      <c r="Z55" s="126">
        <f>'Short-sea (Ammonia)'!W$299</f>
        <v>1.9373516770179608E-2</v>
      </c>
      <c r="AA55" s="126">
        <f>'Short-sea (Ammonia)'!X$299</f>
        <v>1.8925150673578632E-2</v>
      </c>
      <c r="AB55" s="126">
        <f>'Short-sea (Ammonia)'!Y$299</f>
        <v>1.8536447826130134E-2</v>
      </c>
      <c r="AC55" s="126">
        <f>'Short-sea (Ammonia)'!Z$299</f>
        <v>1.8183136026524112E-2</v>
      </c>
      <c r="AD55" s="126">
        <f>'Short-sea (Ammonia)'!AA$299</f>
        <v>1.7856014936932632E-2</v>
      </c>
      <c r="AE55" s="126">
        <f>'Short-sea (Ammonia)'!AB$299</f>
        <v>1.7547610680854659E-2</v>
      </c>
      <c r="AF55" s="126">
        <f>'Short-sea (Ammonia)'!AC$299</f>
        <v>1.7252264483677938E-2</v>
      </c>
    </row>
    <row r="56" spans="1:32" x14ac:dyDescent="0.25">
      <c r="A56">
        <v>55</v>
      </c>
      <c r="B56" t="s">
        <v>168</v>
      </c>
      <c r="C56" t="s">
        <v>186</v>
      </c>
      <c r="D56" t="s">
        <v>226</v>
      </c>
      <c r="E56" s="126">
        <f>'Short-sea (Ammonia)'!B$408</f>
        <v>2.0752764032990718E-2</v>
      </c>
      <c r="F56" s="126">
        <f>'Short-sea (Ammonia)'!C$408</f>
        <v>2.0391200099478195E-2</v>
      </c>
      <c r="G56" s="126">
        <f>'Short-sea (Ammonia)'!D$408</f>
        <v>2.0028406062845696E-2</v>
      </c>
      <c r="H56" s="126">
        <f>'Short-sea (Ammonia)'!E$408</f>
        <v>1.9793728488317369E-2</v>
      </c>
      <c r="I56" s="126">
        <f>'Short-sea (Ammonia)'!F$408</f>
        <v>1.9556530585643946E-2</v>
      </c>
      <c r="J56" s="126">
        <f>'Short-sea (Ammonia)'!G$408</f>
        <v>1.9315782809152561E-2</v>
      </c>
      <c r="K56" s="126">
        <f>'Short-sea (Ammonia)'!H$408</f>
        <v>1.907005472994492E-2</v>
      </c>
      <c r="L56" s="126">
        <f>'Short-sea (Ammonia)'!I$408</f>
        <v>1.8817380107466225E-2</v>
      </c>
      <c r="M56" s="126">
        <f>'Short-sea (Ammonia)'!J$408</f>
        <v>1.8956186821884515E-2</v>
      </c>
      <c r="N56" s="126">
        <f>'Short-sea (Ammonia)'!K$408</f>
        <v>1.9080256177782924E-2</v>
      </c>
      <c r="O56" s="126">
        <f>'Short-sea (Ammonia)'!L$408</f>
        <v>1.9184181866845416E-2</v>
      </c>
      <c r="P56" s="126">
        <f>'Short-sea (Ammonia)'!M$408</f>
        <v>1.9261282702587999E-2</v>
      </c>
      <c r="Q56" s="126">
        <f>'Short-sea (Ammonia)'!N$408</f>
        <v>1.9303999449462844E-2</v>
      </c>
      <c r="R56" s="126">
        <f>'Short-sea (Ammonia)'!O$408</f>
        <v>1.8869198490425669E-2</v>
      </c>
      <c r="S56" s="126">
        <f>'Short-sea (Ammonia)'!P$408</f>
        <v>1.8395392971399145E-2</v>
      </c>
      <c r="T56" s="126">
        <f>'Short-sea (Ammonia)'!Q$408</f>
        <v>1.788535725299599E-2</v>
      </c>
      <c r="U56" s="126">
        <f>'Short-sea (Ammonia)'!R$408</f>
        <v>1.7349342458117416E-2</v>
      </c>
      <c r="V56" s="126">
        <f>'Short-sea (Ammonia)'!S$408</f>
        <v>1.6804831316277018E-2</v>
      </c>
      <c r="W56" s="126">
        <f>'Short-sea (Ammonia)'!T$408</f>
        <v>1.6294444613294427E-2</v>
      </c>
      <c r="X56" s="126">
        <f>'Short-sea (Ammonia)'!U$408</f>
        <v>1.5814950778873307E-2</v>
      </c>
      <c r="Y56" s="126">
        <f>'Short-sea (Ammonia)'!V$408</f>
        <v>1.5378190807325396E-2</v>
      </c>
      <c r="Z56" s="126">
        <f>'Short-sea (Ammonia)'!W$408</f>
        <v>1.4987493053151233E-2</v>
      </c>
      <c r="AA56" s="126">
        <f>'Short-sea (Ammonia)'!X$408</f>
        <v>1.4639453835428685E-2</v>
      </c>
      <c r="AB56" s="126">
        <f>'Short-sea (Ammonia)'!Y$408</f>
        <v>1.4337913362071558E-2</v>
      </c>
      <c r="AC56" s="126">
        <f>'Short-sea (Ammonia)'!Z$408</f>
        <v>1.4064008715038535E-2</v>
      </c>
      <c r="AD56" s="126">
        <f>'Short-sea (Ammonia)'!AA$408</f>
        <v>1.3810551346428272E-2</v>
      </c>
      <c r="AE56" s="126">
        <f>'Short-sea (Ammonia)'!AB$408</f>
        <v>1.3571704096177801E-2</v>
      </c>
      <c r="AF56" s="126">
        <f>'Short-sea (Ammonia)'!AC$408</f>
        <v>1.3343048615322588E-2</v>
      </c>
    </row>
    <row r="57" spans="1:32" x14ac:dyDescent="0.25">
      <c r="A57">
        <v>56</v>
      </c>
      <c r="B57" t="s">
        <v>168</v>
      </c>
      <c r="C57" t="s">
        <v>187</v>
      </c>
      <c r="D57" t="s">
        <v>222</v>
      </c>
      <c r="E57" s="126">
        <f>'Short-sea (Methanol)'!B$85</f>
        <v>3.9483224205403566E-2</v>
      </c>
      <c r="F57" s="126">
        <f>'Short-sea (Methanol)'!C$85</f>
        <v>3.7967881175389219E-2</v>
      </c>
      <c r="G57" s="126">
        <f>'Short-sea (Methanol)'!D$85</f>
        <v>3.6451578069641499E-2</v>
      </c>
      <c r="H57" s="126">
        <f>'Short-sea (Methanol)'!E$85</f>
        <v>3.5089984836856145E-2</v>
      </c>
      <c r="I57" s="126">
        <f>'Short-sea (Methanol)'!F$85</f>
        <v>3.3726558544102017E-2</v>
      </c>
      <c r="J57" s="126">
        <f>'Short-sea (Methanol)'!G$85</f>
        <v>3.2360644285431658E-2</v>
      </c>
      <c r="K57" s="126">
        <f>'Short-sea (Methanol)'!H$85</f>
        <v>3.0991375238960926E-2</v>
      </c>
      <c r="L57" s="126">
        <f>'Short-sea (Methanol)'!I$85</f>
        <v>2.9617623006594405E-2</v>
      </c>
      <c r="M57" s="126">
        <f>'Short-sea (Methanol)'!J$85</f>
        <v>2.899903372813958E-2</v>
      </c>
      <c r="N57" s="126">
        <f>'Short-sea (Methanol)'!K$85</f>
        <v>2.8371009462817457E-2</v>
      </c>
      <c r="O57" s="126">
        <f>'Short-sea (Methanol)'!L$85</f>
        <v>2.7730499549642972E-2</v>
      </c>
      <c r="P57" s="126">
        <f>'Short-sea (Methanol)'!M$85</f>
        <v>2.7073941845428998E-2</v>
      </c>
      <c r="Q57" s="126">
        <f>'Short-sea (Methanol)'!N$85</f>
        <v>2.6397629783490851E-2</v>
      </c>
      <c r="R57" s="126">
        <f>'Short-sea (Methanol)'!O$85</f>
        <v>2.5531678921538389E-2</v>
      </c>
      <c r="S57" s="126">
        <f>'Short-sea (Methanol)'!P$85</f>
        <v>2.4643533791320921E-2</v>
      </c>
      <c r="T57" s="126">
        <f>'Short-sea (Methanol)'!Q$85</f>
        <v>2.3736284279681628E-2</v>
      </c>
      <c r="U57" s="126">
        <f>'Short-sea (Methanol)'!R$85</f>
        <v>2.2817717580517295E-2</v>
      </c>
      <c r="V57" s="126">
        <f>'Short-sea (Methanol)'!S$85</f>
        <v>2.1899780151891556E-2</v>
      </c>
      <c r="W57" s="126">
        <f>'Short-sea (Methanol)'!T$85</f>
        <v>2.1229684502347794E-2</v>
      </c>
      <c r="X57" s="126">
        <f>'Short-sea (Methanol)'!U$85</f>
        <v>2.0581829589586896E-2</v>
      </c>
      <c r="Y57" s="126">
        <f>'Short-sea (Methanol)'!V$85</f>
        <v>1.9963031255024924E-2</v>
      </c>
      <c r="Z57" s="126">
        <f>'Short-sea (Methanol)'!W$85</f>
        <v>1.9374652373405209E-2</v>
      </c>
      <c r="AA57" s="126">
        <f>'Short-sea (Methanol)'!X$85</f>
        <v>1.8813899659393344E-2</v>
      </c>
      <c r="AB57" s="126">
        <f>'Short-sea (Methanol)'!Y$85</f>
        <v>1.8424315939462619E-2</v>
      </c>
      <c r="AC57" s="126">
        <f>'Short-sea (Methanol)'!Z$85</f>
        <v>1.8051625800543834E-2</v>
      </c>
      <c r="AD57" s="126">
        <f>'Short-sea (Methanol)'!AA$85</f>
        <v>1.7691370063064069E-2</v>
      </c>
      <c r="AE57" s="126">
        <f>'Short-sea (Methanol)'!AB$85</f>
        <v>1.7339954008143185E-2</v>
      </c>
      <c r="AF57" s="126">
        <f>'Short-sea (Methanol)'!AC$85</f>
        <v>1.699467323046517E-2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4.727519526221427E-2</v>
      </c>
      <c r="F59" s="126">
        <f>'Short-sea (Methanol)'!C$191</f>
        <v>4.5485695715518734E-2</v>
      </c>
      <c r="G59" s="126">
        <f>'Short-sea (Methanol)'!D$191</f>
        <v>4.3695062395772692E-2</v>
      </c>
      <c r="H59" s="126">
        <f>'Short-sea (Methanol)'!E$191</f>
        <v>4.2087129126148558E-2</v>
      </c>
      <c r="I59" s="126">
        <f>'Short-sea (Methanol)'!F$191</f>
        <v>4.0477031158552931E-2</v>
      </c>
      <c r="J59" s="126">
        <f>'Short-sea (Methanol)'!G$191</f>
        <v>3.8863995101170973E-2</v>
      </c>
      <c r="K59" s="126">
        <f>'Short-sea (Methanol)'!H$191</f>
        <v>3.7246997306328154E-2</v>
      </c>
      <c r="L59" s="126">
        <f>'Short-sea (Methanol)'!I$191</f>
        <v>3.5624705225657409E-2</v>
      </c>
      <c r="M59" s="126">
        <f>'Short-sea (Methanol)'!J$191</f>
        <v>3.4894200507280121E-2</v>
      </c>
      <c r="N59" s="126">
        <f>'Short-sea (Methanol)'!K$191</f>
        <v>3.415255382012896E-2</v>
      </c>
      <c r="O59" s="126">
        <f>'Short-sea (Methanol)'!L$191</f>
        <v>3.3396162576313428E-2</v>
      </c>
      <c r="P59" s="126">
        <f>'Short-sea (Methanol)'!M$191</f>
        <v>3.2620820168159648E-2</v>
      </c>
      <c r="Q59" s="126">
        <f>'Short-sea (Methanol)'!N$191</f>
        <v>3.1822149435334485E-2</v>
      </c>
      <c r="R59" s="126">
        <f>'Short-sea (Methanol)'!O$191</f>
        <v>3.0799530368739465E-2</v>
      </c>
      <c r="S59" s="126">
        <f>'Short-sea (Methanol)'!P$191</f>
        <v>2.9750701637261449E-2</v>
      </c>
      <c r="T59" s="126">
        <f>'Short-sea (Methanol)'!Q$191</f>
        <v>2.8679312151408259E-2</v>
      </c>
      <c r="U59" s="126">
        <f>'Short-sea (Methanol)'!R$191</f>
        <v>2.7594557967566054E-2</v>
      </c>
      <c r="V59" s="126">
        <f>'Short-sea (Methanol)'!S$191</f>
        <v>2.6510546902160557E-2</v>
      </c>
      <c r="W59" s="126">
        <f>'Short-sea (Methanol)'!T$191</f>
        <v>2.5719217257750039E-2</v>
      </c>
      <c r="X59" s="126">
        <f>'Short-sea (Methanol)'!U$191</f>
        <v>2.4954152153844729E-2</v>
      </c>
      <c r="Y59" s="126">
        <f>'Short-sea (Methanol)'!V$191</f>
        <v>2.4223400556838914E-2</v>
      </c>
      <c r="Z59" s="126">
        <f>'Short-sea (Methanol)'!W$191</f>
        <v>2.3528571913364216E-2</v>
      </c>
      <c r="AA59" s="126">
        <f>'Short-sea (Methanol)'!X$191</f>
        <v>2.2866367575694865E-2</v>
      </c>
      <c r="AB59" s="126">
        <f>'Short-sea (Methanol)'!Y$191</f>
        <v>2.2406300200580861E-2</v>
      </c>
      <c r="AC59" s="126">
        <f>'Short-sea (Methanol)'!Z$191</f>
        <v>2.1966182800465354E-2</v>
      </c>
      <c r="AD59" s="126">
        <f>'Short-sea (Methanol)'!AA$191</f>
        <v>2.1540749439077599E-2</v>
      </c>
      <c r="AE59" s="126">
        <f>'Short-sea (Methanol)'!AB$191</f>
        <v>2.112575503944223E-2</v>
      </c>
      <c r="AF59" s="126">
        <f>'Short-sea (Methanol)'!AC$191</f>
        <v>2.0718005914063236E-2</v>
      </c>
    </row>
    <row r="60" spans="1:32" x14ac:dyDescent="0.25">
      <c r="A60">
        <v>59</v>
      </c>
      <c r="B60" t="s">
        <v>168</v>
      </c>
      <c r="C60" t="s">
        <v>187</v>
      </c>
      <c r="D60" t="s">
        <v>225</v>
      </c>
      <c r="E60" s="126">
        <f>'Short-sea (Methanol)'!B$299</f>
        <v>5.1294447763546691E-2</v>
      </c>
      <c r="F60" s="126">
        <f>'Short-sea (Methanol)'!C$299</f>
        <v>4.9325692032867283E-2</v>
      </c>
      <c r="G60" s="126">
        <f>'Short-sea (Methanol)'!D$299</f>
        <v>4.7355688957814668E-2</v>
      </c>
      <c r="H60" s="126">
        <f>'Short-sea (Methanol)'!E$299</f>
        <v>4.5586687202565167E-2</v>
      </c>
      <c r="I60" s="126">
        <f>'Short-sea (Methanol)'!F$299</f>
        <v>4.3815303909111633E-2</v>
      </c>
      <c r="J60" s="126">
        <f>'Short-sea (Methanol)'!G$299</f>
        <v>4.2040688214110541E-2</v>
      </c>
      <c r="K60" s="126">
        <f>'Short-sea (Methanol)'!H$299</f>
        <v>4.026171392994754E-2</v>
      </c>
      <c r="L60" s="126">
        <f>'Short-sea (Methanol)'!I$299</f>
        <v>3.8476915025385562E-2</v>
      </c>
      <c r="M60" s="126">
        <f>'Short-sea (Methanol)'!J$299</f>
        <v>3.7673234827058963E-2</v>
      </c>
      <c r="N60" s="126">
        <f>'Short-sea (Methanol)'!K$299</f>
        <v>3.6857296556404198E-2</v>
      </c>
      <c r="O60" s="126">
        <f>'Short-sea (Methanol)'!L$299</f>
        <v>3.6025136750246448E-2</v>
      </c>
      <c r="P60" s="126">
        <f>'Short-sea (Methanol)'!M$299</f>
        <v>3.5172127420285873E-2</v>
      </c>
      <c r="Q60" s="126">
        <f>'Short-sea (Methanol)'!N$299</f>
        <v>3.4293452941111524E-2</v>
      </c>
      <c r="R60" s="126">
        <f>'Short-sea (Methanol)'!O$299</f>
        <v>3.3168396971480982E-2</v>
      </c>
      <c r="S60" s="126">
        <f>'Short-sea (Methanol)'!P$299</f>
        <v>3.2014505885332598E-2</v>
      </c>
      <c r="T60" s="126">
        <f>'Short-sea (Methanol)'!Q$299</f>
        <v>3.0835794108647251E-2</v>
      </c>
      <c r="U60" s="126">
        <f>'Short-sea (Methanol)'!R$299</f>
        <v>2.9642378877131045E-2</v>
      </c>
      <c r="V60" s="126">
        <f>'Short-sea (Methanol)'!S$299</f>
        <v>2.8449781203061866E-2</v>
      </c>
      <c r="W60" s="126">
        <f>'Short-sea (Methanol)'!T$299</f>
        <v>2.7579183177392309E-2</v>
      </c>
      <c r="X60" s="126">
        <f>'Short-sea (Methanol)'!U$299</f>
        <v>2.6737480640815658E-2</v>
      </c>
      <c r="Y60" s="126">
        <f>'Short-sea (Methanol)'!V$299</f>
        <v>2.5933528833750406E-2</v>
      </c>
      <c r="Z60" s="126">
        <f>'Short-sea (Methanol)'!W$299</f>
        <v>2.5169098422908986E-2</v>
      </c>
      <c r="AA60" s="126">
        <f>'Short-sea (Methanol)'!X$299</f>
        <v>2.4440560331309737E-2</v>
      </c>
      <c r="AB60" s="126">
        <f>'Short-sea (Methanol)'!Y$299</f>
        <v>2.3934407489345128E-2</v>
      </c>
      <c r="AC60" s="126">
        <f>'Short-sea (Methanol)'!Z$299</f>
        <v>2.3450203033831774E-2</v>
      </c>
      <c r="AD60" s="126">
        <f>'Short-sea (Methanol)'!AA$299</f>
        <v>2.298215353373494E-2</v>
      </c>
      <c r="AE60" s="126">
        <f>'Short-sea (Methanol)'!AB$299</f>
        <v>2.2525588677940096E-2</v>
      </c>
      <c r="AF60" s="126">
        <f>'Short-sea (Methanol)'!AC$299</f>
        <v>2.20769948636797E-2</v>
      </c>
    </row>
    <row r="61" spans="1:32" x14ac:dyDescent="0.25">
      <c r="A61">
        <v>60</v>
      </c>
      <c r="B61" t="s">
        <v>168</v>
      </c>
      <c r="C61" t="s">
        <v>187</v>
      </c>
      <c r="D61" t="s">
        <v>226</v>
      </c>
      <c r="E61" s="126">
        <f>'Short-sea (Methanol)'!B$408</f>
        <v>3.947794392793505E-2</v>
      </c>
      <c r="F61" s="126">
        <f>'Short-sea (Methanol)'!C$408</f>
        <v>3.7962600897920709E-2</v>
      </c>
      <c r="G61" s="126">
        <f>'Short-sea (Methanol)'!D$408</f>
        <v>3.6446297792172982E-2</v>
      </c>
      <c r="H61" s="126">
        <f>'Short-sea (Methanol)'!E$408</f>
        <v>3.5084704559387621E-2</v>
      </c>
      <c r="I61" s="126">
        <f>'Short-sea (Methanol)'!F$408</f>
        <v>3.37212782666335E-2</v>
      </c>
      <c r="J61" s="126">
        <f>'Short-sea (Methanol)'!G$408</f>
        <v>3.2355364007963142E-2</v>
      </c>
      <c r="K61" s="126">
        <f>'Short-sea (Methanol)'!H$408</f>
        <v>3.0986094961492412E-2</v>
      </c>
      <c r="L61" s="126">
        <f>'Short-sea (Methanol)'!I$408</f>
        <v>2.9612342729125888E-2</v>
      </c>
      <c r="M61" s="126">
        <f>'Short-sea (Methanol)'!J$408</f>
        <v>2.899375345067106E-2</v>
      </c>
      <c r="N61" s="126">
        <f>'Short-sea (Methanol)'!K$408</f>
        <v>2.8365729185348944E-2</v>
      </c>
      <c r="O61" s="126">
        <f>'Short-sea (Methanol)'!L$408</f>
        <v>2.7725219272174455E-2</v>
      </c>
      <c r="P61" s="126">
        <f>'Short-sea (Methanol)'!M$408</f>
        <v>2.7068661567960485E-2</v>
      </c>
      <c r="Q61" s="126">
        <f>'Short-sea (Methanol)'!N$408</f>
        <v>2.6392349506022334E-2</v>
      </c>
      <c r="R61" s="126">
        <f>'Short-sea (Methanol)'!O$408</f>
        <v>2.552639864406988E-2</v>
      </c>
      <c r="S61" s="126">
        <f>'Short-sea (Methanol)'!P$408</f>
        <v>2.4638253513852414E-2</v>
      </c>
      <c r="T61" s="126">
        <f>'Short-sea (Methanol)'!Q$408</f>
        <v>2.3731004002213112E-2</v>
      </c>
      <c r="U61" s="126">
        <f>'Short-sea (Methanol)'!R$408</f>
        <v>2.2812437303048778E-2</v>
      </c>
      <c r="V61" s="126">
        <f>'Short-sea (Methanol)'!S$408</f>
        <v>2.1894499874423039E-2</v>
      </c>
      <c r="W61" s="126">
        <f>'Short-sea (Methanol)'!T$408</f>
        <v>2.1224404224879277E-2</v>
      </c>
      <c r="X61" s="126">
        <f>'Short-sea (Methanol)'!U$408</f>
        <v>2.0576549312118379E-2</v>
      </c>
      <c r="Y61" s="126">
        <f>'Short-sea (Methanol)'!V$408</f>
        <v>1.99577509775564E-2</v>
      </c>
      <c r="Z61" s="126">
        <f>'Short-sea (Methanol)'!W$408</f>
        <v>1.9369372095936688E-2</v>
      </c>
      <c r="AA61" s="126">
        <f>'Short-sea (Methanol)'!X$408</f>
        <v>1.8808619381924827E-2</v>
      </c>
      <c r="AB61" s="126">
        <f>'Short-sea (Methanol)'!Y$408</f>
        <v>1.8419035661994102E-2</v>
      </c>
      <c r="AC61" s="126">
        <f>'Short-sea (Methanol)'!Z$408</f>
        <v>1.8046345523075318E-2</v>
      </c>
      <c r="AD61" s="126">
        <f>'Short-sea (Methanol)'!AA$408</f>
        <v>1.7686089785595552E-2</v>
      </c>
      <c r="AE61" s="126">
        <f>'Short-sea (Methanol)'!AB$408</f>
        <v>1.7334673730674672E-2</v>
      </c>
      <c r="AF61" s="126">
        <f>'Short-sea (Methanol)'!AC$408</f>
        <v>1.6989392952996653E-2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178" zoomScale="85" zoomScaleNormal="85" zoomScaleSheetLayoutView="50" workbookViewId="0">
      <selection activeCell="B298" sqref="B29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Input'!L77</f>
        <v>105000</v>
      </c>
      <c r="C11" s="42">
        <f>'Parameter Input'!M77</f>
        <v>115000</v>
      </c>
      <c r="D11" s="1" t="s">
        <v>15</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Input'!L78</f>
        <v>-26250</v>
      </c>
      <c r="C12" s="61">
        <f>'Parameter Input'!M78</f>
        <v>-17250</v>
      </c>
      <c r="D12" s="1" t="s">
        <v>15</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Input'!L84</f>
        <v>0.06</v>
      </c>
      <c r="C15" s="46">
        <f>'Parameter Input'!M84</f>
        <v>0.06</v>
      </c>
      <c r="D15" s="1" t="s">
        <v>57</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Input'!L80</f>
        <v>20000</v>
      </c>
      <c r="C17" s="44">
        <f>'Parameter Input'!M80</f>
        <v>20000</v>
      </c>
      <c r="D17" s="1" t="s">
        <v>38</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Input'!L81</f>
        <v>2.9</v>
      </c>
      <c r="C19" s="48">
        <f>'Parameter Input'!M81</f>
        <v>2.4</v>
      </c>
      <c r="D19" s="1" t="s">
        <v>60</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Input'!L82</f>
        <v>0.1</v>
      </c>
      <c r="C20" s="46">
        <f>'Parameter Input'!M82</f>
        <v>0.1</v>
      </c>
      <c r="D20" s="1" t="s">
        <v>68</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Input'!$L$85</f>
        <v>0</v>
      </c>
      <c r="C21" s="46">
        <f>'Parameter Input'!$M$85</f>
        <v>0</v>
      </c>
      <c r="D21" s="1" t="s">
        <v>76</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Input'!L79</f>
        <v>8</v>
      </c>
      <c r="C22" s="44">
        <f>'Parameter Input'!M79</f>
        <v>8</v>
      </c>
      <c r="D22" s="1" t="s">
        <v>42</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Input'!L83</f>
        <v>0</v>
      </c>
      <c r="C26" s="73">
        <f>'Parameter Input'!M83</f>
        <v>0</v>
      </c>
      <c r="D26" s="1" t="s">
        <v>57</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'Parameter Input'!J8</f>
        <v>6.4802641056422569E-2</v>
      </c>
      <c r="C40" s="66">
        <f>'Parameter Input'!K8</f>
        <v>6.3089795918367345E-2</v>
      </c>
      <c r="D40" s="66">
        <f>'Parameter Input'!L8</f>
        <v>6.1376950780312127E-2</v>
      </c>
      <c r="E40" s="66">
        <f>'Parameter Input'!M8</f>
        <v>5.9664105642256909E-2</v>
      </c>
      <c r="F40" s="66">
        <f>'Parameter Input'!N8</f>
        <v>5.7951260504201692E-2</v>
      </c>
      <c r="G40" s="66">
        <f>'Parameter Input'!O8</f>
        <v>5.6238415366146474E-2</v>
      </c>
      <c r="H40" s="66">
        <f>'Parameter Input'!P8</f>
        <v>5.4525570228091257E-2</v>
      </c>
      <c r="I40" s="66">
        <f>'Parameter Input'!Q8</f>
        <v>5.2812725090036025E-2</v>
      </c>
      <c r="J40" s="66">
        <f>'Parameter Input'!R8</f>
        <v>5.2313145258103252E-2</v>
      </c>
      <c r="K40" s="66">
        <f>'Parameter Input'!S8</f>
        <v>5.181356542617048E-2</v>
      </c>
      <c r="L40" s="66">
        <f>'Parameter Input'!T8</f>
        <v>5.1313985594237707E-2</v>
      </c>
      <c r="M40" s="66">
        <f>'Parameter Input'!U8</f>
        <v>5.0814405762304934E-2</v>
      </c>
      <c r="N40" s="66">
        <f>'Parameter Input'!V8</f>
        <v>5.0314825930372155E-2</v>
      </c>
      <c r="O40" s="66">
        <f>'Parameter Input'!W8</f>
        <v>4.9815246098439382E-2</v>
      </c>
      <c r="P40" s="66">
        <f>'Parameter Input'!X8</f>
        <v>4.931566626650661E-2</v>
      </c>
      <c r="Q40" s="66">
        <f>'Parameter Input'!Y8</f>
        <v>4.8816086434573837E-2</v>
      </c>
      <c r="R40" s="66">
        <f>'Parameter Input'!Z8</f>
        <v>4.8316506602641064E-2</v>
      </c>
      <c r="S40" s="66">
        <f>'Parameter Input'!AA8</f>
        <v>4.7816926770708292E-2</v>
      </c>
      <c r="T40" s="66">
        <f>'Parameter Input'!AB8</f>
        <v>4.7317346938775519E-2</v>
      </c>
      <c r="U40" s="66">
        <f>'Parameter Input'!AC8</f>
        <v>4.6817767106842746E-2</v>
      </c>
      <c r="V40" s="66">
        <f>'Parameter Input'!AD8</f>
        <v>4.6318187274909974E-2</v>
      </c>
      <c r="W40" s="66">
        <f>'Parameter Input'!AE8</f>
        <v>4.5818607442977201E-2</v>
      </c>
      <c r="X40" s="66">
        <f>'Parameter Input'!AF8</f>
        <v>4.5319027611044428E-2</v>
      </c>
      <c r="Y40" s="66">
        <f>'Parameter Input'!AG8</f>
        <v>4.4819447779111656E-2</v>
      </c>
      <c r="Z40" s="66">
        <f>'Parameter Input'!AH8</f>
        <v>4.4319867947178883E-2</v>
      </c>
      <c r="AA40" s="66">
        <f>'Parameter Input'!AI8</f>
        <v>4.382028811524611E-2</v>
      </c>
      <c r="AB40" s="66">
        <f>'Parameter Input'!AJ8</f>
        <v>4.3320708283313338E-2</v>
      </c>
      <c r="AC40" s="66">
        <f>'Parameter Input'!AK8</f>
        <v>4.2821128451380565E-2</v>
      </c>
    </row>
    <row r="41" spans="1:29" x14ac:dyDescent="0.25">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25">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10312.494078966965</v>
      </c>
      <c r="C57" s="62">
        <f t="shared" ref="C57:AC57" si="49">C39*C40*C47</f>
        <v>10030.109770556071</v>
      </c>
      <c r="D57" s="62">
        <f t="shared" si="49"/>
        <v>9744.2520911510055</v>
      </c>
      <c r="E57" s="62">
        <f t="shared" si="49"/>
        <v>9453.7064280194463</v>
      </c>
      <c r="F57" s="62">
        <f t="shared" si="49"/>
        <v>9156.9259876050874</v>
      </c>
      <c r="G57" s="62">
        <f t="shared" si="49"/>
        <v>8852.0305657834888</v>
      </c>
      <c r="H57" s="62">
        <f t="shared" si="49"/>
        <v>8536.9037260460318</v>
      </c>
      <c r="I57" s="62">
        <f t="shared" si="49"/>
        <v>8209.4740286703491</v>
      </c>
      <c r="J57" s="62">
        <f t="shared" si="49"/>
        <v>8055.0921918903741</v>
      </c>
      <c r="K57" s="62">
        <f t="shared" si="49"/>
        <v>7882.4686990207156</v>
      </c>
      <c r="L57" s="62">
        <f t="shared" si="49"/>
        <v>7692.7381035585704</v>
      </c>
      <c r="M57" s="62">
        <f t="shared" si="49"/>
        <v>7490.4940400119249</v>
      </c>
      <c r="N57" s="62">
        <f t="shared" si="49"/>
        <v>7283.7309268351537</v>
      </c>
      <c r="O57" s="62">
        <f t="shared" si="49"/>
        <v>7082.2048984706726</v>
      </c>
      <c r="P57" s="62">
        <f t="shared" si="49"/>
        <v>6894.7412332989288</v>
      </c>
      <c r="Q57" s="62">
        <f t="shared" si="49"/>
        <v>6726.941956717721</v>
      </c>
      <c r="R57" s="62">
        <f t="shared" si="49"/>
        <v>6580.4582751334892</v>
      </c>
      <c r="S57" s="62">
        <f t="shared" si="49"/>
        <v>6453.7873398039337</v>
      </c>
      <c r="T57" s="62">
        <f t="shared" si="49"/>
        <v>6343.7116908607049</v>
      </c>
      <c r="U57" s="62">
        <f t="shared" si="49"/>
        <v>6246.5635695774026</v>
      </c>
      <c r="V57" s="62">
        <f t="shared" si="49"/>
        <v>6158.9885446471499</v>
      </c>
      <c r="W57" s="62">
        <f t="shared" si="49"/>
        <v>6078.2579600392337</v>
      </c>
      <c r="X57" s="62">
        <f t="shared" si="49"/>
        <v>6002.3040675454122</v>
      </c>
      <c r="Y57" s="62">
        <f t="shared" si="49"/>
        <v>5929.629148584072</v>
      </c>
      <c r="Z57" s="62">
        <f t="shared" si="49"/>
        <v>5859.1798951278943</v>
      </c>
      <c r="AA57" s="62">
        <f t="shared" si="49"/>
        <v>5790.2298438898379</v>
      </c>
      <c r="AB57" s="62">
        <f t="shared" si="49"/>
        <v>5722.2844181335186</v>
      </c>
      <c r="AC57" s="62">
        <f t="shared" si="49"/>
        <v>5655.0098225736783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123160.50766643771</v>
      </c>
      <c r="C59" s="64">
        <f t="shared" ref="C59:AC59" si="51">C50+C51+C52+C53+C54+C55+C56+C57+C58</f>
        <v>122895.41902326921</v>
      </c>
      <c r="D59" s="64">
        <f t="shared" si="51"/>
        <v>122634.11870914382</v>
      </c>
      <c r="E59" s="64">
        <f t="shared" si="51"/>
        <v>122378.28252202293</v>
      </c>
      <c r="F59" s="64">
        <f t="shared" si="51"/>
        <v>122130.23355971673</v>
      </c>
      <c r="G59" s="64">
        <f t="shared" si="51"/>
        <v>121893.09258253982</v>
      </c>
      <c r="H59" s="64">
        <f t="shared" si="51"/>
        <v>121670.85455171141</v>
      </c>
      <c r="I59" s="64">
        <f t="shared" si="51"/>
        <v>121468.25745994714</v>
      </c>
      <c r="J59" s="64">
        <f t="shared" si="51"/>
        <v>121477.05595458712</v>
      </c>
      <c r="K59" s="64">
        <f t="shared" si="51"/>
        <v>121509.93050808506</v>
      </c>
      <c r="L59" s="64">
        <f t="shared" si="51"/>
        <v>121566.79166944168</v>
      </c>
      <c r="M59" s="64">
        <f t="shared" si="51"/>
        <v>121643.38706780266</v>
      </c>
      <c r="N59" s="64">
        <f t="shared" si="51"/>
        <v>121730.99363051224</v>
      </c>
      <c r="O59" s="64">
        <f t="shared" si="51"/>
        <v>121818.04463341572</v>
      </c>
      <c r="P59" s="64">
        <f t="shared" si="51"/>
        <v>121893.27857974824</v>
      </c>
      <c r="Q59" s="64">
        <f t="shared" si="51"/>
        <v>121948.73486408638</v>
      </c>
      <c r="R59" s="64">
        <f t="shared" si="51"/>
        <v>121981.03890399291</v>
      </c>
      <c r="S59" s="64">
        <f t="shared" si="51"/>
        <v>121990.79093532615</v>
      </c>
      <c r="T59" s="64">
        <f t="shared" si="51"/>
        <v>121980.99710801781</v>
      </c>
      <c r="U59" s="64">
        <f t="shared" si="51"/>
        <v>121955.54903846001</v>
      </c>
      <c r="V59" s="64">
        <f t="shared" si="51"/>
        <v>121918.22516115075</v>
      </c>
      <c r="W59" s="64">
        <f t="shared" si="51"/>
        <v>121872.22120822586</v>
      </c>
      <c r="X59" s="64">
        <f t="shared" si="51"/>
        <v>121820.03248028718</v>
      </c>
      <c r="Y59" s="64">
        <f t="shared" si="51"/>
        <v>121763.51269625385</v>
      </c>
      <c r="Z59" s="64">
        <f t="shared" si="51"/>
        <v>121703.99544283873</v>
      </c>
      <c r="AA59" s="64">
        <f t="shared" si="51"/>
        <v>121642.4201302416</v>
      </c>
      <c r="AB59" s="64">
        <f t="shared" si="51"/>
        <v>121579.43934190377</v>
      </c>
      <c r="AC59" s="64">
        <f t="shared" si="51"/>
        <v>121515.50222194919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0.32312262231413541</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25">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0.18749989234485392</v>
      </c>
      <c r="C69" s="66">
        <f t="shared" ref="C69:AC69" si="60">C39*C40*C47/C47</f>
        <v>0.18236563219192858</v>
      </c>
      <c r="D69" s="66">
        <f t="shared" si="60"/>
        <v>0.17716821983910919</v>
      </c>
      <c r="E69" s="66">
        <f t="shared" si="60"/>
        <v>0.17188557141853539</v>
      </c>
      <c r="F69" s="66">
        <f t="shared" si="60"/>
        <v>0.1664895634110016</v>
      </c>
      <c r="G69" s="66">
        <f t="shared" si="60"/>
        <v>0.16094601028697253</v>
      </c>
      <c r="H69" s="66">
        <f t="shared" si="60"/>
        <v>0.15521643138265512</v>
      </c>
      <c r="I69" s="66">
        <f t="shared" si="60"/>
        <v>0.14926316415764271</v>
      </c>
      <c r="J69" s="66">
        <f t="shared" si="60"/>
        <v>0.14645622167073408</v>
      </c>
      <c r="K69" s="66">
        <f t="shared" si="60"/>
        <v>0.14331761270946755</v>
      </c>
      <c r="L69" s="66">
        <f t="shared" si="60"/>
        <v>0.13986796551924674</v>
      </c>
      <c r="M69" s="66">
        <f t="shared" si="60"/>
        <v>0.13619080072748954</v>
      </c>
      <c r="N69" s="66">
        <f t="shared" si="60"/>
        <v>0.13243147139700279</v>
      </c>
      <c r="O69" s="66">
        <f t="shared" si="60"/>
        <v>0.12876736179037587</v>
      </c>
      <c r="P69" s="66">
        <f t="shared" si="60"/>
        <v>0.12535893151452598</v>
      </c>
      <c r="Q69" s="66">
        <f t="shared" si="60"/>
        <v>0.12230803557668583</v>
      </c>
      <c r="R69" s="66">
        <f t="shared" si="60"/>
        <v>0.11964469591151798</v>
      </c>
      <c r="S69" s="66">
        <f t="shared" si="60"/>
        <v>0.11734158799643515</v>
      </c>
      <c r="T69" s="66">
        <f t="shared" si="60"/>
        <v>0.11534021256110373</v>
      </c>
      <c r="U69" s="66">
        <f t="shared" si="60"/>
        <v>0.1135738830832255</v>
      </c>
      <c r="V69" s="66">
        <f t="shared" si="60"/>
        <v>0.11198160990267546</v>
      </c>
      <c r="W69" s="66">
        <f t="shared" si="60"/>
        <v>0.11051378109162244</v>
      </c>
      <c r="X69" s="66">
        <f t="shared" si="60"/>
        <v>0.1091328012280984</v>
      </c>
      <c r="Y69" s="66">
        <f t="shared" si="60"/>
        <v>0.10781143906516495</v>
      </c>
      <c r="Z69" s="66">
        <f t="shared" si="60"/>
        <v>0.1065305435477799</v>
      </c>
      <c r="AA69" s="66">
        <f t="shared" si="60"/>
        <v>0.1052769062525425</v>
      </c>
      <c r="AB69" s="66">
        <f t="shared" si="60"/>
        <v>0.10404153487515488</v>
      </c>
      <c r="AC69" s="66">
        <f t="shared" si="60"/>
        <v>0.10281836041043052</v>
      </c>
    </row>
    <row r="70" spans="1:29" ht="15.75" thickBot="1" x14ac:dyDescent="0.3">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75" thickBot="1" x14ac:dyDescent="0.3">
      <c r="A71" s="31" t="s">
        <v>63</v>
      </c>
      <c r="B71" s="76">
        <f>B62+B63+B64-B65+B66+B67+B68+B69+B70</f>
        <v>2.2886884878335523</v>
      </c>
      <c r="C71" s="76">
        <f t="shared" ref="C71:AC71" si="62">C62+C63+C64-C65+C66+C67+C68+C69+C70</f>
        <v>2.2838686943213977</v>
      </c>
      <c r="D71" s="76">
        <f t="shared" si="62"/>
        <v>2.2791177795191175</v>
      </c>
      <c r="E71" s="76">
        <f t="shared" si="62"/>
        <v>2.2744662124805561</v>
      </c>
      <c r="F71" s="76">
        <f t="shared" si="62"/>
        <v>2.2699562313477166</v>
      </c>
      <c r="G71" s="76">
        <f t="shared" si="62"/>
        <v>2.2656445772172269</v>
      </c>
      <c r="H71" s="76">
        <f t="shared" si="62"/>
        <v>2.2616038857476197</v>
      </c>
      <c r="I71" s="76">
        <f t="shared" si="62"/>
        <v>2.2579203022609966</v>
      </c>
      <c r="J71" s="76">
        <f t="shared" si="62"/>
        <v>2.2580802748908142</v>
      </c>
      <c r="K71" s="76">
        <f t="shared" si="62"/>
        <v>2.2586779940453225</v>
      </c>
      <c r="L71" s="76">
        <f t="shared" si="62"/>
        <v>2.2597118333427151</v>
      </c>
      <c r="M71" s="76">
        <f t="shared" si="62"/>
        <v>2.2611044769492787</v>
      </c>
      <c r="N71" s="76">
        <f t="shared" si="62"/>
        <v>2.2626973235439984</v>
      </c>
      <c r="O71" s="76">
        <f t="shared" si="62"/>
        <v>2.2642800690513338</v>
      </c>
      <c r="P71" s="76">
        <f t="shared" si="62"/>
        <v>2.2656479589846525</v>
      </c>
      <c r="Q71" s="76">
        <f t="shared" si="62"/>
        <v>2.2666562550635279</v>
      </c>
      <c r="R71" s="76">
        <f t="shared" si="62"/>
        <v>2.2672436012436465</v>
      </c>
      <c r="S71" s="76">
        <f t="shared" si="62"/>
        <v>2.2674209109042511</v>
      </c>
      <c r="T71" s="76">
        <f t="shared" si="62"/>
        <v>2.2672428413168269</v>
      </c>
      <c r="U71" s="76">
        <f t="shared" si="62"/>
        <v>2.2667801491430488</v>
      </c>
      <c r="V71" s="76">
        <f t="shared" si="62"/>
        <v>2.2661015331919714</v>
      </c>
      <c r="W71" s="76">
        <f t="shared" si="62"/>
        <v>2.2652650976842463</v>
      </c>
      <c r="X71" s="76">
        <f t="shared" si="62"/>
        <v>2.2643162117217241</v>
      </c>
      <c r="Y71" s="76">
        <f t="shared" si="62"/>
        <v>2.263288579284755</v>
      </c>
      <c r="Z71" s="76">
        <f t="shared" si="62"/>
        <v>2.2622064474044801</v>
      </c>
      <c r="AA71" s="76">
        <f t="shared" si="62"/>
        <v>2.2610868962663506</v>
      </c>
      <c r="AB71" s="76">
        <f t="shared" si="62"/>
        <v>2.2599417910238442</v>
      </c>
      <c r="AC71" s="76">
        <f t="shared" si="62"/>
        <v>2.2587792979337613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1.2924904892565417E-2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25">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25">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25">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25">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25">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25">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25">
      <c r="A81" s="30" t="str">
        <f t="shared" si="63"/>
        <v>Fuel Cost</v>
      </c>
      <c r="B81" s="66">
        <f>B39*B40*B47/B47/(B44)</f>
        <v>7.4999956937941573E-3</v>
      </c>
      <c r="C81" s="66">
        <f t="shared" ref="C81:AC81" si="71">C39*C40*C47/C47/(C44)</f>
        <v>7.2946252876771433E-3</v>
      </c>
      <c r="D81" s="66">
        <f t="shared" si="71"/>
        <v>7.0867287935643675E-3</v>
      </c>
      <c r="E81" s="66">
        <f t="shared" si="71"/>
        <v>6.8754228567414156E-3</v>
      </c>
      <c r="F81" s="66">
        <f t="shared" si="71"/>
        <v>6.6595825364400641E-3</v>
      </c>
      <c r="G81" s="66">
        <f t="shared" si="71"/>
        <v>6.4378404114789015E-3</v>
      </c>
      <c r="H81" s="66">
        <f t="shared" si="71"/>
        <v>6.2086572553062044E-3</v>
      </c>
      <c r="I81" s="66">
        <f t="shared" si="71"/>
        <v>5.9705265663057084E-3</v>
      </c>
      <c r="J81" s="66">
        <f t="shared" si="71"/>
        <v>5.8582488668293634E-3</v>
      </c>
      <c r="K81" s="66">
        <f t="shared" si="71"/>
        <v>5.7327045083787019E-3</v>
      </c>
      <c r="L81" s="66">
        <f t="shared" si="71"/>
        <v>5.5947186207698698E-3</v>
      </c>
      <c r="M81" s="66">
        <f t="shared" si="71"/>
        <v>5.4476320290995812E-3</v>
      </c>
      <c r="N81" s="66">
        <f t="shared" si="71"/>
        <v>5.2972588558801116E-3</v>
      </c>
      <c r="O81" s="66">
        <f t="shared" si="71"/>
        <v>5.1506944716150352E-3</v>
      </c>
      <c r="P81" s="66">
        <f t="shared" si="71"/>
        <v>5.0143572605810391E-3</v>
      </c>
      <c r="Q81" s="66">
        <f t="shared" si="71"/>
        <v>4.8923214230674333E-3</v>
      </c>
      <c r="R81" s="66">
        <f t="shared" si="71"/>
        <v>4.7857878364607189E-3</v>
      </c>
      <c r="S81" s="66">
        <f t="shared" si="71"/>
        <v>4.6936635198574061E-3</v>
      </c>
      <c r="T81" s="66">
        <f t="shared" si="71"/>
        <v>4.6136085024441496E-3</v>
      </c>
      <c r="U81" s="66">
        <f t="shared" si="71"/>
        <v>4.5429553233290202E-3</v>
      </c>
      <c r="V81" s="66">
        <f t="shared" si="71"/>
        <v>4.479264396107018E-3</v>
      </c>
      <c r="W81" s="66">
        <f t="shared" si="71"/>
        <v>4.4205512436648973E-3</v>
      </c>
      <c r="X81" s="66">
        <f t="shared" si="71"/>
        <v>4.3653120491239364E-3</v>
      </c>
      <c r="Y81" s="66">
        <f t="shared" si="71"/>
        <v>4.312457562606598E-3</v>
      </c>
      <c r="Z81" s="66">
        <f t="shared" si="71"/>
        <v>4.2612217419111956E-3</v>
      </c>
      <c r="AA81" s="66">
        <f t="shared" si="71"/>
        <v>4.2110762501017E-3</v>
      </c>
      <c r="AB81" s="66">
        <f t="shared" si="71"/>
        <v>4.1616613950061949E-3</v>
      </c>
      <c r="AC81" s="66">
        <f t="shared" si="71"/>
        <v>4.1127344164172209E-3</v>
      </c>
    </row>
    <row r="82" spans="1:29" x14ac:dyDescent="0.25">
      <c r="A82" s="59" t="str">
        <f>A45</f>
        <v>Market failure (av. utilization)</v>
      </c>
      <c r="B82" s="66">
        <f t="shared" ref="B82" si="72">B71/B45-B71/B44</f>
        <v>7.1930209617625959E-2</v>
      </c>
      <c r="C82" s="66">
        <f t="shared" ref="C82:AC82" si="73">C71/C45-C71/C44</f>
        <v>7.1778730392958234E-2</v>
      </c>
      <c r="D82" s="66">
        <f t="shared" si="73"/>
        <v>7.1629415927743703E-2</v>
      </c>
      <c r="E82" s="66">
        <f t="shared" si="73"/>
        <v>7.148322382081751E-2</v>
      </c>
      <c r="F82" s="66">
        <f t="shared" si="73"/>
        <v>7.134148155664255E-2</v>
      </c>
      <c r="G82" s="66">
        <f t="shared" si="73"/>
        <v>7.1205972426827163E-2</v>
      </c>
      <c r="H82" s="66">
        <f t="shared" si="73"/>
        <v>7.1078979266353801E-2</v>
      </c>
      <c r="I82" s="66">
        <f t="shared" si="73"/>
        <v>7.0963209499631349E-2</v>
      </c>
      <c r="J82" s="66">
        <f t="shared" si="73"/>
        <v>7.0968237210854185E-2</v>
      </c>
      <c r="K82" s="66">
        <f t="shared" si="73"/>
        <v>7.0987022669995861E-2</v>
      </c>
      <c r="L82" s="66">
        <f t="shared" si="73"/>
        <v>7.1019514762199629E-2</v>
      </c>
      <c r="M82" s="66">
        <f t="shared" si="73"/>
        <v>7.1063283561263069E-2</v>
      </c>
      <c r="N82" s="66">
        <f t="shared" si="73"/>
        <v>7.111334445423996E-2</v>
      </c>
      <c r="O82" s="66">
        <f t="shared" si="73"/>
        <v>7.1163087884470511E-2</v>
      </c>
      <c r="P82" s="66">
        <f t="shared" si="73"/>
        <v>7.1206078710946252E-2</v>
      </c>
      <c r="Q82" s="66">
        <f t="shared" si="73"/>
        <v>7.123776801628233E-2</v>
      </c>
      <c r="R82" s="66">
        <f t="shared" si="73"/>
        <v>7.1256227467657474E-2</v>
      </c>
      <c r="S82" s="66">
        <f t="shared" si="73"/>
        <v>7.1261800056990759E-2</v>
      </c>
      <c r="T82" s="66">
        <f t="shared" si="73"/>
        <v>7.1256203584243158E-2</v>
      </c>
      <c r="U82" s="66">
        <f t="shared" si="73"/>
        <v>7.1241661830210135E-2</v>
      </c>
      <c r="V82" s="66">
        <f t="shared" si="73"/>
        <v>7.1220333900319122E-2</v>
      </c>
      <c r="W82" s="66">
        <f t="shared" si="73"/>
        <v>7.1194045927219174E-2</v>
      </c>
      <c r="X82" s="66">
        <f t="shared" si="73"/>
        <v>7.1164223796968504E-2</v>
      </c>
      <c r="Y82" s="66">
        <f t="shared" si="73"/>
        <v>7.1131926777520893E-2</v>
      </c>
      <c r="Z82" s="66">
        <f t="shared" si="73"/>
        <v>7.109791691842654E-2</v>
      </c>
      <c r="AA82" s="66">
        <f t="shared" si="73"/>
        <v>7.1062731025513901E-2</v>
      </c>
      <c r="AB82" s="66">
        <f t="shared" si="73"/>
        <v>7.1026742003606549E-2</v>
      </c>
      <c r="AC82" s="66">
        <f t="shared" si="73"/>
        <v>7.0990206506489656E-2</v>
      </c>
    </row>
    <row r="83" spans="1:29" x14ac:dyDescent="0.25">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0.16150148792048974</v>
      </c>
      <c r="C85" s="67">
        <f t="shared" ref="C85:AC85" si="76">C74+C75+C76+C77+C78+C79+C80+C81+C82+C83+C84</f>
        <v>0.16115721695533586</v>
      </c>
      <c r="D85" s="67">
        <f t="shared" si="76"/>
        <v>0.1608178658980301</v>
      </c>
      <c r="E85" s="67">
        <f t="shared" si="76"/>
        <v>0.16048561110956144</v>
      </c>
      <c r="F85" s="67">
        <f t="shared" si="76"/>
        <v>0.16016346960007288</v>
      </c>
      <c r="G85" s="67">
        <f t="shared" si="76"/>
        <v>0.15985549430503793</v>
      </c>
      <c r="H85" s="67">
        <f t="shared" si="76"/>
        <v>0.15956687348578028</v>
      </c>
      <c r="I85" s="67">
        <f t="shared" si="76"/>
        <v>0.15930376037959293</v>
      </c>
      <c r="J85" s="67">
        <f t="shared" si="76"/>
        <v>0.15931518699600847</v>
      </c>
      <c r="K85" s="67">
        <f t="shared" si="76"/>
        <v>0.15935788122133043</v>
      </c>
      <c r="L85" s="67">
        <f t="shared" si="76"/>
        <v>0.15943172688542995</v>
      </c>
      <c r="M85" s="67">
        <f t="shared" si="76"/>
        <v>0.1595312014287559</v>
      </c>
      <c r="N85" s="67">
        <f t="shared" si="76"/>
        <v>0.15964497618552159</v>
      </c>
      <c r="O85" s="67">
        <f t="shared" si="76"/>
        <v>0.15975802943604556</v>
      </c>
      <c r="P85" s="67">
        <f t="shared" si="76"/>
        <v>0.15985573585985405</v>
      </c>
      <c r="Q85" s="67">
        <f t="shared" si="76"/>
        <v>0.15992775700834516</v>
      </c>
      <c r="R85" s="67">
        <f t="shared" si="76"/>
        <v>0.15996971030692503</v>
      </c>
      <c r="S85" s="67">
        <f t="shared" si="76"/>
        <v>0.1599823752826825</v>
      </c>
      <c r="T85" s="67">
        <f t="shared" si="76"/>
        <v>0.15996965602643792</v>
      </c>
      <c r="U85" s="67">
        <f t="shared" si="76"/>
        <v>0.15993660658545378</v>
      </c>
      <c r="V85" s="67">
        <f t="shared" si="76"/>
        <v>0.15988813401751967</v>
      </c>
      <c r="W85" s="67">
        <f t="shared" si="76"/>
        <v>0.1598283886241107</v>
      </c>
      <c r="X85" s="67">
        <f t="shared" si="76"/>
        <v>0.15976061105535916</v>
      </c>
      <c r="Y85" s="67">
        <f t="shared" si="76"/>
        <v>0.15968720873843278</v>
      </c>
      <c r="Z85" s="67">
        <f t="shared" si="76"/>
        <v>0.15960991360412743</v>
      </c>
      <c r="AA85" s="67">
        <f t="shared" si="76"/>
        <v>0.15952994566568962</v>
      </c>
      <c r="AB85" s="67">
        <f t="shared" si="76"/>
        <v>0.159448152434082</v>
      </c>
      <c r="AC85" s="67">
        <f t="shared" si="76"/>
        <v>0.1593651172133618</v>
      </c>
    </row>
    <row r="87" spans="1:29" x14ac:dyDescent="0.25">
      <c r="B87" s="40"/>
    </row>
    <row r="107" spans="1:2" s="3" customFormat="1" ht="21" x14ac:dyDescent="0.35">
      <c r="A107" s="2" t="str">
        <f>'Parameter Input'!A88</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Input'!L77</f>
        <v>105000</v>
      </c>
      <c r="C117" s="42">
        <f>'Parameter Input'!M77</f>
        <v>115000</v>
      </c>
      <c r="D117" s="1" t="s">
        <v>15</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25">
      <c r="A118" s="24" t="s">
        <v>28</v>
      </c>
      <c r="B118" s="60">
        <f>'Parameter Input'!L78</f>
        <v>-26250</v>
      </c>
      <c r="C118" s="61">
        <f>'Parameter Input'!M78</f>
        <v>-17250</v>
      </c>
      <c r="D118" s="1" t="s">
        <v>15</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60">
        <f>'Parameter Input'!L84</f>
        <v>0.06</v>
      </c>
      <c r="C121" s="61">
        <f>'Parameter Input'!M84</f>
        <v>0.06</v>
      </c>
      <c r="D121" s="1" t="s">
        <v>57</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60">
        <f>'Parameter Input'!L80</f>
        <v>20000</v>
      </c>
      <c r="C123" s="61">
        <f>'Parameter Input'!M80</f>
        <v>20000</v>
      </c>
      <c r="D123" s="1" t="s">
        <v>38</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78">
        <f>'Parameter Input'!L81</f>
        <v>2.9</v>
      </c>
      <c r="C125" s="61">
        <f>'Parameter Input'!M81</f>
        <v>2.4</v>
      </c>
      <c r="D125" s="1" t="s">
        <v>60</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25">
      <c r="A126" s="24" t="s">
        <v>67</v>
      </c>
      <c r="B126" s="79">
        <f>'Parameter Input'!L82</f>
        <v>0.1</v>
      </c>
      <c r="C126" s="61">
        <f>'Parameter Input'!M82</f>
        <v>0.1</v>
      </c>
      <c r="D126" s="1" t="s">
        <v>68</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25">
      <c r="A127" s="24" t="s">
        <v>206</v>
      </c>
      <c r="B127" s="45">
        <f>'Parameter Input'!$L$85</f>
        <v>0</v>
      </c>
      <c r="C127" s="46">
        <f>'Parameter Input'!$M$85</f>
        <v>0</v>
      </c>
      <c r="D127" s="1" t="s">
        <v>76</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Input'!L79</f>
        <v>8</v>
      </c>
      <c r="C128" s="61">
        <f>'Parameter Input'!M79</f>
        <v>8</v>
      </c>
      <c r="D128" s="1" t="s">
        <v>42</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25">
      <c r="A132" s="24" t="s">
        <v>73</v>
      </c>
      <c r="B132" s="45">
        <f>'Parameter Input'!L83</f>
        <v>0</v>
      </c>
      <c r="C132" s="46">
        <f>'Parameter Input'!M83</f>
        <v>0</v>
      </c>
      <c r="D132" s="1" t="s">
        <v>57</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25">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25">
      <c r="A146" s="30" t="str">
        <f t="shared" si="82"/>
        <v>Fuel Cost</v>
      </c>
      <c r="B146" s="66">
        <f>'Parameter Input'!J8</f>
        <v>6.4802641056422569E-2</v>
      </c>
      <c r="C146" s="66">
        <f>'Parameter Input'!K8</f>
        <v>6.3089795918367345E-2</v>
      </c>
      <c r="D146" s="66">
        <f>'Parameter Input'!L8</f>
        <v>6.1376950780312127E-2</v>
      </c>
      <c r="E146" s="66">
        <f>'Parameter Input'!M8</f>
        <v>5.9664105642256909E-2</v>
      </c>
      <c r="F146" s="66">
        <f>'Parameter Input'!N8</f>
        <v>5.7951260504201692E-2</v>
      </c>
      <c r="G146" s="66">
        <f>'Parameter Input'!O8</f>
        <v>5.6238415366146474E-2</v>
      </c>
      <c r="H146" s="66">
        <f>'Parameter Input'!P8</f>
        <v>5.4525570228091257E-2</v>
      </c>
      <c r="I146" s="66">
        <f>'Parameter Input'!Q8</f>
        <v>5.2812725090036025E-2</v>
      </c>
      <c r="J146" s="66">
        <f>'Parameter Input'!R8</f>
        <v>5.2313145258103252E-2</v>
      </c>
      <c r="K146" s="66">
        <f>'Parameter Input'!S8</f>
        <v>5.181356542617048E-2</v>
      </c>
      <c r="L146" s="66">
        <f>'Parameter Input'!T8</f>
        <v>5.1313985594237707E-2</v>
      </c>
      <c r="M146" s="66">
        <f>'Parameter Input'!U8</f>
        <v>5.0814405762304934E-2</v>
      </c>
      <c r="N146" s="66">
        <f>'Parameter Input'!V8</f>
        <v>5.0314825930372155E-2</v>
      </c>
      <c r="O146" s="66">
        <f>'Parameter Input'!W8</f>
        <v>4.9815246098439382E-2</v>
      </c>
      <c r="P146" s="66">
        <f>'Parameter Input'!X8</f>
        <v>4.931566626650661E-2</v>
      </c>
      <c r="Q146" s="66">
        <f>'Parameter Input'!Y8</f>
        <v>4.8816086434573837E-2</v>
      </c>
      <c r="R146" s="66">
        <f>'Parameter Input'!Z8</f>
        <v>4.8316506602641064E-2</v>
      </c>
      <c r="S146" s="66">
        <f>'Parameter Input'!AA8</f>
        <v>4.7816926770708292E-2</v>
      </c>
      <c r="T146" s="66">
        <f>'Parameter Input'!AB8</f>
        <v>4.7317346938775519E-2</v>
      </c>
      <c r="U146" s="66">
        <f>'Parameter Input'!AC8</f>
        <v>4.6817767106842746E-2</v>
      </c>
      <c r="V146" s="66">
        <f>'Parameter Input'!AD8</f>
        <v>4.6318187274909974E-2</v>
      </c>
      <c r="W146" s="66">
        <f>'Parameter Input'!AE8</f>
        <v>4.5818607442977201E-2</v>
      </c>
      <c r="X146" s="66">
        <f>'Parameter Input'!AF8</f>
        <v>4.5319027611044428E-2</v>
      </c>
      <c r="Y146" s="66">
        <f>'Parameter Input'!AG8</f>
        <v>4.4819447779111656E-2</v>
      </c>
      <c r="Z146" s="66">
        <f>'Parameter Input'!AH8</f>
        <v>4.4319867947178883E-2</v>
      </c>
      <c r="AA146" s="66">
        <f>'Parameter Input'!AI8</f>
        <v>4.382028811524611E-2</v>
      </c>
      <c r="AB146" s="66">
        <f>'Parameter Input'!AJ8</f>
        <v>4.3320708283313338E-2</v>
      </c>
      <c r="AC146" s="66">
        <f>'Parameter Input'!AK8</f>
        <v>4.2821128451380565E-2</v>
      </c>
    </row>
    <row r="147" spans="1:29" x14ac:dyDescent="0.25">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25">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25">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25">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25">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25">
      <c r="A152" s="30" t="s">
        <v>73</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25">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25">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 t="shared" ref="B163:AC163" si="153">B145*B146*B153</f>
        <v>20624.988157933931</v>
      </c>
      <c r="C163" s="62">
        <f t="shared" si="153"/>
        <v>20060.219541112143</v>
      </c>
      <c r="D163" s="62">
        <f t="shared" si="153"/>
        <v>19488.504182302011</v>
      </c>
      <c r="E163" s="62">
        <f t="shared" si="153"/>
        <v>18907.412856038893</v>
      </c>
      <c r="F163" s="62">
        <f t="shared" si="153"/>
        <v>18313.851975210175</v>
      </c>
      <c r="G163" s="62">
        <f t="shared" si="153"/>
        <v>17704.061131566978</v>
      </c>
      <c r="H163" s="62">
        <f t="shared" si="153"/>
        <v>17073.807452092064</v>
      </c>
      <c r="I163" s="62">
        <f t="shared" si="153"/>
        <v>16418.948057340698</v>
      </c>
      <c r="J163" s="62">
        <f t="shared" si="153"/>
        <v>16110.184383780748</v>
      </c>
      <c r="K163" s="62">
        <f t="shared" si="153"/>
        <v>15764.937398041431</v>
      </c>
      <c r="L163" s="62">
        <f t="shared" si="153"/>
        <v>15385.476207117141</v>
      </c>
      <c r="M163" s="62">
        <f t="shared" si="153"/>
        <v>14980.98808002385</v>
      </c>
      <c r="N163" s="62">
        <f t="shared" si="153"/>
        <v>14567.461853670307</v>
      </c>
      <c r="O163" s="62">
        <f t="shared" si="153"/>
        <v>14164.409796941345</v>
      </c>
      <c r="P163" s="62">
        <f t="shared" si="153"/>
        <v>13789.482466597858</v>
      </c>
      <c r="Q163" s="62">
        <f t="shared" si="153"/>
        <v>13453.883913435442</v>
      </c>
      <c r="R163" s="62">
        <f t="shared" si="153"/>
        <v>13160.916550266978</v>
      </c>
      <c r="S163" s="62">
        <f t="shared" si="153"/>
        <v>12907.574679607867</v>
      </c>
      <c r="T163" s="62">
        <f t="shared" si="153"/>
        <v>12687.42338172141</v>
      </c>
      <c r="U163" s="62">
        <f t="shared" si="153"/>
        <v>12493.127139154805</v>
      </c>
      <c r="V163" s="62">
        <f t="shared" si="153"/>
        <v>12317.9770892943</v>
      </c>
      <c r="W163" s="62">
        <f t="shared" si="153"/>
        <v>12156.515920078467</v>
      </c>
      <c r="X163" s="62">
        <f t="shared" si="153"/>
        <v>12004.608135090824</v>
      </c>
      <c r="Y163" s="62">
        <f t="shared" si="153"/>
        <v>11859.258297168144</v>
      </c>
      <c r="Z163" s="62">
        <f t="shared" si="153"/>
        <v>11718.359790255789</v>
      </c>
      <c r="AA163" s="62">
        <f t="shared" si="153"/>
        <v>11580.459687779676</v>
      </c>
      <c r="AB163" s="62">
        <f t="shared" si="153"/>
        <v>11444.568836267037</v>
      </c>
      <c r="AC163" s="62">
        <f t="shared" si="153"/>
        <v>11310.019645147357</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209</v>
      </c>
      <c r="B165" s="64">
        <f>B156+B157+B158+B159+B160+B161+B162+B163+B164</f>
        <v>141561.02111871043</v>
      </c>
      <c r="C165" s="64">
        <f t="shared" ref="C165:AC165" si="155">C156+C157+C158+C159+C160+C161+C162+C163+C164</f>
        <v>141013.54816713103</v>
      </c>
      <c r="D165" s="64">
        <f t="shared" si="155"/>
        <v>140466.39017360058</v>
      </c>
      <c r="E165" s="64">
        <f t="shared" si="155"/>
        <v>139920.00832334813</v>
      </c>
      <c r="F165" s="64">
        <f t="shared" si="155"/>
        <v>139375.17892062757</v>
      </c>
      <c r="G165" s="64">
        <f t="shared" si="155"/>
        <v>138833.14252162905</v>
      </c>
      <c r="H165" s="64">
        <f t="shared" si="155"/>
        <v>138295.7776510632</v>
      </c>
      <c r="I165" s="64">
        <f t="shared" si="155"/>
        <v>137765.75086192324</v>
      </c>
      <c r="J165" s="64">
        <f t="shared" si="155"/>
        <v>137620.16751978325</v>
      </c>
      <c r="K165" s="64">
        <f t="shared" si="155"/>
        <v>137480.41858041153</v>
      </c>
      <c r="L165" s="64">
        <f t="shared" si="155"/>
        <v>137347.549146306</v>
      </c>
      <c r="M165" s="64">
        <f t="shared" si="155"/>
        <v>137221.90048112033</v>
      </c>
      <c r="N165" s="64">
        <f t="shared" si="155"/>
        <v>137102.74393065315</v>
      </c>
      <c r="O165" s="64">
        <f t="shared" si="155"/>
        <v>136988.26890519215</v>
      </c>
      <c r="P165" s="64">
        <f t="shared" si="155"/>
        <v>136876.03918635292</v>
      </c>
      <c r="Q165" s="64">
        <f t="shared" si="155"/>
        <v>136763.69619410986</v>
      </c>
      <c r="R165" s="64">
        <f t="shared" si="155"/>
        <v>136649.51655243215</v>
      </c>
      <c r="S165" s="64">
        <f t="shared" si="155"/>
        <v>136532.59764843583</v>
      </c>
      <c r="T165" s="64">
        <f t="shared" si="155"/>
        <v>136412.72817218429</v>
      </c>
      <c r="U165" s="64">
        <f t="shared" si="155"/>
        <v>136290.13198134318</v>
      </c>
      <c r="V165" s="64">
        <f t="shared" si="155"/>
        <v>136165.23307910367</v>
      </c>
      <c r="W165" s="64">
        <f t="shared" si="155"/>
        <v>136038.49854157085</v>
      </c>
      <c r="X165" s="64">
        <f t="shared" si="155"/>
        <v>135910.35592113834</v>
      </c>
      <c r="Y165" s="64">
        <f t="shared" si="155"/>
        <v>135781.16121814368</v>
      </c>
      <c r="Z165" s="64">
        <f t="shared" si="155"/>
        <v>135651.19471127237</v>
      </c>
      <c r="AA165" s="64">
        <f t="shared" si="155"/>
        <v>135520.66934743719</v>
      </c>
      <c r="AB165" s="64">
        <f t="shared" si="155"/>
        <v>135389.74313334303</v>
      </c>
      <c r="AC165" s="64">
        <f t="shared" si="155"/>
        <v>135258.53141782864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0.16156131115706771</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25">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25">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25">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ref="A175" si="164">A163</f>
        <v>Fuel Cost</v>
      </c>
      <c r="B175" s="66">
        <f t="shared" ref="B175:AC175" si="165">B145*B146*B153/B153</f>
        <v>0.18749989234485392</v>
      </c>
      <c r="C175" s="66">
        <f t="shared" si="165"/>
        <v>0.18236563219192858</v>
      </c>
      <c r="D175" s="66">
        <f t="shared" si="165"/>
        <v>0.17716821983910919</v>
      </c>
      <c r="E175" s="66">
        <f t="shared" si="165"/>
        <v>0.17188557141853539</v>
      </c>
      <c r="F175" s="66">
        <f t="shared" si="165"/>
        <v>0.1664895634110016</v>
      </c>
      <c r="G175" s="66">
        <f t="shared" si="165"/>
        <v>0.16094601028697253</v>
      </c>
      <c r="H175" s="66">
        <f t="shared" si="165"/>
        <v>0.15521643138265512</v>
      </c>
      <c r="I175" s="66">
        <f t="shared" si="165"/>
        <v>0.14926316415764271</v>
      </c>
      <c r="J175" s="66">
        <f t="shared" si="165"/>
        <v>0.14645622167073408</v>
      </c>
      <c r="K175" s="66">
        <f t="shared" si="165"/>
        <v>0.14331761270946755</v>
      </c>
      <c r="L175" s="66">
        <f t="shared" si="165"/>
        <v>0.13986796551924674</v>
      </c>
      <c r="M175" s="66">
        <f t="shared" si="165"/>
        <v>0.13619080072748954</v>
      </c>
      <c r="N175" s="66">
        <f t="shared" si="165"/>
        <v>0.13243147139700279</v>
      </c>
      <c r="O175" s="66">
        <f t="shared" si="165"/>
        <v>0.12876736179037587</v>
      </c>
      <c r="P175" s="66">
        <f t="shared" si="165"/>
        <v>0.12535893151452598</v>
      </c>
      <c r="Q175" s="66">
        <f t="shared" si="165"/>
        <v>0.12230803557668583</v>
      </c>
      <c r="R175" s="66">
        <f t="shared" si="165"/>
        <v>0.11964469591151798</v>
      </c>
      <c r="S175" s="66">
        <f t="shared" si="165"/>
        <v>0.11734158799643515</v>
      </c>
      <c r="T175" s="66">
        <f t="shared" si="165"/>
        <v>0.11534021256110373</v>
      </c>
      <c r="U175" s="66">
        <f t="shared" si="165"/>
        <v>0.1135738830832255</v>
      </c>
      <c r="V175" s="66">
        <f t="shared" si="165"/>
        <v>0.11198160990267546</v>
      </c>
      <c r="W175" s="66">
        <f t="shared" si="165"/>
        <v>0.11051378109162244</v>
      </c>
      <c r="X175" s="66">
        <f t="shared" si="165"/>
        <v>0.1091328012280984</v>
      </c>
      <c r="Y175" s="66">
        <f t="shared" si="165"/>
        <v>0.10781143906516495</v>
      </c>
      <c r="Z175" s="66">
        <f t="shared" si="165"/>
        <v>0.1065305435477799</v>
      </c>
      <c r="AA175" s="66">
        <f t="shared" si="165"/>
        <v>0.1052769062525425</v>
      </c>
      <c r="AB175" s="66">
        <f t="shared" si="165"/>
        <v>0.10404153487515488</v>
      </c>
      <c r="AC175" s="66">
        <f t="shared" si="165"/>
        <v>0.10281836041043052</v>
      </c>
    </row>
    <row r="176" spans="1:29" ht="15.75" thickBot="1" x14ac:dyDescent="0.3">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63</v>
      </c>
      <c r="B177" s="76">
        <f>B168+B169+B170-B171+B172+B173+B174+B175+B176</f>
        <v>1.3239732715029269</v>
      </c>
      <c r="C177" s="76">
        <f t="shared" ref="C177:AC177" si="167">C168+C169+C170-C171+C172+C173+C174+C175+C176</f>
        <v>1.3189962446703869</v>
      </c>
      <c r="D177" s="76">
        <f t="shared" si="167"/>
        <v>1.3140220810928371</v>
      </c>
      <c r="E177" s="76">
        <f t="shared" si="167"/>
        <v>1.3090549733632697</v>
      </c>
      <c r="F177" s="76">
        <f t="shared" si="167"/>
        <v>1.3041019787930825</v>
      </c>
      <c r="G177" s="76">
        <f t="shared" si="167"/>
        <v>1.2991743751658236</v>
      </c>
      <c r="H177" s="76">
        <f t="shared" si="167"/>
        <v>1.2942892399788613</v>
      </c>
      <c r="I177" s="76">
        <f t="shared" si="167"/>
        <v>1.2894708146230434</v>
      </c>
      <c r="J177" s="76">
        <f t="shared" si="167"/>
        <v>1.2881473296944981</v>
      </c>
      <c r="K177" s="76">
        <f t="shared" si="167"/>
        <v>1.2868768847911187</v>
      </c>
      <c r="L177" s="76">
        <f t="shared" si="167"/>
        <v>1.2856689808447048</v>
      </c>
      <c r="M177" s="76">
        <f t="shared" si="167"/>
        <v>1.2845267202521078</v>
      </c>
      <c r="N177" s="76">
        <f t="shared" si="167"/>
        <v>1.2834434788842242</v>
      </c>
      <c r="O177" s="76">
        <f t="shared" si="167"/>
        <v>1.2824027968345788</v>
      </c>
      <c r="P177" s="76">
        <f t="shared" si="167"/>
        <v>1.281382526663313</v>
      </c>
      <c r="Q177" s="76">
        <f t="shared" si="167"/>
        <v>1.2803612267338307</v>
      </c>
      <c r="R177" s="76">
        <f t="shared" si="167"/>
        <v>1.2793232299913062</v>
      </c>
      <c r="S177" s="76">
        <f t="shared" si="167"/>
        <v>1.278260330864067</v>
      </c>
      <c r="T177" s="76">
        <f t="shared" si="167"/>
        <v>1.2771706083526893</v>
      </c>
      <c r="U177" s="76">
        <f t="shared" si="167"/>
        <v>1.2760560975268609</v>
      </c>
      <c r="V177" s="76">
        <f t="shared" si="167"/>
        <v>1.2749206529610471</v>
      </c>
      <c r="W177" s="76">
        <f t="shared" si="167"/>
        <v>1.273768520801658</v>
      </c>
      <c r="X177" s="76">
        <f t="shared" si="167"/>
        <v>1.272603587888635</v>
      </c>
      <c r="Y177" s="76">
        <f t="shared" si="167"/>
        <v>1.2714290905886836</v>
      </c>
      <c r="Z177" s="76">
        <f t="shared" si="167"/>
        <v>1.2702475768898536</v>
      </c>
      <c r="AA177" s="76">
        <f t="shared" si="167"/>
        <v>1.26906098267317</v>
      </c>
      <c r="AB177" s="76">
        <f t="shared" si="167"/>
        <v>1.2678707443632233</v>
      </c>
      <c r="AC177" s="76">
        <f t="shared" si="167"/>
        <v>1.2666779105858195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6.4624524462827083E-3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25">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25">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25">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ref="A187" si="176">A163</f>
        <v>Fuel Cost</v>
      </c>
      <c r="B187" s="66">
        <f t="shared" ref="B187:AC187" si="177">B145*B146*B153/B153/(B150)</f>
        <v>7.4999956937941573E-3</v>
      </c>
      <c r="C187" s="66">
        <f t="shared" si="177"/>
        <v>7.2946252876771433E-3</v>
      </c>
      <c r="D187" s="66">
        <f t="shared" si="177"/>
        <v>7.0867287935643675E-3</v>
      </c>
      <c r="E187" s="66">
        <f t="shared" si="177"/>
        <v>6.8754228567414156E-3</v>
      </c>
      <c r="F187" s="66">
        <f t="shared" si="177"/>
        <v>6.6595825364400641E-3</v>
      </c>
      <c r="G187" s="66">
        <f t="shared" si="177"/>
        <v>6.4378404114789015E-3</v>
      </c>
      <c r="H187" s="66">
        <f t="shared" si="177"/>
        <v>6.2086572553062044E-3</v>
      </c>
      <c r="I187" s="66">
        <f t="shared" si="177"/>
        <v>5.9705265663057084E-3</v>
      </c>
      <c r="J187" s="66">
        <f t="shared" si="177"/>
        <v>5.8582488668293634E-3</v>
      </c>
      <c r="K187" s="66">
        <f t="shared" si="177"/>
        <v>5.7327045083787019E-3</v>
      </c>
      <c r="L187" s="66">
        <f t="shared" si="177"/>
        <v>5.5947186207698698E-3</v>
      </c>
      <c r="M187" s="66">
        <f t="shared" si="177"/>
        <v>5.4476320290995812E-3</v>
      </c>
      <c r="N187" s="66">
        <f t="shared" si="177"/>
        <v>5.2972588558801116E-3</v>
      </c>
      <c r="O187" s="66">
        <f t="shared" si="177"/>
        <v>5.1506944716150352E-3</v>
      </c>
      <c r="P187" s="66">
        <f t="shared" si="177"/>
        <v>5.0143572605810391E-3</v>
      </c>
      <c r="Q187" s="66">
        <f t="shared" si="177"/>
        <v>4.8923214230674333E-3</v>
      </c>
      <c r="R187" s="66">
        <f t="shared" si="177"/>
        <v>4.7857878364607189E-3</v>
      </c>
      <c r="S187" s="66">
        <f t="shared" si="177"/>
        <v>4.6936635198574061E-3</v>
      </c>
      <c r="T187" s="66">
        <f t="shared" si="177"/>
        <v>4.6136085024441496E-3</v>
      </c>
      <c r="U187" s="66">
        <f t="shared" si="177"/>
        <v>4.5429553233290202E-3</v>
      </c>
      <c r="V187" s="66">
        <f t="shared" si="177"/>
        <v>4.479264396107018E-3</v>
      </c>
      <c r="W187" s="66">
        <f t="shared" si="177"/>
        <v>4.4205512436648973E-3</v>
      </c>
      <c r="X187" s="66">
        <f t="shared" si="177"/>
        <v>4.3653120491239364E-3</v>
      </c>
      <c r="Y187" s="66">
        <f t="shared" si="177"/>
        <v>4.312457562606598E-3</v>
      </c>
      <c r="Z187" s="66">
        <f t="shared" si="177"/>
        <v>4.2612217419111956E-3</v>
      </c>
      <c r="AA187" s="66">
        <f t="shared" si="177"/>
        <v>4.2110762501017E-3</v>
      </c>
      <c r="AB187" s="66">
        <f t="shared" si="177"/>
        <v>4.1616613950061949E-3</v>
      </c>
      <c r="AC187" s="66">
        <f t="shared" si="177"/>
        <v>4.1127344164172209E-3</v>
      </c>
    </row>
    <row r="188" spans="1:29" x14ac:dyDescent="0.25">
      <c r="A188" s="59" t="str">
        <f>A151</f>
        <v>Market failure (av. utilization)</v>
      </c>
      <c r="B188" s="66">
        <f t="shared" ref="B188:AC188" si="178">B177/B151-B177/B150</f>
        <v>2.9789398608815854E-2</v>
      </c>
      <c r="C188" s="66">
        <f t="shared" si="178"/>
        <v>2.9677415505083703E-2</v>
      </c>
      <c r="D188" s="66">
        <f t="shared" si="178"/>
        <v>2.9565496824588838E-2</v>
      </c>
      <c r="E188" s="66">
        <f t="shared" si="178"/>
        <v>2.9453736900673572E-2</v>
      </c>
      <c r="F188" s="66">
        <f t="shared" si="178"/>
        <v>2.9342294522844356E-2</v>
      </c>
      <c r="G188" s="66">
        <f t="shared" si="178"/>
        <v>2.923142344123103E-2</v>
      </c>
      <c r="H188" s="66">
        <f t="shared" si="178"/>
        <v>2.9121507899524376E-2</v>
      </c>
      <c r="I188" s="66">
        <f t="shared" si="178"/>
        <v>2.9013093329018476E-2</v>
      </c>
      <c r="J188" s="66">
        <f t="shared" si="178"/>
        <v>2.898331491812621E-2</v>
      </c>
      <c r="K188" s="66">
        <f t="shared" si="178"/>
        <v>2.8954729907800174E-2</v>
      </c>
      <c r="L188" s="66">
        <f t="shared" si="178"/>
        <v>2.8927552069005859E-2</v>
      </c>
      <c r="M188" s="66">
        <f t="shared" si="178"/>
        <v>2.8901851205672423E-2</v>
      </c>
      <c r="N188" s="66">
        <f t="shared" si="178"/>
        <v>2.8877478274895042E-2</v>
      </c>
      <c r="O188" s="66">
        <f t="shared" si="178"/>
        <v>2.8854062928778026E-2</v>
      </c>
      <c r="P188" s="66">
        <f t="shared" si="178"/>
        <v>2.8831106849924543E-2</v>
      </c>
      <c r="Q188" s="66">
        <f t="shared" si="178"/>
        <v>2.8808127601511191E-2</v>
      </c>
      <c r="R188" s="66">
        <f t="shared" si="178"/>
        <v>2.8784772674804393E-2</v>
      </c>
      <c r="S188" s="66">
        <f t="shared" si="178"/>
        <v>2.8760857444441505E-2</v>
      </c>
      <c r="T188" s="66">
        <f t="shared" si="178"/>
        <v>2.8736338687935507E-2</v>
      </c>
      <c r="U188" s="66">
        <f t="shared" si="178"/>
        <v>2.8711262194354367E-2</v>
      </c>
      <c r="V188" s="66">
        <f t="shared" si="178"/>
        <v>2.8685714691623558E-2</v>
      </c>
      <c r="W188" s="66">
        <f t="shared" si="178"/>
        <v>2.8659791718037307E-2</v>
      </c>
      <c r="X188" s="66">
        <f t="shared" si="178"/>
        <v>2.8633580727494286E-2</v>
      </c>
      <c r="Y188" s="66">
        <f t="shared" si="178"/>
        <v>2.8607154538245382E-2</v>
      </c>
      <c r="Z188" s="66">
        <f t="shared" si="178"/>
        <v>2.8580570480021703E-2</v>
      </c>
      <c r="AA188" s="66">
        <f t="shared" si="178"/>
        <v>2.8553872110146324E-2</v>
      </c>
      <c r="AB188" s="66">
        <f t="shared" si="178"/>
        <v>2.8527091748172528E-2</v>
      </c>
      <c r="AC188" s="66">
        <f t="shared" si="178"/>
        <v>2.8500252988180937E-2</v>
      </c>
    </row>
    <row r="189" spans="1:29" x14ac:dyDescent="0.25">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8.1266133561074191E-2</v>
      </c>
      <c r="C191" s="67">
        <f t="shared" ref="C191:AC191" si="181">C180+C181+C182+C183+C184+C185+C186+C187+C188+C189+C190</f>
        <v>8.0955069384040443E-2</v>
      </c>
      <c r="D191" s="67">
        <f t="shared" si="181"/>
        <v>8.0644184160443583E-2</v>
      </c>
      <c r="E191" s="67">
        <f t="shared" si="181"/>
        <v>8.0333739927345618E-2</v>
      </c>
      <c r="F191" s="67">
        <f t="shared" si="181"/>
        <v>8.002417776670892E-2</v>
      </c>
      <c r="G191" s="67">
        <f t="shared" si="181"/>
        <v>7.9716202540005235E-2</v>
      </c>
      <c r="H191" s="67">
        <f t="shared" si="181"/>
        <v>7.941088159082009E-2</v>
      </c>
      <c r="I191" s="67">
        <f t="shared" si="181"/>
        <v>7.9109730006081486E-2</v>
      </c>
      <c r="J191" s="67">
        <f t="shared" si="181"/>
        <v>7.9027012198047392E-2</v>
      </c>
      <c r="K191" s="67">
        <f t="shared" si="181"/>
        <v>7.8947609391586182E-2</v>
      </c>
      <c r="L191" s="67">
        <f t="shared" si="181"/>
        <v>7.8872115394935327E-2</v>
      </c>
      <c r="M191" s="67">
        <f t="shared" si="181"/>
        <v>7.8800724107898013E-2</v>
      </c>
      <c r="N191" s="67">
        <f t="shared" si="181"/>
        <v>7.8733021522405272E-2</v>
      </c>
      <c r="O191" s="67">
        <f t="shared" si="181"/>
        <v>7.8667978894302437E-2</v>
      </c>
      <c r="P191" s="67">
        <f t="shared" si="181"/>
        <v>7.8604212008598323E-2</v>
      </c>
      <c r="Q191" s="67">
        <f t="shared" si="181"/>
        <v>7.8540380763005679E-2</v>
      </c>
      <c r="R191" s="67">
        <f t="shared" si="181"/>
        <v>7.84755059665979E-2</v>
      </c>
      <c r="S191" s="67">
        <f t="shared" si="181"/>
        <v>7.8409074771145448E-2</v>
      </c>
      <c r="T191" s="67">
        <f t="shared" si="181"/>
        <v>7.834096711418434E-2</v>
      </c>
      <c r="U191" s="67">
        <f t="shared" si="181"/>
        <v>7.8271310187570053E-2</v>
      </c>
      <c r="V191" s="67">
        <f t="shared" si="181"/>
        <v>7.8200344902206703E-2</v>
      </c>
      <c r="W191" s="67">
        <f t="shared" si="181"/>
        <v>7.8128336642244889E-2</v>
      </c>
      <c r="X191" s="67">
        <f t="shared" si="181"/>
        <v>7.8055528335180951E-2</v>
      </c>
      <c r="Y191" s="67">
        <f t="shared" si="181"/>
        <v>7.7982122253934E-2</v>
      </c>
      <c r="Z191" s="67">
        <f t="shared" si="181"/>
        <v>7.790827764775711E-2</v>
      </c>
      <c r="AA191" s="67">
        <f t="shared" si="181"/>
        <v>7.7834115509214388E-2</v>
      </c>
      <c r="AB191" s="67">
        <f t="shared" si="181"/>
        <v>7.775972561484272E-2</v>
      </c>
      <c r="AC191" s="67">
        <f t="shared" si="181"/>
        <v>7.7685173503754978E-2</v>
      </c>
    </row>
    <row r="193" spans="2:2" x14ac:dyDescent="0.25">
      <c r="B193" s="40"/>
    </row>
    <row r="215" spans="1:44" s="3" customFormat="1" ht="21" x14ac:dyDescent="0.35">
      <c r="A215" s="2" t="str">
        <f>'Parameter Input'!A101</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Input'!L77</f>
        <v>105000</v>
      </c>
      <c r="C225" s="42">
        <f>'Parameter Input'!M77</f>
        <v>115000</v>
      </c>
      <c r="D225" s="1" t="s">
        <v>15</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25">
      <c r="A226" s="24" t="s">
        <v>28</v>
      </c>
      <c r="B226" s="60">
        <f>'Parameter Input'!L78</f>
        <v>-26250</v>
      </c>
      <c r="C226" s="61">
        <f>'Parameter Input'!M78</f>
        <v>-17250</v>
      </c>
      <c r="D226" s="1" t="s">
        <v>15</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60">
        <f>'Parameter Input'!L84</f>
        <v>0.06</v>
      </c>
      <c r="C229" s="61">
        <f>'Parameter Input'!M84</f>
        <v>0.06</v>
      </c>
      <c r="D229" s="1" t="s">
        <v>57</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60">
        <f>'Parameter Input'!L80</f>
        <v>20000</v>
      </c>
      <c r="C231" s="61">
        <f>'Parameter Input'!M80</f>
        <v>20000</v>
      </c>
      <c r="D231" s="1" t="s">
        <v>38</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60">
        <f>'Parameter Input'!L81</f>
        <v>2.9</v>
      </c>
      <c r="C233" s="61">
        <f>'Parameter Input'!M81</f>
        <v>2.4</v>
      </c>
      <c r="D233" s="1" t="s">
        <v>60</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25">
      <c r="A234" s="24" t="s">
        <v>67</v>
      </c>
      <c r="B234" s="60">
        <f>'Parameter Input'!L82</f>
        <v>0.1</v>
      </c>
      <c r="C234" s="61">
        <f>'Parameter Input'!M82</f>
        <v>0.1</v>
      </c>
      <c r="D234" s="1" t="s">
        <v>68</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45">
        <f>'Parameter Input'!$L$85</f>
        <v>0</v>
      </c>
      <c r="C235" s="46">
        <f>'Parameter Input'!$M$85</f>
        <v>0</v>
      </c>
      <c r="D235" s="1" t="s">
        <v>76</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60">
        <f>'Parameter Input'!L79</f>
        <v>8</v>
      </c>
      <c r="C236" s="61">
        <f>'Parameter Input'!M79</f>
        <v>8</v>
      </c>
      <c r="D236" s="1" t="s">
        <v>42</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45">
        <f>'Parameter Input'!L83</f>
        <v>0</v>
      </c>
      <c r="C240" s="46">
        <f>'Parameter Input'!M83</f>
        <v>0</v>
      </c>
      <c r="D240" s="1" t="s">
        <v>57</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25">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25">
      <c r="A254" s="30" t="str">
        <f t="shared" si="187"/>
        <v>Fuel Cost</v>
      </c>
      <c r="B254" s="66">
        <f>'Parameter Input'!J8</f>
        <v>6.4802641056422569E-2</v>
      </c>
      <c r="C254" s="66">
        <f>'Parameter Input'!K8</f>
        <v>6.3089795918367345E-2</v>
      </c>
      <c r="D254" s="66">
        <f>'Parameter Input'!L8</f>
        <v>6.1376950780312127E-2</v>
      </c>
      <c r="E254" s="66">
        <f>'Parameter Input'!M8</f>
        <v>5.9664105642256909E-2</v>
      </c>
      <c r="F254" s="66">
        <f>'Parameter Input'!N8</f>
        <v>5.7951260504201692E-2</v>
      </c>
      <c r="G254" s="66">
        <f>'Parameter Input'!O8</f>
        <v>5.6238415366146474E-2</v>
      </c>
      <c r="H254" s="66">
        <f>'Parameter Input'!P8</f>
        <v>5.4525570228091257E-2</v>
      </c>
      <c r="I254" s="66">
        <f>'Parameter Input'!Q8</f>
        <v>5.2812725090036025E-2</v>
      </c>
      <c r="J254" s="66">
        <f>'Parameter Input'!R8</f>
        <v>5.2313145258103252E-2</v>
      </c>
      <c r="K254" s="66">
        <f>'Parameter Input'!S8</f>
        <v>5.181356542617048E-2</v>
      </c>
      <c r="L254" s="66">
        <f>'Parameter Input'!T8</f>
        <v>5.1313985594237707E-2</v>
      </c>
      <c r="M254" s="66">
        <f>'Parameter Input'!U8</f>
        <v>5.0814405762304934E-2</v>
      </c>
      <c r="N254" s="66">
        <f>'Parameter Input'!V8</f>
        <v>5.0314825930372155E-2</v>
      </c>
      <c r="O254" s="66">
        <f>'Parameter Input'!W8</f>
        <v>4.9815246098439382E-2</v>
      </c>
      <c r="P254" s="66">
        <f>'Parameter Input'!X8</f>
        <v>4.931566626650661E-2</v>
      </c>
      <c r="Q254" s="66">
        <f>'Parameter Input'!Y8</f>
        <v>4.8816086434573837E-2</v>
      </c>
      <c r="R254" s="66">
        <f>'Parameter Input'!Z8</f>
        <v>4.8316506602641064E-2</v>
      </c>
      <c r="S254" s="66">
        <f>'Parameter Input'!AA8</f>
        <v>4.7816926770708292E-2</v>
      </c>
      <c r="T254" s="66">
        <f>'Parameter Input'!AB8</f>
        <v>4.7317346938775519E-2</v>
      </c>
      <c r="U254" s="66">
        <f>'Parameter Input'!AC8</f>
        <v>4.6817767106842746E-2</v>
      </c>
      <c r="V254" s="66">
        <f>'Parameter Input'!AD8</f>
        <v>4.6318187274909974E-2</v>
      </c>
      <c r="W254" s="66">
        <f>'Parameter Input'!AE8</f>
        <v>4.5818607442977201E-2</v>
      </c>
      <c r="X254" s="66">
        <f>'Parameter Input'!AF8</f>
        <v>4.5319027611044428E-2</v>
      </c>
      <c r="Y254" s="66">
        <f>'Parameter Input'!AG8</f>
        <v>4.4819447779111656E-2</v>
      </c>
      <c r="Z254" s="66">
        <f>'Parameter Input'!AH8</f>
        <v>4.4319867947178883E-2</v>
      </c>
      <c r="AA254" s="66">
        <f>'Parameter Input'!AI8</f>
        <v>4.382028811524611E-2</v>
      </c>
      <c r="AB254" s="66">
        <f>'Parameter Input'!AJ8</f>
        <v>4.3320708283313338E-2</v>
      </c>
      <c r="AC254" s="66">
        <f>'Parameter Input'!AK8</f>
        <v>4.2821128451380565E-2</v>
      </c>
    </row>
    <row r="255" spans="1:44" x14ac:dyDescent="0.25">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25">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25">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25">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25">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25">
      <c r="A260" s="30" t="s">
        <v>73</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25">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25">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25">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25">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25">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25">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25">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25">
      <c r="A271" s="30" t="str">
        <f>A254</f>
        <v>Fuel Cost</v>
      </c>
      <c r="B271" s="62">
        <f>B253*B254*B261</f>
        <v>19687.488696209661</v>
      </c>
      <c r="C271" s="62">
        <f t="shared" ref="C271:AC271" si="258">C253*C254*C261</f>
        <v>19148.391380152498</v>
      </c>
      <c r="D271" s="62">
        <f t="shared" si="258"/>
        <v>18602.663083106465</v>
      </c>
      <c r="E271" s="62">
        <f t="shared" si="258"/>
        <v>18047.984998946216</v>
      </c>
      <c r="F271" s="62">
        <f t="shared" si="258"/>
        <v>17481.404158155168</v>
      </c>
      <c r="G271" s="62">
        <f t="shared" si="258"/>
        <v>16899.331080132117</v>
      </c>
      <c r="H271" s="62">
        <f t="shared" si="258"/>
        <v>16297.725295178787</v>
      </c>
      <c r="I271" s="62">
        <f t="shared" si="258"/>
        <v>15672.632236552485</v>
      </c>
      <c r="J271" s="62">
        <f t="shared" si="258"/>
        <v>15377.903275427077</v>
      </c>
      <c r="K271" s="62">
        <f t="shared" si="258"/>
        <v>15048.349334494093</v>
      </c>
      <c r="L271" s="62">
        <f t="shared" si="258"/>
        <v>14686.136379520907</v>
      </c>
      <c r="M271" s="62">
        <f t="shared" si="258"/>
        <v>14300.034076386402</v>
      </c>
      <c r="N271" s="62">
        <f t="shared" si="258"/>
        <v>13905.304496685292</v>
      </c>
      <c r="O271" s="62">
        <f t="shared" si="258"/>
        <v>13520.572987989466</v>
      </c>
      <c r="P271" s="62">
        <f t="shared" si="258"/>
        <v>13162.687809025228</v>
      </c>
      <c r="Q271" s="62">
        <f t="shared" si="258"/>
        <v>12842.343735552013</v>
      </c>
      <c r="R271" s="62">
        <f t="shared" si="258"/>
        <v>12562.693070709389</v>
      </c>
      <c r="S271" s="62">
        <f t="shared" si="258"/>
        <v>12320.866739625691</v>
      </c>
      <c r="T271" s="62">
        <f t="shared" si="258"/>
        <v>12110.722318915892</v>
      </c>
      <c r="U271" s="62">
        <f t="shared" si="258"/>
        <v>11925.257723738678</v>
      </c>
      <c r="V271" s="62">
        <f t="shared" si="258"/>
        <v>11758.069039780921</v>
      </c>
      <c r="W271" s="62">
        <f t="shared" si="258"/>
        <v>11603.947014620355</v>
      </c>
      <c r="X271" s="62">
        <f t="shared" si="258"/>
        <v>11458.944128950332</v>
      </c>
      <c r="Y271" s="62">
        <f t="shared" si="258"/>
        <v>11320.201101842318</v>
      </c>
      <c r="Z271" s="62">
        <f t="shared" si="258"/>
        <v>11185.707072516889</v>
      </c>
      <c r="AA271" s="62">
        <f t="shared" si="258"/>
        <v>11054.075156516963</v>
      </c>
      <c r="AB271" s="62">
        <f t="shared" si="258"/>
        <v>10924.361161891264</v>
      </c>
      <c r="AC271" s="62">
        <f t="shared" si="258"/>
        <v>10795.927843095205</v>
      </c>
    </row>
    <row r="272" spans="1:29" ht="15.75" thickBot="1" x14ac:dyDescent="0.3">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75" thickBot="1" x14ac:dyDescent="0.3">
      <c r="A273" s="31" t="s">
        <v>209</v>
      </c>
      <c r="B273" s="64">
        <f>B264+B265+B266+B267+B268+B269+B270+B271+B272</f>
        <v>137016.49259702751</v>
      </c>
      <c r="C273" s="64">
        <f t="shared" ref="C273:AC273" si="260">C264+C265+C266+C267+C268+C269+C270+C271+C272</f>
        <v>136494.69094621277</v>
      </c>
      <c r="D273" s="64">
        <f t="shared" si="260"/>
        <v>135973.52001444637</v>
      </c>
      <c r="E273" s="64">
        <f t="shared" si="260"/>
        <v>135453.55140629681</v>
      </c>
      <c r="F273" s="64">
        <f t="shared" si="260"/>
        <v>134935.70204361391</v>
      </c>
      <c r="G273" s="64">
        <f t="shared" si="260"/>
        <v>134421.38341023555</v>
      </c>
      <c r="H273" s="64">
        <f t="shared" si="260"/>
        <v>133912.66643419128</v>
      </c>
      <c r="I273" s="64">
        <f t="shared" si="260"/>
        <v>133412.40598117642</v>
      </c>
      <c r="J273" s="64">
        <f t="shared" si="260"/>
        <v>133280.85735147094</v>
      </c>
      <c r="K273" s="64">
        <f t="shared" si="260"/>
        <v>133156.80145690555</v>
      </c>
      <c r="L273" s="64">
        <f t="shared" si="260"/>
        <v>133041.18025875115</v>
      </c>
      <c r="M273" s="64">
        <f t="shared" si="260"/>
        <v>132933.91741752427</v>
      </c>
      <c r="N273" s="64">
        <f t="shared" si="260"/>
        <v>132833.5575137095</v>
      </c>
      <c r="O273" s="64">
        <f t="shared" si="260"/>
        <v>132737.40303628164</v>
      </c>
      <c r="P273" s="64">
        <f t="shared" si="260"/>
        <v>132642.21546882164</v>
      </c>
      <c r="Q273" s="64">
        <f t="shared" si="260"/>
        <v>132545.12695626778</v>
      </c>
      <c r="R273" s="64">
        <f t="shared" si="260"/>
        <v>132444.26401291593</v>
      </c>
      <c r="S273" s="64">
        <f t="shared" si="260"/>
        <v>132338.86064849503</v>
      </c>
      <c r="T273" s="64">
        <f t="shared" si="260"/>
        <v>132228.99804942013</v>
      </c>
      <c r="U273" s="64">
        <f t="shared" si="260"/>
        <v>132115.23350596841</v>
      </c>
      <c r="V273" s="64">
        <f t="shared" si="260"/>
        <v>131998.29596963164</v>
      </c>
      <c r="W273" s="64">
        <f t="shared" si="260"/>
        <v>131878.90057615412</v>
      </c>
      <c r="X273" s="64">
        <f t="shared" si="260"/>
        <v>131757.66285503921</v>
      </c>
      <c r="Y273" s="64">
        <f t="shared" si="260"/>
        <v>131635.07496285922</v>
      </c>
      <c r="Z273" s="64">
        <f t="shared" si="260"/>
        <v>131511.51293357485</v>
      </c>
      <c r="AA273" s="64">
        <f t="shared" si="260"/>
        <v>131387.25575621583</v>
      </c>
      <c r="AB273" s="64">
        <f t="shared" si="260"/>
        <v>131262.50639900862</v>
      </c>
      <c r="AC273" s="64">
        <f t="shared" si="260"/>
        <v>131137.41055581786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25">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25">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25">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25">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25">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25">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25">
      <c r="A283" s="30" t="str">
        <f t="shared" si="261"/>
        <v>Fuel Cost</v>
      </c>
      <c r="B283" s="66">
        <f>B253*B254*B261/B261</f>
        <v>0.18749989234485392</v>
      </c>
      <c r="C283" s="66">
        <f t="shared" ref="C283:AC283" si="269">C253*C254*C261/C261</f>
        <v>0.18236563219192856</v>
      </c>
      <c r="D283" s="66">
        <f t="shared" si="269"/>
        <v>0.17716821983910919</v>
      </c>
      <c r="E283" s="66">
        <f t="shared" si="269"/>
        <v>0.17188557141853539</v>
      </c>
      <c r="F283" s="66">
        <f t="shared" si="269"/>
        <v>0.1664895634110016</v>
      </c>
      <c r="G283" s="66">
        <f t="shared" si="269"/>
        <v>0.16094601028697253</v>
      </c>
      <c r="H283" s="66">
        <f t="shared" si="269"/>
        <v>0.15521643138265512</v>
      </c>
      <c r="I283" s="66">
        <f t="shared" si="269"/>
        <v>0.14926316415764271</v>
      </c>
      <c r="J283" s="66">
        <f t="shared" si="269"/>
        <v>0.14645622167073408</v>
      </c>
      <c r="K283" s="66">
        <f t="shared" si="269"/>
        <v>0.14331761270946755</v>
      </c>
      <c r="L283" s="66">
        <f t="shared" si="269"/>
        <v>0.13986796551924674</v>
      </c>
      <c r="M283" s="66">
        <f t="shared" si="269"/>
        <v>0.13619080072748954</v>
      </c>
      <c r="N283" s="66">
        <f t="shared" si="269"/>
        <v>0.13243147139700279</v>
      </c>
      <c r="O283" s="66">
        <f t="shared" si="269"/>
        <v>0.12876736179037587</v>
      </c>
      <c r="P283" s="66">
        <f t="shared" si="269"/>
        <v>0.12535893151452598</v>
      </c>
      <c r="Q283" s="66">
        <f t="shared" si="269"/>
        <v>0.12230803557668583</v>
      </c>
      <c r="R283" s="66">
        <f t="shared" si="269"/>
        <v>0.119644695911518</v>
      </c>
      <c r="S283" s="66">
        <f t="shared" si="269"/>
        <v>0.11734158799643515</v>
      </c>
      <c r="T283" s="66">
        <f t="shared" si="269"/>
        <v>0.11534021256110373</v>
      </c>
      <c r="U283" s="66">
        <f t="shared" si="269"/>
        <v>0.1135738830832255</v>
      </c>
      <c r="V283" s="66">
        <f t="shared" si="269"/>
        <v>0.11198160990267544</v>
      </c>
      <c r="W283" s="66">
        <f t="shared" si="269"/>
        <v>0.11051378109162242</v>
      </c>
      <c r="X283" s="66">
        <f t="shared" si="269"/>
        <v>0.1091328012280984</v>
      </c>
      <c r="Y283" s="66">
        <f t="shared" si="269"/>
        <v>0.10781143906516494</v>
      </c>
      <c r="Z283" s="66">
        <f t="shared" si="269"/>
        <v>0.1065305435477799</v>
      </c>
      <c r="AA283" s="66">
        <f t="shared" si="269"/>
        <v>0.1052769062525425</v>
      </c>
      <c r="AB283" s="66">
        <f t="shared" si="269"/>
        <v>0.1040415348751549</v>
      </c>
      <c r="AC283" s="66">
        <f t="shared" si="269"/>
        <v>0.10281836041043053</v>
      </c>
    </row>
    <row r="284" spans="1:29" ht="15.75" thickBot="1" x14ac:dyDescent="0.3">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75" thickBot="1" x14ac:dyDescent="0.3">
      <c r="A285" s="31" t="s">
        <v>63</v>
      </c>
      <c r="B285" s="76">
        <f>B276+B277+B278-B279+B280+B281+B282+B283+B284</f>
        <v>1.3243286854317455</v>
      </c>
      <c r="C285" s="76">
        <f t="shared" ref="C285:AC285" si="271">C276+C277+C278-C279+C280+C281+C282+C283+C284</f>
        <v>1.3193591459001763</v>
      </c>
      <c r="D285" s="76">
        <f t="shared" si="271"/>
        <v>1.3143956132166872</v>
      </c>
      <c r="E285" s="76">
        <f t="shared" si="271"/>
        <v>1.3094435312343102</v>
      </c>
      <c r="F285" s="76">
        <f t="shared" si="271"/>
        <v>1.3045116325420922</v>
      </c>
      <c r="G285" s="76">
        <f t="shared" si="271"/>
        <v>1.2996133598432507</v>
      </c>
      <c r="H285" s="76">
        <f t="shared" si="271"/>
        <v>1.2947684362618768</v>
      </c>
      <c r="I285" s="76">
        <f t="shared" si="271"/>
        <v>1.2900040509950683</v>
      </c>
      <c r="J285" s="76">
        <f t="shared" si="271"/>
        <v>1.2887512069026354</v>
      </c>
      <c r="K285" s="76">
        <f t="shared" si="271"/>
        <v>1.2875697221924887</v>
      </c>
      <c r="L285" s="76">
        <f t="shared" si="271"/>
        <v>1.2864685679243515</v>
      </c>
      <c r="M285" s="76">
        <f t="shared" si="271"/>
        <v>1.2854470170555239</v>
      </c>
      <c r="N285" s="76">
        <f t="shared" si="271"/>
        <v>1.2844912084477644</v>
      </c>
      <c r="O285" s="76">
        <f t="shared" si="271"/>
        <v>1.2835754515198801</v>
      </c>
      <c r="P285" s="76">
        <f t="shared" si="271"/>
        <v>1.2826689032583563</v>
      </c>
      <c r="Q285" s="76">
        <f t="shared" si="271"/>
        <v>1.2817442507578434</v>
      </c>
      <c r="R285" s="76">
        <f t="shared" si="271"/>
        <v>1.2807836512973494</v>
      </c>
      <c r="S285" s="76">
        <f t="shared" si="271"/>
        <v>1.2797798097314361</v>
      </c>
      <c r="T285" s="76">
        <f t="shared" si="271"/>
        <v>1.2787334992640562</v>
      </c>
      <c r="U285" s="76">
        <f t="shared" si="271"/>
        <v>1.2776500274216589</v>
      </c>
      <c r="V285" s="76">
        <f t="shared" si="271"/>
        <v>1.2765363365994038</v>
      </c>
      <c r="W285" s="76">
        <f t="shared" si="271"/>
        <v>1.2753992376139034</v>
      </c>
      <c r="X285" s="76">
        <f t="shared" si="271"/>
        <v>1.2742445926509045</v>
      </c>
      <c r="Y285" s="76">
        <f t="shared" si="271"/>
        <v>1.2730770889158569</v>
      </c>
      <c r="Z285" s="76">
        <f t="shared" si="271"/>
        <v>1.2719003076845772</v>
      </c>
      <c r="AA285" s="76">
        <f t="shared" si="271"/>
        <v>1.270716905995444</v>
      </c>
      <c r="AB285" s="76">
        <f t="shared" si="271"/>
        <v>1.2695288168791847</v>
      </c>
      <c r="AC285" s="76">
        <f t="shared" si="271"/>
        <v>1.2683374278964152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25">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25">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25">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25">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25">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25">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25">
      <c r="A295" s="30" t="str">
        <f t="shared" si="272"/>
        <v>Fuel Cost</v>
      </c>
      <c r="B295" s="66">
        <f>B253*B254*B261/B261/(B258)</f>
        <v>7.4999956937941573E-3</v>
      </c>
      <c r="C295" s="66">
        <f t="shared" ref="C295:AC295" si="280">C253*C254*C261/C261/(C258)</f>
        <v>7.2946252876771424E-3</v>
      </c>
      <c r="D295" s="66">
        <f t="shared" si="280"/>
        <v>7.0867287935643675E-3</v>
      </c>
      <c r="E295" s="66">
        <f t="shared" si="280"/>
        <v>6.8754228567414156E-3</v>
      </c>
      <c r="F295" s="66">
        <f t="shared" si="280"/>
        <v>6.6595825364400641E-3</v>
      </c>
      <c r="G295" s="66">
        <f t="shared" si="280"/>
        <v>6.4378404114789015E-3</v>
      </c>
      <c r="H295" s="66">
        <f t="shared" si="280"/>
        <v>6.2086572553062044E-3</v>
      </c>
      <c r="I295" s="66">
        <f t="shared" si="280"/>
        <v>5.9705265663057084E-3</v>
      </c>
      <c r="J295" s="66">
        <f t="shared" si="280"/>
        <v>5.8582488668293634E-3</v>
      </c>
      <c r="K295" s="66">
        <f t="shared" si="280"/>
        <v>5.7327045083787019E-3</v>
      </c>
      <c r="L295" s="66">
        <f t="shared" si="280"/>
        <v>5.5947186207698698E-3</v>
      </c>
      <c r="M295" s="66">
        <f t="shared" si="280"/>
        <v>5.4476320290995812E-3</v>
      </c>
      <c r="N295" s="66">
        <f t="shared" si="280"/>
        <v>5.2972588558801116E-3</v>
      </c>
      <c r="O295" s="66">
        <f t="shared" si="280"/>
        <v>5.1506944716150352E-3</v>
      </c>
      <c r="P295" s="66">
        <f t="shared" si="280"/>
        <v>5.0143572605810391E-3</v>
      </c>
      <c r="Q295" s="66">
        <f t="shared" si="280"/>
        <v>4.8923214230674333E-3</v>
      </c>
      <c r="R295" s="66">
        <f t="shared" si="280"/>
        <v>4.7857878364607198E-3</v>
      </c>
      <c r="S295" s="66">
        <f t="shared" si="280"/>
        <v>4.6936635198574061E-3</v>
      </c>
      <c r="T295" s="66">
        <f t="shared" si="280"/>
        <v>4.6136085024441496E-3</v>
      </c>
      <c r="U295" s="66">
        <f t="shared" si="280"/>
        <v>4.5429553233290202E-3</v>
      </c>
      <c r="V295" s="66">
        <f t="shared" si="280"/>
        <v>4.479264396107018E-3</v>
      </c>
      <c r="W295" s="66">
        <f t="shared" si="280"/>
        <v>4.4205512436648973E-3</v>
      </c>
      <c r="X295" s="66">
        <f t="shared" si="280"/>
        <v>4.3653120491239364E-3</v>
      </c>
      <c r="Y295" s="66">
        <f t="shared" si="280"/>
        <v>4.3124575626065972E-3</v>
      </c>
      <c r="Z295" s="66">
        <f t="shared" si="280"/>
        <v>4.2612217419111956E-3</v>
      </c>
      <c r="AA295" s="66">
        <f t="shared" si="280"/>
        <v>4.2110762501017E-3</v>
      </c>
      <c r="AB295" s="66">
        <f t="shared" si="280"/>
        <v>4.1616613950061958E-3</v>
      </c>
      <c r="AC295" s="66">
        <f t="shared" si="280"/>
        <v>4.1127344164172217E-3</v>
      </c>
    </row>
    <row r="296" spans="1:29" x14ac:dyDescent="0.25">
      <c r="A296" s="59" t="str">
        <f>A259</f>
        <v>Market failure (av. utilization)</v>
      </c>
      <c r="B296" s="66">
        <f t="shared" ref="B296:AC296" si="281">B285/B259-B285/B258</f>
        <v>3.3396114676104878E-2</v>
      </c>
      <c r="C296" s="66">
        <f t="shared" si="281"/>
        <v>3.3270795853134867E-2</v>
      </c>
      <c r="D296" s="66">
        <f t="shared" si="281"/>
        <v>3.3145628507203408E-2</v>
      </c>
      <c r="E296" s="66">
        <f t="shared" si="281"/>
        <v>3.3020749918082591E-2</v>
      </c>
      <c r="F296" s="66">
        <f t="shared" si="281"/>
        <v>3.2896380298887529E-2</v>
      </c>
      <c r="G296" s="66">
        <f t="shared" si="281"/>
        <v>3.2772858639525441E-2</v>
      </c>
      <c r="H296" s="66">
        <f t="shared" si="281"/>
        <v>3.2650682305734265E-2</v>
      </c>
      <c r="I296" s="66">
        <f t="shared" si="281"/>
        <v>3.2530536938136484E-2</v>
      </c>
      <c r="J296" s="66">
        <f t="shared" si="281"/>
        <v>3.2498943478414269E-2</v>
      </c>
      <c r="K296" s="66">
        <f t="shared" si="281"/>
        <v>3.2469149516158397E-2</v>
      </c>
      <c r="L296" s="66">
        <f t="shared" si="281"/>
        <v>3.2441381278092325E-2</v>
      </c>
      <c r="M296" s="66">
        <f t="shared" si="281"/>
        <v>3.2415620430095805E-2</v>
      </c>
      <c r="N296" s="66">
        <f t="shared" si="281"/>
        <v>3.2391517430421873E-2</v>
      </c>
      <c r="O296" s="66">
        <f t="shared" si="281"/>
        <v>3.2368424429631747E-2</v>
      </c>
      <c r="P296" s="66">
        <f t="shared" si="281"/>
        <v>3.2345563647384626E-2</v>
      </c>
      <c r="Q296" s="66">
        <f t="shared" si="281"/>
        <v>3.2322246323458641E-2</v>
      </c>
      <c r="R296" s="66">
        <f t="shared" si="281"/>
        <v>3.2298022510976632E-2</v>
      </c>
      <c r="S296" s="66">
        <f t="shared" si="281"/>
        <v>3.2272708245401419E-2</v>
      </c>
      <c r="T296" s="66">
        <f t="shared" si="281"/>
        <v>3.2246323024919664E-2</v>
      </c>
      <c r="U296" s="66">
        <f t="shared" si="281"/>
        <v>3.2219000691502693E-2</v>
      </c>
      <c r="V296" s="66">
        <f t="shared" si="281"/>
        <v>3.2190916314245831E-2</v>
      </c>
      <c r="W296" s="66">
        <f t="shared" si="281"/>
        <v>3.2162241644176685E-2</v>
      </c>
      <c r="X296" s="66">
        <f t="shared" si="281"/>
        <v>3.2133124510327141E-2</v>
      </c>
      <c r="Y296" s="66">
        <f t="shared" si="281"/>
        <v>3.2103683111791168E-2</v>
      </c>
      <c r="Z296" s="66">
        <f t="shared" si="281"/>
        <v>3.2074007759002363E-2</v>
      </c>
      <c r="AA296" s="66">
        <f t="shared" si="281"/>
        <v>3.2044165455537267E-2</v>
      </c>
      <c r="AB296" s="66">
        <f t="shared" si="281"/>
        <v>3.2014204947388117E-2</v>
      </c>
      <c r="AC296" s="66">
        <f t="shared" si="281"/>
        <v>3.1984161225213935E-2</v>
      </c>
    </row>
    <row r="297" spans="1:29" x14ac:dyDescent="0.25">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75" thickBot="1" x14ac:dyDescent="0.3">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75" thickBot="1" x14ac:dyDescent="0.3">
      <c r="A299" s="31" t="s">
        <v>210</v>
      </c>
      <c r="B299" s="67">
        <f>B288+B289+B290+B291+B292+B293+B294+B295+B296+B297+B298</f>
        <v>8.5592873760686805E-2</v>
      </c>
      <c r="C299" s="67">
        <f t="shared" ref="C299:AC299" si="284">C288+C289+C290+C291+C292+C293+C294+C295+C296+C297+C298</f>
        <v>8.5268773356454025E-2</v>
      </c>
      <c r="D299" s="67">
        <f t="shared" si="284"/>
        <v>8.4945064703182999E-2</v>
      </c>
      <c r="E299" s="67">
        <f t="shared" si="284"/>
        <v>8.4622102834767093E-2</v>
      </c>
      <c r="F299" s="67">
        <f t="shared" si="284"/>
        <v>8.4300457267883322E-2</v>
      </c>
      <c r="G299" s="67">
        <f t="shared" si="284"/>
        <v>8.398100470056756E-2</v>
      </c>
      <c r="H299" s="67">
        <f t="shared" si="284"/>
        <v>8.3665031423521427E-2</v>
      </c>
      <c r="I299" s="67">
        <f t="shared" si="284"/>
        <v>8.3354310645251312E-2</v>
      </c>
      <c r="J299" s="67">
        <f t="shared" si="284"/>
        <v>8.3272603421831765E-2</v>
      </c>
      <c r="K299" s="67">
        <f t="shared" si="284"/>
        <v>8.3195550071170035E-2</v>
      </c>
      <c r="L299" s="67">
        <f t="shared" si="284"/>
        <v>8.3123735662378476E-2</v>
      </c>
      <c r="M299" s="67">
        <f t="shared" si="284"/>
        <v>8.305711277962885E-2</v>
      </c>
      <c r="N299" s="67">
        <f t="shared" si="284"/>
        <v>8.299477743564454E-2</v>
      </c>
      <c r="O299" s="67">
        <f t="shared" si="284"/>
        <v>8.2935054157739024E-2</v>
      </c>
      <c r="P299" s="67">
        <f t="shared" si="284"/>
        <v>8.287593144503097E-2</v>
      </c>
      <c r="Q299" s="67">
        <f t="shared" si="284"/>
        <v>8.281562802108447E-2</v>
      </c>
      <c r="R299" s="67">
        <f t="shared" si="284"/>
        <v>8.2752980230182696E-2</v>
      </c>
      <c r="S299" s="67">
        <f t="shared" si="284"/>
        <v>8.2687512301970953E-2</v>
      </c>
      <c r="T299" s="67">
        <f t="shared" si="284"/>
        <v>8.2619274662794007E-2</v>
      </c>
      <c r="U299" s="67">
        <f t="shared" si="284"/>
        <v>8.2548613455681125E-2</v>
      </c>
      <c r="V299" s="67">
        <f t="shared" si="284"/>
        <v>8.2475981445534086E-2</v>
      </c>
      <c r="W299" s="67">
        <f t="shared" si="284"/>
        <v>8.2401822816044912E-2</v>
      </c>
      <c r="X299" s="67">
        <f t="shared" si="284"/>
        <v>8.2326519883675411E-2</v>
      </c>
      <c r="Y299" s="67">
        <f t="shared" si="284"/>
        <v>8.2250378335737534E-2</v>
      </c>
      <c r="Z299" s="67">
        <f t="shared" si="284"/>
        <v>8.2173631733697544E-2</v>
      </c>
      <c r="AA299" s="67">
        <f t="shared" si="284"/>
        <v>8.2096453362667104E-2</v>
      </c>
      <c r="AB299" s="67">
        <f t="shared" si="284"/>
        <v>8.2018969289867599E-2</v>
      </c>
      <c r="AC299" s="67">
        <f t="shared" si="284"/>
        <v>8.1941270008382638E-2</v>
      </c>
    </row>
    <row r="301" spans="1:29" x14ac:dyDescent="0.25">
      <c r="B301" s="40"/>
    </row>
    <row r="324" spans="1:44" s="3" customFormat="1" ht="21" x14ac:dyDescent="0.35">
      <c r="A324" s="2" t="str">
        <f>'Parameter Input'!A114</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Input'!L77</f>
        <v>105000</v>
      </c>
      <c r="C334" s="42">
        <f>'Parameter Input'!M77</f>
        <v>115000</v>
      </c>
      <c r="D334" s="1" t="s">
        <v>15</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25">
      <c r="A335" s="24" t="s">
        <v>28</v>
      </c>
      <c r="B335" s="60">
        <f>'Parameter Input'!L78</f>
        <v>-26250</v>
      </c>
      <c r="C335" s="61">
        <f>'Parameter Input'!M78</f>
        <v>-17250</v>
      </c>
      <c r="D335" s="1" t="s">
        <v>15</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25">
      <c r="A338" s="24" t="s">
        <v>79</v>
      </c>
      <c r="B338" s="60">
        <f>'Parameter Input'!L84</f>
        <v>0.06</v>
      </c>
      <c r="C338" s="61">
        <f>'Parameter Input'!M84</f>
        <v>0.06</v>
      </c>
      <c r="D338" s="1" t="s">
        <v>57</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25">
      <c r="A340" s="24" t="s">
        <v>52</v>
      </c>
      <c r="B340" s="60">
        <f>'Parameter Input'!L80</f>
        <v>20000</v>
      </c>
      <c r="C340" s="61">
        <f>'Parameter Input'!M80</f>
        <v>20000</v>
      </c>
      <c r="D340" s="1" t="s">
        <v>38</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25">
      <c r="A342" s="24" t="s">
        <v>59</v>
      </c>
      <c r="B342" s="60">
        <f>'Parameter Input'!L81</f>
        <v>2.9</v>
      </c>
      <c r="C342" s="61">
        <f>'Parameter Input'!M81</f>
        <v>2.4</v>
      </c>
      <c r="D342" s="1" t="s">
        <v>60</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25">
      <c r="A343" s="24" t="s">
        <v>67</v>
      </c>
      <c r="B343" s="60">
        <f>'Parameter Input'!L82</f>
        <v>0.1</v>
      </c>
      <c r="C343" s="61">
        <f>'Parameter Input'!M82</f>
        <v>0.1</v>
      </c>
      <c r="D343" s="1" t="s">
        <v>68</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25">
      <c r="A344" s="24" t="s">
        <v>206</v>
      </c>
      <c r="B344" s="45">
        <f>'Parameter Input'!$L$85</f>
        <v>0</v>
      </c>
      <c r="C344" s="46">
        <f>'Parameter Input'!$M$85</f>
        <v>0</v>
      </c>
      <c r="D344" s="1" t="s">
        <v>76</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25">
      <c r="A345" s="24" t="s">
        <v>41</v>
      </c>
      <c r="B345" s="60">
        <f>'Parameter Input'!L79</f>
        <v>8</v>
      </c>
      <c r="C345" s="61">
        <f>'Parameter Input'!M79</f>
        <v>8</v>
      </c>
      <c r="D345" s="1" t="s">
        <v>42</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25">
      <c r="A349" s="24" t="s">
        <v>73</v>
      </c>
      <c r="B349" s="45">
        <f>'Parameter Input'!L83</f>
        <v>0</v>
      </c>
      <c r="C349" s="46">
        <f>'Parameter Input'!M83</f>
        <v>0</v>
      </c>
      <c r="D349" s="1" t="s">
        <v>57</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25">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25">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25">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25">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25">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25">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25">
      <c r="A363" s="30" t="str">
        <f t="shared" si="290"/>
        <v>Fuel Cost</v>
      </c>
      <c r="B363" s="68">
        <f>'Parameter Input'!J8</f>
        <v>6.4802641056422569E-2</v>
      </c>
      <c r="C363" s="68">
        <f>'Parameter Input'!K8</f>
        <v>6.3089795918367345E-2</v>
      </c>
      <c r="D363" s="68">
        <f>'Parameter Input'!L8</f>
        <v>6.1376950780312127E-2</v>
      </c>
      <c r="E363" s="68">
        <f>'Parameter Input'!M8</f>
        <v>5.9664105642256909E-2</v>
      </c>
      <c r="F363" s="68">
        <f>'Parameter Input'!N8</f>
        <v>5.7951260504201692E-2</v>
      </c>
      <c r="G363" s="68">
        <f>'Parameter Input'!O8</f>
        <v>5.6238415366146474E-2</v>
      </c>
      <c r="H363" s="68">
        <f>'Parameter Input'!P8</f>
        <v>5.4525570228091257E-2</v>
      </c>
      <c r="I363" s="68">
        <f>'Parameter Input'!Q8</f>
        <v>5.2812725090036025E-2</v>
      </c>
      <c r="J363" s="68">
        <f>'Parameter Input'!R8</f>
        <v>5.2313145258103252E-2</v>
      </c>
      <c r="K363" s="68">
        <f>'Parameter Input'!S8</f>
        <v>5.181356542617048E-2</v>
      </c>
      <c r="L363" s="68">
        <f>'Parameter Input'!T8</f>
        <v>5.1313985594237707E-2</v>
      </c>
      <c r="M363" s="68">
        <f>'Parameter Input'!U8</f>
        <v>5.0814405762304934E-2</v>
      </c>
      <c r="N363" s="68">
        <f>'Parameter Input'!V8</f>
        <v>5.0314825930372155E-2</v>
      </c>
      <c r="O363" s="68">
        <f>'Parameter Input'!W8</f>
        <v>4.9815246098439382E-2</v>
      </c>
      <c r="P363" s="68">
        <f>'Parameter Input'!X8</f>
        <v>4.931566626650661E-2</v>
      </c>
      <c r="Q363" s="68">
        <f>'Parameter Input'!Y8</f>
        <v>4.8816086434573837E-2</v>
      </c>
      <c r="R363" s="68">
        <f>'Parameter Input'!Z8</f>
        <v>4.8316506602641064E-2</v>
      </c>
      <c r="S363" s="68">
        <f>'Parameter Input'!AA8</f>
        <v>4.7816926770708292E-2</v>
      </c>
      <c r="T363" s="68">
        <f>'Parameter Input'!AB8</f>
        <v>4.7317346938775519E-2</v>
      </c>
      <c r="U363" s="68">
        <f>'Parameter Input'!AC8</f>
        <v>4.6817767106842746E-2</v>
      </c>
      <c r="V363" s="68">
        <f>'Parameter Input'!AD8</f>
        <v>4.6318187274909974E-2</v>
      </c>
      <c r="W363" s="68">
        <f>'Parameter Input'!AE8</f>
        <v>4.5818607442977201E-2</v>
      </c>
      <c r="X363" s="68">
        <f>'Parameter Input'!AF8</f>
        <v>4.5319027611044428E-2</v>
      </c>
      <c r="Y363" s="68">
        <f>'Parameter Input'!AG8</f>
        <v>4.4819447779111656E-2</v>
      </c>
      <c r="Z363" s="68">
        <f>'Parameter Input'!AH8</f>
        <v>4.4319867947178883E-2</v>
      </c>
      <c r="AA363" s="68">
        <f>'Parameter Input'!AI8</f>
        <v>4.382028811524611E-2</v>
      </c>
      <c r="AB363" s="68">
        <f>'Parameter Input'!AJ8</f>
        <v>4.3320708283313338E-2</v>
      </c>
      <c r="AC363" s="68">
        <f>'Parameter Input'!AK8</f>
        <v>4.2821128451380565E-2</v>
      </c>
    </row>
    <row r="364" spans="1:29" x14ac:dyDescent="0.25">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25">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25">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25">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25">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25">
      <c r="A369" s="30" t="s">
        <v>73</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25">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25">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25">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25">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25">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25">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25">
      <c r="A380" s="30" t="str">
        <f>A363</f>
        <v>Fuel Cost</v>
      </c>
      <c r="B380" s="62">
        <f>B362*B363*B370</f>
        <v>14624.991602898606</v>
      </c>
      <c r="C380" s="62">
        <f t="shared" ref="C380:AC380" si="361">C362*C363*C370</f>
        <v>14224.519310970427</v>
      </c>
      <c r="D380" s="62">
        <f t="shared" si="361"/>
        <v>13819.121147450516</v>
      </c>
      <c r="E380" s="62">
        <f t="shared" si="361"/>
        <v>13407.07457064576</v>
      </c>
      <c r="F380" s="62">
        <f t="shared" si="361"/>
        <v>12986.185946058125</v>
      </c>
      <c r="G380" s="62">
        <f t="shared" si="361"/>
        <v>12553.788802383857</v>
      </c>
      <c r="H380" s="62">
        <f t="shared" si="361"/>
        <v>12106.8816478471</v>
      </c>
      <c r="I380" s="62">
        <f t="shared" si="361"/>
        <v>11642.526804296131</v>
      </c>
      <c r="J380" s="62">
        <f t="shared" si="361"/>
        <v>11423.585290317258</v>
      </c>
      <c r="K380" s="62">
        <f t="shared" si="361"/>
        <v>11178.77379133847</v>
      </c>
      <c r="L380" s="62">
        <f t="shared" si="361"/>
        <v>10909.701310501247</v>
      </c>
      <c r="M380" s="62">
        <f t="shared" si="361"/>
        <v>10622.882456744184</v>
      </c>
      <c r="N380" s="62">
        <f t="shared" si="361"/>
        <v>10329.654768966217</v>
      </c>
      <c r="O380" s="62">
        <f t="shared" si="361"/>
        <v>10043.854219649318</v>
      </c>
      <c r="P380" s="62">
        <f t="shared" si="361"/>
        <v>9777.9966581330264</v>
      </c>
      <c r="Q380" s="62">
        <f t="shared" si="361"/>
        <v>9540.0267749814957</v>
      </c>
      <c r="R380" s="62">
        <f t="shared" si="361"/>
        <v>9332.2862810984025</v>
      </c>
      <c r="S380" s="62">
        <f t="shared" si="361"/>
        <v>9152.6438637219417</v>
      </c>
      <c r="T380" s="62">
        <f t="shared" si="361"/>
        <v>8996.5365797660907</v>
      </c>
      <c r="U380" s="62">
        <f t="shared" si="361"/>
        <v>8858.7628804915894</v>
      </c>
      <c r="V380" s="62">
        <f t="shared" si="361"/>
        <v>8734.5655724086846</v>
      </c>
      <c r="W380" s="62">
        <f t="shared" si="361"/>
        <v>8620.0749251465495</v>
      </c>
      <c r="X380" s="62">
        <f t="shared" si="361"/>
        <v>8512.3584957916755</v>
      </c>
      <c r="Y380" s="62">
        <f t="shared" si="361"/>
        <v>8409.2922470828653</v>
      </c>
      <c r="Z380" s="62">
        <f t="shared" si="361"/>
        <v>8309.3823967268327</v>
      </c>
      <c r="AA380" s="62">
        <f t="shared" si="361"/>
        <v>8211.5986876983152</v>
      </c>
      <c r="AB380" s="62">
        <f t="shared" si="361"/>
        <v>8115.2397202620814</v>
      </c>
      <c r="AC380" s="62">
        <f t="shared" si="361"/>
        <v>8019.8321120135806</v>
      </c>
    </row>
    <row r="381" spans="1:29" ht="15.75" thickBot="1" x14ac:dyDescent="0.3">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75" thickBot="1" x14ac:dyDescent="0.3">
      <c r="A382" s="31" t="s">
        <v>209</v>
      </c>
      <c r="B382" s="64">
        <f>B373+B374+B375+B376+B377+B378+B379+B380+B381</f>
        <v>130003.00519036935</v>
      </c>
      <c r="C382" s="64">
        <f t="shared" ref="C382:AC382" si="363">C373+C374+C375+C376+C377+C378+C379+C380+C381</f>
        <v>129619.82856368356</v>
      </c>
      <c r="D382" s="64">
        <f t="shared" si="363"/>
        <v>129238.98776544332</v>
      </c>
      <c r="E382" s="64">
        <f t="shared" si="363"/>
        <v>128861.65066464923</v>
      </c>
      <c r="F382" s="64">
        <f t="shared" si="363"/>
        <v>128489.49351816977</v>
      </c>
      <c r="G382" s="64">
        <f t="shared" si="363"/>
        <v>128124.85081914019</v>
      </c>
      <c r="H382" s="64">
        <f t="shared" si="363"/>
        <v>127770.83247351248</v>
      </c>
      <c r="I382" s="64">
        <f t="shared" si="363"/>
        <v>127431.31023557292</v>
      </c>
      <c r="J382" s="64">
        <f t="shared" si="363"/>
        <v>127375.54905301401</v>
      </c>
      <c r="K382" s="64">
        <f t="shared" si="363"/>
        <v>127336.23560040281</v>
      </c>
      <c r="L382" s="64">
        <f t="shared" si="363"/>
        <v>127313.75487638435</v>
      </c>
      <c r="M382" s="64">
        <f t="shared" si="363"/>
        <v>127305.77548453491</v>
      </c>
      <c r="N382" s="64">
        <f t="shared" si="363"/>
        <v>127306.9174726433</v>
      </c>
      <c r="O382" s="64">
        <f t="shared" si="363"/>
        <v>127309.69395459436</v>
      </c>
      <c r="P382" s="64">
        <f t="shared" si="363"/>
        <v>127306.53400458232</v>
      </c>
      <c r="Q382" s="64">
        <f t="shared" si="363"/>
        <v>127291.81968235015</v>
      </c>
      <c r="R382" s="64">
        <f t="shared" si="363"/>
        <v>127262.86690995783</v>
      </c>
      <c r="S382" s="64">
        <f t="shared" si="363"/>
        <v>127219.64745924415</v>
      </c>
      <c r="T382" s="64">
        <f t="shared" si="363"/>
        <v>127163.8219969232</v>
      </c>
      <c r="U382" s="64">
        <f t="shared" si="363"/>
        <v>127097.7483493742</v>
      </c>
      <c r="V382" s="64">
        <f t="shared" si="363"/>
        <v>127023.80218891229</v>
      </c>
      <c r="W382" s="64">
        <f t="shared" si="363"/>
        <v>126944.03817333317</v>
      </c>
      <c r="X382" s="64">
        <f t="shared" si="363"/>
        <v>126860.08690853344</v>
      </c>
      <c r="Y382" s="64">
        <f t="shared" si="363"/>
        <v>126773.17579475263</v>
      </c>
      <c r="Z382" s="64">
        <f t="shared" si="363"/>
        <v>126684.19794443768</v>
      </c>
      <c r="AA382" s="64">
        <f t="shared" si="363"/>
        <v>126593.78897405008</v>
      </c>
      <c r="AB382" s="64">
        <f t="shared" si="363"/>
        <v>126502.39464403232</v>
      </c>
      <c r="AC382" s="64">
        <f t="shared" si="363"/>
        <v>126410.3245113891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25">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25">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25">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25">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25">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25">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25">
      <c r="A392" s="30" t="str">
        <f t="shared" si="364"/>
        <v>Fuel Cost</v>
      </c>
      <c r="B392" s="66">
        <f>B362*B363*B370/B370</f>
        <v>0.18749989234485392</v>
      </c>
      <c r="C392" s="66">
        <f t="shared" ref="C392:AC392" si="372">C362*C363*C370/C370</f>
        <v>0.18236563219192856</v>
      </c>
      <c r="D392" s="66">
        <f t="shared" si="372"/>
        <v>0.17716821983910919</v>
      </c>
      <c r="E392" s="66">
        <f t="shared" si="372"/>
        <v>0.17188557141853539</v>
      </c>
      <c r="F392" s="66">
        <f t="shared" si="372"/>
        <v>0.1664895634110016</v>
      </c>
      <c r="G392" s="66">
        <f t="shared" si="372"/>
        <v>0.16094601028697253</v>
      </c>
      <c r="H392" s="66">
        <f t="shared" si="372"/>
        <v>0.15521643138265512</v>
      </c>
      <c r="I392" s="66">
        <f t="shared" si="372"/>
        <v>0.14926316415764271</v>
      </c>
      <c r="J392" s="66">
        <f t="shared" si="372"/>
        <v>0.14645622167073408</v>
      </c>
      <c r="K392" s="66">
        <f t="shared" si="372"/>
        <v>0.14331761270946755</v>
      </c>
      <c r="L392" s="66">
        <f t="shared" si="372"/>
        <v>0.13986796551924674</v>
      </c>
      <c r="M392" s="66">
        <f t="shared" si="372"/>
        <v>0.13619080072748954</v>
      </c>
      <c r="N392" s="66">
        <f t="shared" si="372"/>
        <v>0.13243147139700279</v>
      </c>
      <c r="O392" s="66">
        <f t="shared" si="372"/>
        <v>0.12876736179037587</v>
      </c>
      <c r="P392" s="66">
        <f t="shared" si="372"/>
        <v>0.12535893151452598</v>
      </c>
      <c r="Q392" s="66">
        <f t="shared" si="372"/>
        <v>0.12230803557668585</v>
      </c>
      <c r="R392" s="66">
        <f t="shared" si="372"/>
        <v>0.11964469591151798</v>
      </c>
      <c r="S392" s="66">
        <f t="shared" si="372"/>
        <v>0.11734158799643515</v>
      </c>
      <c r="T392" s="66">
        <f t="shared" si="372"/>
        <v>0.11534021256110373</v>
      </c>
      <c r="U392" s="66">
        <f t="shared" si="372"/>
        <v>0.11357388308322551</v>
      </c>
      <c r="V392" s="66">
        <f t="shared" si="372"/>
        <v>0.11198160990267544</v>
      </c>
      <c r="W392" s="66">
        <f t="shared" si="372"/>
        <v>0.11051378109162242</v>
      </c>
      <c r="X392" s="66">
        <f t="shared" si="372"/>
        <v>0.1091328012280984</v>
      </c>
      <c r="Y392" s="66">
        <f t="shared" si="372"/>
        <v>0.10781143906516494</v>
      </c>
      <c r="Z392" s="66">
        <f t="shared" si="372"/>
        <v>0.10653054354777991</v>
      </c>
      <c r="AA392" s="66">
        <f t="shared" si="372"/>
        <v>0.1052769062525425</v>
      </c>
      <c r="AB392" s="66">
        <f t="shared" si="372"/>
        <v>0.10404153487515488</v>
      </c>
      <c r="AC392" s="66">
        <f t="shared" si="372"/>
        <v>0.10281836041043052</v>
      </c>
    </row>
    <row r="393" spans="1:29" ht="15.75" thickBot="1" x14ac:dyDescent="0.3">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75" thickBot="1" x14ac:dyDescent="0.3">
      <c r="A394" s="31" t="s">
        <v>63</v>
      </c>
      <c r="B394" s="76">
        <f>B385+B386+B387-B388+B389+B390+B391+B392+B393</f>
        <v>1.7015431327535515</v>
      </c>
      <c r="C394" s="76">
        <f t="shared" ref="C394:AC394" si="374">C385+C386+C387-C388+C389+C390+C391+C392+C393</f>
        <v>1.6966306118986056</v>
      </c>
      <c r="D394" s="76">
        <f t="shared" si="374"/>
        <v>1.6917480375621923</v>
      </c>
      <c r="E394" s="76">
        <f t="shared" si="374"/>
        <v>1.6869103824238068</v>
      </c>
      <c r="F394" s="76">
        <f t="shared" si="374"/>
        <v>1.6821391369561209</v>
      </c>
      <c r="G394" s="76">
        <f t="shared" si="374"/>
        <v>1.6774642305583058</v>
      </c>
      <c r="H394" s="76">
        <f t="shared" si="374"/>
        <v>1.6729255338194895</v>
      </c>
      <c r="I394" s="76">
        <f t="shared" si="374"/>
        <v>1.6685726846151361</v>
      </c>
      <c r="J394" s="76">
        <f t="shared" si="374"/>
        <v>1.6678577976592526</v>
      </c>
      <c r="K394" s="76">
        <f t="shared" si="374"/>
        <v>1.667353779036032</v>
      </c>
      <c r="L394" s="76">
        <f t="shared" si="374"/>
        <v>1.667065564625539</v>
      </c>
      <c r="M394" s="76">
        <f t="shared" si="374"/>
        <v>1.6669632647300332</v>
      </c>
      <c r="N394" s="76">
        <f t="shared" si="374"/>
        <v>1.6669779056032177</v>
      </c>
      <c r="O394" s="76">
        <f t="shared" si="374"/>
        <v>1.6670135015256673</v>
      </c>
      <c r="P394" s="76">
        <f t="shared" si="374"/>
        <v>1.6669729893460257</v>
      </c>
      <c r="Q394" s="76">
        <f t="shared" si="374"/>
        <v>1.666784344189203</v>
      </c>
      <c r="R394" s="76">
        <f t="shared" si="374"/>
        <v>1.6664131547995578</v>
      </c>
      <c r="S394" s="76">
        <f t="shared" si="374"/>
        <v>1.6658590592775877</v>
      </c>
      <c r="T394" s="76">
        <f t="shared" si="374"/>
        <v>1.6651433482221911</v>
      </c>
      <c r="U394" s="76">
        <f t="shared" si="374"/>
        <v>1.6642962501766909</v>
      </c>
      <c r="V394" s="76">
        <f t="shared" si="374"/>
        <v>1.663348222478461</v>
      </c>
      <c r="W394" s="76">
        <f t="shared" si="374"/>
        <v>1.6623256068941137</v>
      </c>
      <c r="X394" s="76">
        <f t="shared" si="374"/>
        <v>1.6612493086274502</v>
      </c>
      <c r="Y394" s="76">
        <f t="shared" si="374"/>
        <v>1.6601350635789787</v>
      </c>
      <c r="Z394" s="76">
        <f t="shared" si="374"/>
        <v>1.6589943219082737</v>
      </c>
      <c r="AA394" s="76">
        <f t="shared" si="374"/>
        <v>1.6578352325443302</v>
      </c>
      <c r="AB394" s="76">
        <f t="shared" si="374"/>
        <v>1.6566635103646155</v>
      </c>
      <c r="AC394" s="76">
        <f t="shared" si="374"/>
        <v>1.6554831240486767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25">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25">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25">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25">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25">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25">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25">
      <c r="A404" s="30" t="str">
        <f t="shared" si="375"/>
        <v>Fuel Cost</v>
      </c>
      <c r="B404" s="66">
        <f>B362*B363*B370/B370/(B367)</f>
        <v>7.4999956937941573E-3</v>
      </c>
      <c r="C404" s="66">
        <f t="shared" ref="C404:AC404" si="383">C362*C363*C370/C370/(C367)</f>
        <v>7.2946252876771424E-3</v>
      </c>
      <c r="D404" s="66">
        <f t="shared" si="383"/>
        <v>7.0867287935643675E-3</v>
      </c>
      <c r="E404" s="66">
        <f t="shared" si="383"/>
        <v>6.8754228567414156E-3</v>
      </c>
      <c r="F404" s="66">
        <f t="shared" si="383"/>
        <v>6.6595825364400641E-3</v>
      </c>
      <c r="G404" s="66">
        <f t="shared" si="383"/>
        <v>6.4378404114789015E-3</v>
      </c>
      <c r="H404" s="66">
        <f t="shared" si="383"/>
        <v>6.2086572553062044E-3</v>
      </c>
      <c r="I404" s="66">
        <f t="shared" si="383"/>
        <v>5.9705265663057084E-3</v>
      </c>
      <c r="J404" s="66">
        <f t="shared" si="383"/>
        <v>5.8582488668293634E-3</v>
      </c>
      <c r="K404" s="66">
        <f t="shared" si="383"/>
        <v>5.7327045083787019E-3</v>
      </c>
      <c r="L404" s="66">
        <f t="shared" si="383"/>
        <v>5.5947186207698698E-3</v>
      </c>
      <c r="M404" s="66">
        <f t="shared" si="383"/>
        <v>5.4476320290995812E-3</v>
      </c>
      <c r="N404" s="66">
        <f t="shared" si="383"/>
        <v>5.2972588558801116E-3</v>
      </c>
      <c r="O404" s="66">
        <f t="shared" si="383"/>
        <v>5.1506944716150352E-3</v>
      </c>
      <c r="P404" s="66">
        <f t="shared" si="383"/>
        <v>5.0143572605810391E-3</v>
      </c>
      <c r="Q404" s="66">
        <f t="shared" si="383"/>
        <v>4.8923214230674342E-3</v>
      </c>
      <c r="R404" s="66">
        <f t="shared" si="383"/>
        <v>4.7857878364607189E-3</v>
      </c>
      <c r="S404" s="66">
        <f t="shared" si="383"/>
        <v>4.6936635198574061E-3</v>
      </c>
      <c r="T404" s="66">
        <f t="shared" si="383"/>
        <v>4.6136085024441496E-3</v>
      </c>
      <c r="U404" s="66">
        <f t="shared" si="383"/>
        <v>4.5429553233290202E-3</v>
      </c>
      <c r="V404" s="66">
        <f t="shared" si="383"/>
        <v>4.479264396107018E-3</v>
      </c>
      <c r="W404" s="66">
        <f t="shared" si="383"/>
        <v>4.4205512436648973E-3</v>
      </c>
      <c r="X404" s="66">
        <f t="shared" si="383"/>
        <v>4.3653120491239364E-3</v>
      </c>
      <c r="Y404" s="66">
        <f t="shared" si="383"/>
        <v>4.3124575626065972E-3</v>
      </c>
      <c r="Z404" s="66">
        <f t="shared" si="383"/>
        <v>4.2612217419111965E-3</v>
      </c>
      <c r="AA404" s="66">
        <f t="shared" si="383"/>
        <v>4.2110762501017E-3</v>
      </c>
      <c r="AB404" s="66">
        <f t="shared" si="383"/>
        <v>4.1616613950061949E-3</v>
      </c>
      <c r="AC404" s="66">
        <f t="shared" si="383"/>
        <v>4.1127344164172209E-3</v>
      </c>
    </row>
    <row r="405" spans="1:29" x14ac:dyDescent="0.25">
      <c r="A405" s="59" t="str">
        <f>A368</f>
        <v>Market failure (av. utilization)</v>
      </c>
      <c r="B405" s="66">
        <f t="shared" ref="B405:AC405" si="384">B394/B368-B394/B367</f>
        <v>4.2908478999872157E-2</v>
      </c>
      <c r="C405" s="66">
        <f t="shared" si="384"/>
        <v>4.2784598039182206E-2</v>
      </c>
      <c r="D405" s="66">
        <f t="shared" si="384"/>
        <v>4.2661472251568314E-2</v>
      </c>
      <c r="E405" s="66">
        <f t="shared" si="384"/>
        <v>4.2539479208948155E-2</v>
      </c>
      <c r="F405" s="66">
        <f t="shared" si="384"/>
        <v>4.241916084498043E-2</v>
      </c>
      <c r="G405" s="66">
        <f t="shared" si="384"/>
        <v>4.2301271901035525E-2</v>
      </c>
      <c r="H405" s="66">
        <f t="shared" si="384"/>
        <v>4.2186817809361024E-2</v>
      </c>
      <c r="I405" s="66">
        <f t="shared" si="384"/>
        <v>4.207705030768602E-2</v>
      </c>
      <c r="J405" s="66">
        <f t="shared" si="384"/>
        <v>4.2059022723581141E-2</v>
      </c>
      <c r="K405" s="66">
        <f t="shared" si="384"/>
        <v>4.2046312688734697E-2</v>
      </c>
      <c r="L405" s="66">
        <f t="shared" si="384"/>
        <v>4.2039044673165757E-2</v>
      </c>
      <c r="M405" s="66">
        <f t="shared" si="384"/>
        <v>4.203646493667039E-2</v>
      </c>
      <c r="N405" s="66">
        <f t="shared" si="384"/>
        <v>4.203683414129851E-2</v>
      </c>
      <c r="O405" s="66">
        <f t="shared" si="384"/>
        <v>4.2037731777603768E-2</v>
      </c>
      <c r="P405" s="66">
        <f t="shared" si="384"/>
        <v>4.2036710166117139E-2</v>
      </c>
      <c r="Q405" s="66">
        <f t="shared" si="384"/>
        <v>4.2031953027379887E-2</v>
      </c>
      <c r="R405" s="66">
        <f t="shared" si="384"/>
        <v>4.2022592599293182E-2</v>
      </c>
      <c r="S405" s="66">
        <f t="shared" si="384"/>
        <v>4.200861975569567E-2</v>
      </c>
      <c r="T405" s="66">
        <f t="shared" si="384"/>
        <v>4.1990571389950881E-2</v>
      </c>
      <c r="U405" s="66">
        <f t="shared" si="384"/>
        <v>4.1969209787064365E-2</v>
      </c>
      <c r="V405" s="66">
        <f t="shared" si="384"/>
        <v>4.194530300163074E-2</v>
      </c>
      <c r="W405" s="66">
        <f t="shared" si="384"/>
        <v>4.1919515304286323E-2</v>
      </c>
      <c r="X405" s="66">
        <f t="shared" si="384"/>
        <v>4.1892373869735683E-2</v>
      </c>
      <c r="Y405" s="66">
        <f t="shared" si="384"/>
        <v>4.186427551633945E-2</v>
      </c>
      <c r="Z405" s="66">
        <f t="shared" si="384"/>
        <v>4.1835508987252093E-2</v>
      </c>
      <c r="AA405" s="66">
        <f t="shared" si="384"/>
        <v>4.180627977720483E-2</v>
      </c>
      <c r="AB405" s="66">
        <f t="shared" si="384"/>
        <v>4.1776732000498987E-2</v>
      </c>
      <c r="AC405" s="66">
        <f t="shared" si="384"/>
        <v>4.1746965736879652E-2</v>
      </c>
    </row>
    <row r="406" spans="1:29" x14ac:dyDescent="0.25">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75" thickBot="1" x14ac:dyDescent="0.3">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75" thickBot="1" x14ac:dyDescent="0.3">
      <c r="A408" s="31" t="s">
        <v>210</v>
      </c>
      <c r="B408" s="67">
        <f>B397+B398+B399+B400+B401+B402+B403+B404+B405+B406+B407</f>
        <v>0.10957668678980516</v>
      </c>
      <c r="C408" s="67">
        <f t="shared" ref="C408:AC408" si="387">C397+C398+C399+C400+C401+C402+C403+C404+C405+C406+C407</f>
        <v>0.10925630499491737</v>
      </c>
      <c r="D408" s="67">
        <f t="shared" si="387"/>
        <v>0.10893787623384694</v>
      </c>
      <c r="E408" s="67">
        <f t="shared" si="387"/>
        <v>0.10862237698569135</v>
      </c>
      <c r="F408" s="67">
        <f t="shared" si="387"/>
        <v>0.10831120880301622</v>
      </c>
      <c r="G408" s="67">
        <f t="shared" si="387"/>
        <v>0.1080063236031587</v>
      </c>
      <c r="H408" s="67">
        <f t="shared" si="387"/>
        <v>0.10771032164193153</v>
      </c>
      <c r="I408" s="67">
        <f t="shared" si="387"/>
        <v>0.1074264401720824</v>
      </c>
      <c r="J408" s="67">
        <f t="shared" si="387"/>
        <v>0.10737981710974218</v>
      </c>
      <c r="K408" s="67">
        <f t="shared" si="387"/>
        <v>0.10734694632996691</v>
      </c>
      <c r="L408" s="67">
        <f t="shared" si="387"/>
        <v>0.10732814973797825</v>
      </c>
      <c r="M408" s="67">
        <f t="shared" si="387"/>
        <v>0.10732147800566266</v>
      </c>
      <c r="N408" s="67">
        <f t="shared" si="387"/>
        <v>0.10732243284521815</v>
      </c>
      <c r="O408" s="67">
        <f t="shared" si="387"/>
        <v>0.10732475431842138</v>
      </c>
      <c r="P408" s="67">
        <f t="shared" si="387"/>
        <v>0.10732211221974909</v>
      </c>
      <c r="Q408" s="67">
        <f t="shared" si="387"/>
        <v>0.10730980927473895</v>
      </c>
      <c r="R408" s="67">
        <f t="shared" si="387"/>
        <v>0.10728560127106643</v>
      </c>
      <c r="S408" s="67">
        <f t="shared" si="387"/>
        <v>0.10724946460659011</v>
      </c>
      <c r="T408" s="67">
        <f t="shared" si="387"/>
        <v>0.10720278779862946</v>
      </c>
      <c r="U408" s="67">
        <f t="shared" si="387"/>
        <v>0.10714754227392294</v>
      </c>
      <c r="V408" s="67">
        <f t="shared" si="387"/>
        <v>0.10708571438056012</v>
      </c>
      <c r="W408" s="67">
        <f t="shared" si="387"/>
        <v>0.1070190220598418</v>
      </c>
      <c r="X408" s="67">
        <f t="shared" si="387"/>
        <v>0.10694882869462462</v>
      </c>
      <c r="Y408" s="67">
        <f t="shared" si="387"/>
        <v>0.10687616053928953</v>
      </c>
      <c r="Z408" s="67">
        <f t="shared" si="387"/>
        <v>0.10680176434337398</v>
      </c>
      <c r="AA408" s="67">
        <f t="shared" si="387"/>
        <v>0.10672617155876898</v>
      </c>
      <c r="AB408" s="67">
        <f t="shared" si="387"/>
        <v>0.10664975489487453</v>
      </c>
      <c r="AC408" s="67">
        <f t="shared" si="387"/>
        <v>0.10657277317861766</v>
      </c>
    </row>
    <row r="410" spans="1:29" x14ac:dyDescent="0.25">
      <c r="B410" s="40"/>
    </row>
    <row r="429" spans="1:1" s="3" customFormat="1" ht="21" x14ac:dyDescent="0.35">
      <c r="A429" s="2" t="str">
        <f>'Parameter Input'!A128</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Input'!L77</f>
        <v>105000</v>
      </c>
      <c r="C439" s="42">
        <f>'Parameter Input'!M77</f>
        <v>115000</v>
      </c>
      <c r="D439" s="1" t="s">
        <v>15</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25">
      <c r="A440" s="24" t="s">
        <v>28</v>
      </c>
      <c r="B440" s="60">
        <f>'Parameter Input'!L78</f>
        <v>-26250</v>
      </c>
      <c r="C440" s="61">
        <f>'Parameter Input'!M78</f>
        <v>-17250</v>
      </c>
      <c r="D440" s="1" t="s">
        <v>15</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25">
      <c r="A443" s="24" t="s">
        <v>79</v>
      </c>
      <c r="B443" s="60">
        <f>'Parameter Input'!L84</f>
        <v>0.06</v>
      </c>
      <c r="C443" s="61">
        <f>'Parameter Input'!M84</f>
        <v>0.06</v>
      </c>
      <c r="D443" s="1" t="s">
        <v>57</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25">
      <c r="A445" s="24" t="s">
        <v>52</v>
      </c>
      <c r="B445" s="60">
        <f>'Parameter Input'!L80</f>
        <v>20000</v>
      </c>
      <c r="C445" s="61">
        <f>'Parameter Input'!M80</f>
        <v>20000</v>
      </c>
      <c r="D445" s="1" t="s">
        <v>38</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25">
      <c r="A447" s="24" t="s">
        <v>59</v>
      </c>
      <c r="B447" s="60">
        <f>'Parameter Input'!L81</f>
        <v>2.9</v>
      </c>
      <c r="C447" s="61">
        <f>'Parameter Input'!M81</f>
        <v>2.4</v>
      </c>
      <c r="D447" s="1" t="s">
        <v>60</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25">
      <c r="A448" s="24" t="s">
        <v>67</v>
      </c>
      <c r="B448" s="60">
        <f>'Parameter Input'!L82</f>
        <v>0.1</v>
      </c>
      <c r="C448" s="61">
        <f>'Parameter Input'!M82</f>
        <v>0.1</v>
      </c>
      <c r="D448" s="1" t="s">
        <v>68</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25">
      <c r="A449" s="24" t="s">
        <v>206</v>
      </c>
      <c r="B449" s="45">
        <f>'Parameter Input'!$L$85</f>
        <v>0</v>
      </c>
      <c r="C449" s="46">
        <f>'Parameter Input'!$M$85</f>
        <v>0</v>
      </c>
      <c r="D449" s="1" t="s">
        <v>76</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25">
      <c r="A450" s="24" t="s">
        <v>41</v>
      </c>
      <c r="B450" s="60">
        <f>'Parameter Input'!L79</f>
        <v>8</v>
      </c>
      <c r="C450" s="61">
        <f>'Parameter Input'!M79</f>
        <v>8</v>
      </c>
      <c r="D450" s="1" t="s">
        <v>42</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25">
      <c r="A454" s="24" t="s">
        <v>73</v>
      </c>
      <c r="B454" s="45">
        <f>'Parameter Input'!L83</f>
        <v>0</v>
      </c>
      <c r="C454" s="46">
        <f>'Parameter Input'!M83</f>
        <v>0</v>
      </c>
      <c r="D454" s="1" t="s">
        <v>57</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25">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25">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25">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25">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25">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25">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25">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25">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25">
      <c r="A468" s="30" t="str">
        <f t="shared" si="393"/>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25">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25">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25">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25">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25">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25">
      <c r="A474" s="30" t="s">
        <v>73</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25">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25">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25">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25">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25">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25">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25">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25">
      <c r="A485" s="30" t="str">
        <f>A468</f>
        <v>Fuel Cost</v>
      </c>
      <c r="B485" s="62">
        <f>B467*B468*B475</f>
        <v>16874.990311036854</v>
      </c>
      <c r="C485" s="62">
        <f t="shared" ref="C485:AC485" si="464">C467*C468*C475</f>
        <v>16412.906897273569</v>
      </c>
      <c r="D485" s="62">
        <f t="shared" si="464"/>
        <v>15945.139785519827</v>
      </c>
      <c r="E485" s="62">
        <f t="shared" si="464"/>
        <v>15469.701427668186</v>
      </c>
      <c r="F485" s="62">
        <f t="shared" si="464"/>
        <v>14984.060706990143</v>
      </c>
      <c r="G485" s="62">
        <f t="shared" si="464"/>
        <v>14485.140925827527</v>
      </c>
      <c r="H485" s="62">
        <f t="shared" si="464"/>
        <v>13969.47882443896</v>
      </c>
      <c r="I485" s="62">
        <f t="shared" si="464"/>
        <v>13433.684774187845</v>
      </c>
      <c r="J485" s="62">
        <f t="shared" si="464"/>
        <v>13181.059950366067</v>
      </c>
      <c r="K485" s="62">
        <f t="shared" si="464"/>
        <v>12898.58514385208</v>
      </c>
      <c r="L485" s="62">
        <f t="shared" si="464"/>
        <v>12588.116896732206</v>
      </c>
      <c r="M485" s="62">
        <f t="shared" si="464"/>
        <v>12257.172065474058</v>
      </c>
      <c r="N485" s="62">
        <f t="shared" si="464"/>
        <v>11918.83242573025</v>
      </c>
      <c r="O485" s="62">
        <f t="shared" si="464"/>
        <v>11589.062561133829</v>
      </c>
      <c r="P485" s="62">
        <f t="shared" si="464"/>
        <v>11282.303836307339</v>
      </c>
      <c r="Q485" s="62">
        <f t="shared" si="464"/>
        <v>11007.723201901725</v>
      </c>
      <c r="R485" s="62">
        <f t="shared" si="464"/>
        <v>10768.022632036618</v>
      </c>
      <c r="S485" s="62">
        <f t="shared" si="464"/>
        <v>10560.742919679164</v>
      </c>
      <c r="T485" s="62">
        <f t="shared" si="464"/>
        <v>10380.619130499335</v>
      </c>
      <c r="U485" s="62">
        <f t="shared" si="464"/>
        <v>10221.649477490295</v>
      </c>
      <c r="V485" s="62">
        <f t="shared" si="464"/>
        <v>10078.344891240789</v>
      </c>
      <c r="W485" s="62">
        <f t="shared" si="464"/>
        <v>9946.2402982460189</v>
      </c>
      <c r="X485" s="62">
        <f t="shared" si="464"/>
        <v>9821.9521105288568</v>
      </c>
      <c r="Y485" s="62">
        <f t="shared" si="464"/>
        <v>9703.0295158648441</v>
      </c>
      <c r="Z485" s="62">
        <f t="shared" si="464"/>
        <v>9587.7489193001911</v>
      </c>
      <c r="AA485" s="62">
        <f t="shared" si="464"/>
        <v>9474.9215627288249</v>
      </c>
      <c r="AB485" s="62">
        <f t="shared" si="464"/>
        <v>9363.7381387639398</v>
      </c>
      <c r="AC485" s="62">
        <f t="shared" si="464"/>
        <v>9253.6524369387462</v>
      </c>
    </row>
    <row r="486" spans="1:29" ht="15.75" thickBot="1" x14ac:dyDescent="0.3">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75" thickBot="1" x14ac:dyDescent="0.3">
      <c r="A487" s="31" t="s">
        <v>209</v>
      </c>
      <c r="B487" s="64">
        <f>B478+B479+B480+B481+B482+B483+B484+B485</f>
        <v>133063.49905518116</v>
      </c>
      <c r="C487" s="64">
        <f t="shared" ref="C487:AC487" si="466">C478+C479+C480+C481+C482+C483+C484+C485</f>
        <v>132618.71130666026</v>
      </c>
      <c r="D487" s="64">
        <f t="shared" si="466"/>
        <v>132175.50156018618</v>
      </c>
      <c r="E487" s="64">
        <f t="shared" si="466"/>
        <v>131734.77267834521</v>
      </c>
      <c r="F487" s="64">
        <f t="shared" si="466"/>
        <v>131297.86343577533</v>
      </c>
      <c r="G487" s="64">
        <f t="shared" si="466"/>
        <v>130866.69809925741</v>
      </c>
      <c r="H487" s="64">
        <f t="shared" si="466"/>
        <v>130443.92480677791</v>
      </c>
      <c r="I487" s="64">
        <f t="shared" si="466"/>
        <v>130032.96336213821</v>
      </c>
      <c r="J487" s="64">
        <f t="shared" si="466"/>
        <v>129943.51886973638</v>
      </c>
      <c r="K487" s="64">
        <f t="shared" si="466"/>
        <v>129866.54210958998</v>
      </c>
      <c r="L487" s="64">
        <f t="shared" si="466"/>
        <v>129802.66561928888</v>
      </c>
      <c r="M487" s="64">
        <f t="shared" si="466"/>
        <v>129750.56024993835</v>
      </c>
      <c r="N487" s="64">
        <f t="shared" si="466"/>
        <v>129706.5902860809</v>
      </c>
      <c r="O487" s="64">
        <f t="shared" si="466"/>
        <v>129665.39745275243</v>
      </c>
      <c r="P487" s="64">
        <f t="shared" si="466"/>
        <v>129621.3363394302</v>
      </c>
      <c r="Q487" s="64">
        <f t="shared" si="466"/>
        <v>129570.01126594393</v>
      </c>
      <c r="R487" s="64">
        <f t="shared" si="466"/>
        <v>129509.09841756959</v>
      </c>
      <c r="S487" s="64">
        <f t="shared" si="466"/>
        <v>129438.24167187493</v>
      </c>
      <c r="T487" s="64">
        <f t="shared" si="466"/>
        <v>129358.39970433002</v>
      </c>
      <c r="U487" s="64">
        <f t="shared" si="466"/>
        <v>129271.13010304647</v>
      </c>
      <c r="V487" s="64">
        <f t="shared" si="466"/>
        <v>129178.07666441795</v>
      </c>
      <c r="W487" s="64">
        <f t="shared" si="466"/>
        <v>129080.69870310622</v>
      </c>
      <c r="X487" s="64">
        <f t="shared" si="466"/>
        <v>128980.17567994418</v>
      </c>
      <c r="Y487" s="64">
        <f t="shared" si="466"/>
        <v>128877.40822020819</v>
      </c>
      <c r="Z487" s="64">
        <f t="shared" si="466"/>
        <v>128773.05962368459</v>
      </c>
      <c r="AA487" s="64">
        <f t="shared" si="466"/>
        <v>128667.60700575414</v>
      </c>
      <c r="AB487" s="64">
        <f t="shared" si="466"/>
        <v>128561.38821920773</v>
      </c>
      <c r="AC487" s="64">
        <f t="shared" si="466"/>
        <v>128454.63999298782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25">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25">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25">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25">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25">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25">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25">
      <c r="A497" s="30" t="str">
        <f t="shared" si="467"/>
        <v>Fuel Cost</v>
      </c>
      <c r="B497" s="66">
        <f>B467*B468*B475/B475</f>
        <v>0.18749989234485392</v>
      </c>
      <c r="C497" s="66">
        <f t="shared" ref="C497:AC497" si="475">C467*C468*C475/C475</f>
        <v>0.18236563219192856</v>
      </c>
      <c r="D497" s="66">
        <f t="shared" si="475"/>
        <v>0.17716821983910919</v>
      </c>
      <c r="E497" s="66">
        <f t="shared" si="475"/>
        <v>0.17188557141853539</v>
      </c>
      <c r="F497" s="66">
        <f t="shared" si="475"/>
        <v>0.1664895634110016</v>
      </c>
      <c r="G497" s="66">
        <f t="shared" si="475"/>
        <v>0.16094601028697253</v>
      </c>
      <c r="H497" s="66">
        <f t="shared" si="475"/>
        <v>0.15521643138265512</v>
      </c>
      <c r="I497" s="66">
        <f t="shared" si="475"/>
        <v>0.14926316415764271</v>
      </c>
      <c r="J497" s="66">
        <f t="shared" si="475"/>
        <v>0.14645622167073408</v>
      </c>
      <c r="K497" s="66">
        <f t="shared" si="475"/>
        <v>0.14331761270946755</v>
      </c>
      <c r="L497" s="66">
        <f t="shared" si="475"/>
        <v>0.13986796551924674</v>
      </c>
      <c r="M497" s="66">
        <f t="shared" si="475"/>
        <v>0.13619080072748954</v>
      </c>
      <c r="N497" s="66">
        <f t="shared" si="475"/>
        <v>0.13243147139700279</v>
      </c>
      <c r="O497" s="66">
        <f t="shared" si="475"/>
        <v>0.12876736179037587</v>
      </c>
      <c r="P497" s="66">
        <f t="shared" si="475"/>
        <v>0.12535893151452598</v>
      </c>
      <c r="Q497" s="66">
        <f t="shared" si="475"/>
        <v>0.12230803557668583</v>
      </c>
      <c r="R497" s="66">
        <f t="shared" si="475"/>
        <v>0.11964469591151798</v>
      </c>
      <c r="S497" s="66">
        <f t="shared" si="475"/>
        <v>0.11734158799643515</v>
      </c>
      <c r="T497" s="66">
        <f t="shared" si="475"/>
        <v>0.11534021256110373</v>
      </c>
      <c r="U497" s="66">
        <f t="shared" si="475"/>
        <v>0.1135738830832255</v>
      </c>
      <c r="V497" s="66">
        <f t="shared" si="475"/>
        <v>0.11198160990267544</v>
      </c>
      <c r="W497" s="66">
        <f t="shared" si="475"/>
        <v>0.11051378109162244</v>
      </c>
      <c r="X497" s="66">
        <f t="shared" si="475"/>
        <v>0.1091328012280984</v>
      </c>
      <c r="Y497" s="66">
        <f t="shared" si="475"/>
        <v>0.10781143906516494</v>
      </c>
      <c r="Z497" s="66">
        <f t="shared" si="475"/>
        <v>0.1065305435477799</v>
      </c>
      <c r="AA497" s="66">
        <f t="shared" si="475"/>
        <v>0.1052769062525425</v>
      </c>
      <c r="AB497" s="66">
        <f t="shared" si="475"/>
        <v>0.10404153487515488</v>
      </c>
      <c r="AC497" s="66">
        <f t="shared" si="475"/>
        <v>0.10281836041043051</v>
      </c>
    </row>
    <row r="498" spans="1:29" ht="15.75" thickBot="1" x14ac:dyDescent="0.3">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75" thickBot="1" x14ac:dyDescent="0.3">
      <c r="A499" s="31" t="s">
        <v>63</v>
      </c>
      <c r="B499" s="76">
        <f>B490+B491+B492-B493+B494+B495+B496+B497</f>
        <v>1.5049020924893097</v>
      </c>
      <c r="C499" s="67">
        <f t="shared" ref="C499:AC499" si="477">C490+C491+C492-C493+C494+C495+C496+C497</f>
        <v>1.4999600063946332</v>
      </c>
      <c r="D499" s="67">
        <f t="shared" si="477"/>
        <v>1.4950354536560322</v>
      </c>
      <c r="E499" s="67">
        <f t="shared" si="477"/>
        <v>1.4901384660800217</v>
      </c>
      <c r="F499" s="67">
        <f t="shared" si="477"/>
        <v>1.4852839189403562</v>
      </c>
      <c r="G499" s="67">
        <f t="shared" si="477"/>
        <v>1.4804931929790461</v>
      </c>
      <c r="H499" s="67">
        <f t="shared" si="477"/>
        <v>1.4757957119514959</v>
      </c>
      <c r="I499" s="67">
        <f t="shared" si="477"/>
        <v>1.4712294736777216</v>
      </c>
      <c r="J499" s="67">
        <f t="shared" si="477"/>
        <v>1.470235645984368</v>
      </c>
      <c r="K499" s="67">
        <f t="shared" si="477"/>
        <v>1.4693803486494077</v>
      </c>
      <c r="L499" s="67">
        <f t="shared" si="477"/>
        <v>1.4686706098682845</v>
      </c>
      <c r="M499" s="67">
        <f t="shared" si="477"/>
        <v>1.4680916613199453</v>
      </c>
      <c r="N499" s="67">
        <f t="shared" si="477"/>
        <v>1.4676031061659736</v>
      </c>
      <c r="O499" s="67">
        <f t="shared" si="477"/>
        <v>1.4671454080178794</v>
      </c>
      <c r="P499" s="67">
        <f t="shared" si="477"/>
        <v>1.4666558400920771</v>
      </c>
      <c r="Q499" s="67">
        <f t="shared" si="477"/>
        <v>1.466085561497785</v>
      </c>
      <c r="R499" s="67">
        <f t="shared" si="477"/>
        <v>1.4654087520714039</v>
      </c>
      <c r="S499" s="67">
        <f t="shared" si="477"/>
        <v>1.4646214548970187</v>
      </c>
      <c r="T499" s="67">
        <f t="shared" si="477"/>
        <v>1.4637343219242971</v>
      </c>
      <c r="U499" s="67">
        <f t="shared" si="477"/>
        <v>1.4627646596878132</v>
      </c>
      <c r="V499" s="67">
        <f t="shared" si="477"/>
        <v>1.4617307325919411</v>
      </c>
      <c r="W499" s="67">
        <f t="shared" si="477"/>
        <v>1.4606487552440326</v>
      </c>
      <c r="X499" s="67">
        <f t="shared" si="477"/>
        <v>1.4595318327644542</v>
      </c>
      <c r="Y499" s="67">
        <f t="shared" si="477"/>
        <v>1.4583899721007214</v>
      </c>
      <c r="Z499" s="67">
        <f t="shared" si="477"/>
        <v>1.4572305432504591</v>
      </c>
      <c r="AA499" s="67">
        <f t="shared" si="477"/>
        <v>1.4560588474956764</v>
      </c>
      <c r="AB499" s="67">
        <f t="shared" si="477"/>
        <v>1.454878638756272</v>
      </c>
      <c r="AC499" s="67">
        <f t="shared" si="477"/>
        <v>1.4536925473538285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65">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25">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68">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25">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66">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25">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69">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25">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66">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25">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66">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25">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66">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25">
      <c r="A509" s="30" t="str">
        <f t="shared" si="478"/>
        <v>Fuel Cost</v>
      </c>
      <c r="B509" s="66">
        <f>B467*B468*B475/B475/(B472)</f>
        <v>7.4999956937941573E-3</v>
      </c>
      <c r="C509" s="66">
        <f t="shared" ref="C509:AC509" si="486">C467*C468*C475/C475/(C472)</f>
        <v>7.2946252876771424E-3</v>
      </c>
      <c r="D509" s="66">
        <f t="shared" si="486"/>
        <v>7.0867287935643675E-3</v>
      </c>
      <c r="E509" s="66">
        <f t="shared" si="486"/>
        <v>6.8754228567414156E-3</v>
      </c>
      <c r="F509" s="66">
        <f t="shared" si="486"/>
        <v>6.6595825364400641E-3</v>
      </c>
      <c r="G509" s="66">
        <f t="shared" si="486"/>
        <v>6.4378404114789015E-3</v>
      </c>
      <c r="H509" s="66">
        <f t="shared" si="486"/>
        <v>6.2086572553062044E-3</v>
      </c>
      <c r="I509" s="66">
        <f t="shared" si="486"/>
        <v>5.9705265663057084E-3</v>
      </c>
      <c r="J509" s="66">
        <f t="shared" si="486"/>
        <v>5.8582488668293634E-3</v>
      </c>
      <c r="K509" s="66">
        <f t="shared" si="486"/>
        <v>5.7327045083787019E-3</v>
      </c>
      <c r="L509" s="66">
        <f t="shared" si="486"/>
        <v>5.5947186207698698E-3</v>
      </c>
      <c r="M509" s="66">
        <f t="shared" si="486"/>
        <v>5.4476320290995812E-3</v>
      </c>
      <c r="N509" s="66">
        <f t="shared" si="486"/>
        <v>5.2972588558801116E-3</v>
      </c>
      <c r="O509" s="66">
        <f t="shared" si="486"/>
        <v>5.1506944716150352E-3</v>
      </c>
      <c r="P509" s="66">
        <f t="shared" si="486"/>
        <v>5.0143572605810391E-3</v>
      </c>
      <c r="Q509" s="66">
        <f t="shared" si="486"/>
        <v>4.8923214230674333E-3</v>
      </c>
      <c r="R509" s="66">
        <f t="shared" si="486"/>
        <v>4.7857878364607189E-3</v>
      </c>
      <c r="S509" s="66">
        <f t="shared" si="486"/>
        <v>4.6936635198574061E-3</v>
      </c>
      <c r="T509" s="66">
        <f t="shared" si="486"/>
        <v>4.6136085024441496E-3</v>
      </c>
      <c r="U509" s="66">
        <f t="shared" si="486"/>
        <v>4.5429553233290202E-3</v>
      </c>
      <c r="V509" s="66">
        <f t="shared" si="486"/>
        <v>4.479264396107018E-3</v>
      </c>
      <c r="W509" s="66">
        <f t="shared" si="486"/>
        <v>4.4205512436648973E-3</v>
      </c>
      <c r="X509" s="66">
        <f t="shared" si="486"/>
        <v>4.3653120491239364E-3</v>
      </c>
      <c r="Y509" s="66">
        <f t="shared" si="486"/>
        <v>4.3124575626065972E-3</v>
      </c>
      <c r="Z509" s="66">
        <f t="shared" si="486"/>
        <v>4.2612217419111956E-3</v>
      </c>
      <c r="AA509" s="66">
        <f t="shared" si="486"/>
        <v>4.2110762501017E-3</v>
      </c>
      <c r="AB509" s="66">
        <f t="shared" si="486"/>
        <v>4.1616613950061949E-3</v>
      </c>
      <c r="AC509" s="66">
        <f t="shared" si="486"/>
        <v>4.11273441641722E-3</v>
      </c>
    </row>
    <row r="510" spans="1:29" x14ac:dyDescent="0.25">
      <c r="A510" s="59" t="str">
        <f>A473</f>
        <v>Market failure (av. utilization)</v>
      </c>
      <c r="B510" s="66">
        <f t="shared" ref="B510:AC510" si="487">B499/B473-B499/B472</f>
        <v>3.3860297081009468E-2</v>
      </c>
      <c r="C510" s="66">
        <f t="shared" si="487"/>
        <v>3.3749100143879246E-2</v>
      </c>
      <c r="D510" s="66">
        <f t="shared" si="487"/>
        <v>3.3638297707260727E-2</v>
      </c>
      <c r="E510" s="66">
        <f t="shared" si="487"/>
        <v>3.3528115486800486E-2</v>
      </c>
      <c r="F510" s="66">
        <f t="shared" si="487"/>
        <v>3.3418888176158013E-2</v>
      </c>
      <c r="G510" s="66">
        <f t="shared" si="487"/>
        <v>3.3311096842028536E-2</v>
      </c>
      <c r="H510" s="66">
        <f t="shared" si="487"/>
        <v>3.320540351890866E-2</v>
      </c>
      <c r="I510" s="66">
        <f t="shared" si="487"/>
        <v>3.3102663157748735E-2</v>
      </c>
      <c r="J510" s="66">
        <f t="shared" si="487"/>
        <v>3.3080302034648276E-2</v>
      </c>
      <c r="K510" s="66">
        <f t="shared" si="487"/>
        <v>3.306105784461167E-2</v>
      </c>
      <c r="L510" s="66">
        <f t="shared" si="487"/>
        <v>3.3045088722036403E-2</v>
      </c>
      <c r="M510" s="66">
        <f t="shared" si="487"/>
        <v>3.3032062379698766E-2</v>
      </c>
      <c r="N510" s="66">
        <f t="shared" si="487"/>
        <v>3.3021069888734406E-2</v>
      </c>
      <c r="O510" s="66">
        <f t="shared" si="487"/>
        <v>3.3010771680402284E-2</v>
      </c>
      <c r="P510" s="66">
        <f t="shared" si="487"/>
        <v>3.2999756402071735E-2</v>
      </c>
      <c r="Q510" s="66">
        <f t="shared" si="487"/>
        <v>3.2986925133700162E-2</v>
      </c>
      <c r="R510" s="66">
        <f t="shared" si="487"/>
        <v>3.2971696921606584E-2</v>
      </c>
      <c r="S510" s="66">
        <f t="shared" si="487"/>
        <v>3.2953982735182921E-2</v>
      </c>
      <c r="T510" s="66">
        <f t="shared" si="487"/>
        <v>3.2934022243296682E-2</v>
      </c>
      <c r="U510" s="66">
        <f t="shared" si="487"/>
        <v>3.2912204842975801E-2</v>
      </c>
      <c r="V510" s="66">
        <f t="shared" si="487"/>
        <v>3.2888941483318675E-2</v>
      </c>
      <c r="W510" s="66">
        <f t="shared" si="487"/>
        <v>3.2864596992990734E-2</v>
      </c>
      <c r="X510" s="66">
        <f t="shared" si="487"/>
        <v>3.2839466237200222E-2</v>
      </c>
      <c r="Y510" s="66">
        <f t="shared" si="487"/>
        <v>3.2813774372266229E-2</v>
      </c>
      <c r="Z510" s="66">
        <f t="shared" si="487"/>
        <v>3.2787687223135333E-2</v>
      </c>
      <c r="AA510" s="66">
        <f t="shared" si="487"/>
        <v>3.2761324068652717E-2</v>
      </c>
      <c r="AB510" s="66">
        <f t="shared" si="487"/>
        <v>3.2734769372016123E-2</v>
      </c>
      <c r="AC510" s="66">
        <f t="shared" si="487"/>
        <v>3.2708082315461143E-2</v>
      </c>
    </row>
    <row r="511" spans="1:29" x14ac:dyDescent="0.25">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66">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75" thickBot="1" x14ac:dyDescent="0.3">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68">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75" thickBot="1" x14ac:dyDescent="0.3">
      <c r="A513" s="31" t="s">
        <v>210</v>
      </c>
      <c r="B513" s="67">
        <f>B502+B503+B504+B505+B506+B507+B508+B509+B510+B511</f>
        <v>9.2999629994423322E-2</v>
      </c>
      <c r="C513" s="67">
        <f t="shared" ref="C513:D513" si="490">C502+C503+C504+C505+C506+C507+C508+C509+C510+C511</f>
        <v>9.269074961350604E-2</v>
      </c>
      <c r="D513" s="67">
        <f t="shared" si="490"/>
        <v>9.2382965067343475E-2</v>
      </c>
      <c r="E513" s="67">
        <f t="shared" ref="E513:AC513" si="491">E502+E503+E504-E505+E506+E507+E508+E509+E510+E511</f>
        <v>9.3133654130001353E-2</v>
      </c>
      <c r="F513" s="67">
        <f t="shared" si="491"/>
        <v>9.283024493377226E-2</v>
      </c>
      <c r="G513" s="67">
        <f t="shared" si="491"/>
        <v>9.253082456119037E-2</v>
      </c>
      <c r="H513" s="67">
        <f t="shared" si="491"/>
        <v>9.2237231996968497E-2</v>
      </c>
      <c r="I513" s="67">
        <f t="shared" si="491"/>
        <v>9.1951842104857587E-2</v>
      </c>
      <c r="J513" s="67">
        <f t="shared" si="491"/>
        <v>9.1889727874022983E-2</v>
      </c>
      <c r="K513" s="67">
        <f t="shared" si="491"/>
        <v>9.1836271790587981E-2</v>
      </c>
      <c r="L513" s="67">
        <f t="shared" si="491"/>
        <v>9.1791913116767779E-2</v>
      </c>
      <c r="M513" s="67">
        <f t="shared" si="491"/>
        <v>9.175572883249658E-2</v>
      </c>
      <c r="N513" s="67">
        <f t="shared" si="491"/>
        <v>9.1725194135373347E-2</v>
      </c>
      <c r="O513" s="67">
        <f t="shared" si="491"/>
        <v>9.1696588001117463E-2</v>
      </c>
      <c r="P513" s="67">
        <f t="shared" si="491"/>
        <v>9.1665990005754816E-2</v>
      </c>
      <c r="Q513" s="67">
        <f t="shared" si="491"/>
        <v>9.1630347593611564E-2</v>
      </c>
      <c r="R513" s="67">
        <f t="shared" si="491"/>
        <v>9.1588047004462714E-2</v>
      </c>
      <c r="S513" s="67">
        <f t="shared" si="491"/>
        <v>9.1538840931063653E-2</v>
      </c>
      <c r="T513" s="67">
        <f t="shared" si="491"/>
        <v>9.1483395120268568E-2</v>
      </c>
      <c r="U513" s="67">
        <f t="shared" si="491"/>
        <v>9.1422791230488326E-2</v>
      </c>
      <c r="V513" s="67">
        <f t="shared" si="491"/>
        <v>9.1358170786996318E-2</v>
      </c>
      <c r="W513" s="67">
        <f t="shared" si="491"/>
        <v>9.1290547202752037E-2</v>
      </c>
      <c r="X513" s="67">
        <f t="shared" si="491"/>
        <v>9.1220739547778401E-2</v>
      </c>
      <c r="Y513" s="67">
        <f t="shared" si="491"/>
        <v>9.1149373256295074E-2</v>
      </c>
      <c r="Z513" s="67">
        <f t="shared" si="491"/>
        <v>9.1076908953153679E-2</v>
      </c>
      <c r="AA513" s="67">
        <f t="shared" si="491"/>
        <v>9.1003677968479774E-2</v>
      </c>
      <c r="AB513" s="67">
        <f t="shared" si="491"/>
        <v>9.0929914922266999E-2</v>
      </c>
      <c r="AC513" s="67">
        <f t="shared" si="491"/>
        <v>9.0855784209614265E-2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505"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Input'!$L$89</f>
        <v>400000</v>
      </c>
      <c r="C11" s="42">
        <f>'Parameter Input'!$M$89</f>
        <v>145000</v>
      </c>
      <c r="D11" s="1" t="s">
        <v>15</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Input'!$L$90</f>
        <v>-60000</v>
      </c>
      <c r="C12" s="61">
        <f>'Parameter Input'!$M$90</f>
        <v>-36250</v>
      </c>
      <c r="D12" s="1" t="s">
        <v>15</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Input'!$L$96</f>
        <v>0.06</v>
      </c>
      <c r="C15" s="46">
        <f>'Parameter Input'!$M$96</f>
        <v>0.06</v>
      </c>
      <c r="D15" s="1" t="s">
        <v>57</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Input'!$L$92</f>
        <v>15000</v>
      </c>
      <c r="C17" s="44">
        <f>'Parameter Input'!$M$92</f>
        <v>15000</v>
      </c>
      <c r="D17" s="1" t="s">
        <v>38</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Input'!$L$93</f>
        <v>1.52</v>
      </c>
      <c r="C19" s="48">
        <f>'Parameter Input'!$M$93</f>
        <v>1.1499999999999999</v>
      </c>
      <c r="D19" s="1" t="s">
        <v>60</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Input'!$L$94</f>
        <v>0.13371034051801745</v>
      </c>
      <c r="C20" s="46">
        <f>'Parameter Input'!$M$94</f>
        <v>8.7585019329602734E-2</v>
      </c>
      <c r="D20" s="1" t="s">
        <v>68</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Input'!$L$97</f>
        <v>0</v>
      </c>
      <c r="C21" s="116">
        <f>'Parameter Input'!$M$97</f>
        <v>0</v>
      </c>
      <c r="D21" s="1" t="s">
        <v>76</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Input'!$L$91</f>
        <v>8</v>
      </c>
      <c r="C22" s="44">
        <f>'Parameter Input'!$M$91</f>
        <v>8</v>
      </c>
      <c r="D22" s="1" t="s">
        <v>42</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Input'!L95</f>
        <v>0.1</v>
      </c>
      <c r="C26" s="73">
        <f>'Parameter Input'!M95</f>
        <v>0.05</v>
      </c>
      <c r="D26" s="1" t="s">
        <v>57</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'Parameter Input'!J4</f>
        <v>8.0999995899999996E-2</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174">
        <f>$B21+($C21-$B21)*(1-Q21)</f>
        <v>0</v>
      </c>
      <c r="C41" s="174">
        <f t="shared" ref="C41:AC41" si="35">$B21+($C21-$B21)*(1-R21)</f>
        <v>0</v>
      </c>
      <c r="D41" s="174">
        <f t="shared" si="35"/>
        <v>0</v>
      </c>
      <c r="E41" s="174">
        <f t="shared" si="35"/>
        <v>0</v>
      </c>
      <c r="F41" s="174">
        <f t="shared" si="35"/>
        <v>0</v>
      </c>
      <c r="G41" s="174">
        <f t="shared" si="35"/>
        <v>0</v>
      </c>
      <c r="H41" s="174">
        <f t="shared" si="35"/>
        <v>0</v>
      </c>
      <c r="I41" s="174">
        <f t="shared" si="35"/>
        <v>0</v>
      </c>
      <c r="J41" s="174">
        <f t="shared" si="35"/>
        <v>0</v>
      </c>
      <c r="K41" s="174">
        <f t="shared" si="35"/>
        <v>0</v>
      </c>
      <c r="L41" s="174">
        <f t="shared" si="35"/>
        <v>0</v>
      </c>
      <c r="M41" s="174">
        <f t="shared" si="35"/>
        <v>0</v>
      </c>
      <c r="N41" s="174">
        <f t="shared" si="35"/>
        <v>0</v>
      </c>
      <c r="O41" s="174">
        <f t="shared" si="35"/>
        <v>0</v>
      </c>
      <c r="P41" s="174">
        <f t="shared" si="35"/>
        <v>0</v>
      </c>
      <c r="Q41" s="174">
        <f t="shared" si="35"/>
        <v>0</v>
      </c>
      <c r="R41" s="174">
        <f t="shared" si="35"/>
        <v>0</v>
      </c>
      <c r="S41" s="174">
        <f t="shared" si="35"/>
        <v>0</v>
      </c>
      <c r="T41" s="174">
        <f t="shared" si="35"/>
        <v>0</v>
      </c>
      <c r="U41" s="174">
        <f t="shared" si="35"/>
        <v>0</v>
      </c>
      <c r="V41" s="174">
        <f t="shared" si="35"/>
        <v>0</v>
      </c>
      <c r="W41" s="174">
        <f t="shared" si="35"/>
        <v>0</v>
      </c>
      <c r="X41" s="174">
        <f t="shared" si="35"/>
        <v>0</v>
      </c>
      <c r="Y41" s="174">
        <f t="shared" si="35"/>
        <v>0</v>
      </c>
      <c r="Z41" s="174">
        <f t="shared" si="35"/>
        <v>0</v>
      </c>
      <c r="AA41" s="174">
        <f t="shared" si="35"/>
        <v>0</v>
      </c>
      <c r="AB41" s="174">
        <f t="shared" si="35"/>
        <v>0</v>
      </c>
      <c r="AC41" s="174">
        <f t="shared" si="35"/>
        <v>0</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6682.3380008360537</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0</v>
      </c>
      <c r="C58" s="62">
        <f t="shared" ref="C58:AC58" si="51">C41*C47</f>
        <v>0</v>
      </c>
      <c r="D58" s="62">
        <f t="shared" si="51"/>
        <v>0</v>
      </c>
      <c r="E58" s="62">
        <f t="shared" si="51"/>
        <v>0</v>
      </c>
      <c r="F58" s="62">
        <f t="shared" si="51"/>
        <v>0</v>
      </c>
      <c r="G58" s="62">
        <f t="shared" si="51"/>
        <v>0</v>
      </c>
      <c r="H58" s="62">
        <f t="shared" si="51"/>
        <v>0</v>
      </c>
      <c r="I58" s="62">
        <f t="shared" si="51"/>
        <v>0</v>
      </c>
      <c r="J58" s="62">
        <f t="shared" si="51"/>
        <v>0</v>
      </c>
      <c r="K58" s="62">
        <f t="shared" si="51"/>
        <v>0</v>
      </c>
      <c r="L58" s="62">
        <f t="shared" si="51"/>
        <v>0</v>
      </c>
      <c r="M58" s="62">
        <f t="shared" si="51"/>
        <v>0</v>
      </c>
      <c r="N58" s="62">
        <f t="shared" si="51"/>
        <v>0</v>
      </c>
      <c r="O58" s="62">
        <f t="shared" si="51"/>
        <v>0</v>
      </c>
      <c r="P58" s="62">
        <f t="shared" si="51"/>
        <v>0</v>
      </c>
      <c r="Q58" s="62">
        <f t="shared" si="51"/>
        <v>0</v>
      </c>
      <c r="R58" s="62">
        <f t="shared" si="51"/>
        <v>0</v>
      </c>
      <c r="S58" s="62">
        <f t="shared" si="51"/>
        <v>0</v>
      </c>
      <c r="T58" s="62">
        <f t="shared" si="51"/>
        <v>0</v>
      </c>
      <c r="U58" s="62">
        <f t="shared" si="51"/>
        <v>0</v>
      </c>
      <c r="V58" s="62">
        <f t="shared" si="51"/>
        <v>0</v>
      </c>
      <c r="W58" s="62">
        <f t="shared" si="51"/>
        <v>0</v>
      </c>
      <c r="X58" s="62">
        <f t="shared" si="51"/>
        <v>0</v>
      </c>
      <c r="Y58" s="62">
        <f t="shared" si="51"/>
        <v>0</v>
      </c>
      <c r="Z58" s="62">
        <f t="shared" si="51"/>
        <v>0</v>
      </c>
      <c r="AA58" s="62">
        <f t="shared" si="51"/>
        <v>0</v>
      </c>
      <c r="AB58" s="62">
        <f t="shared" si="51"/>
        <v>0</v>
      </c>
      <c r="AC58" s="62">
        <f t="shared" si="51"/>
        <v>0</v>
      </c>
    </row>
    <row r="59" spans="1:29" ht="15.75" thickBot="1" x14ac:dyDescent="0.3">
      <c r="A59" s="31" t="s">
        <v>209</v>
      </c>
      <c r="B59" s="64">
        <f>B50+B51+B52+B53+B54+B55+B56+B57+B58</f>
        <v>154543.99571737755</v>
      </c>
      <c r="C59" s="64">
        <f t="shared" ref="C59:AC59" si="52">C50+C51+C52+C53+C54+C55+C56+C57+C58</f>
        <v>157936.24071074621</v>
      </c>
      <c r="D59" s="64">
        <f t="shared" si="52"/>
        <v>156693.47071247097</v>
      </c>
      <c r="E59" s="64">
        <f t="shared" si="52"/>
        <v>155021.96734462323</v>
      </c>
      <c r="F59" s="64">
        <f t="shared" si="52"/>
        <v>152834.27279136199</v>
      </c>
      <c r="G59" s="64">
        <f t="shared" si="52"/>
        <v>150073.98729526429</v>
      </c>
      <c r="H59" s="64">
        <f t="shared" si="52"/>
        <v>146752.04717123983</v>
      </c>
      <c r="I59" s="64">
        <f t="shared" si="52"/>
        <v>142978.93947999598</v>
      </c>
      <c r="J59" s="64">
        <f t="shared" si="52"/>
        <v>138968.85383049678</v>
      </c>
      <c r="K59" s="64">
        <f t="shared" si="52"/>
        <v>134998.45219377126</v>
      </c>
      <c r="L59" s="64">
        <f t="shared" si="52"/>
        <v>131332.51380985964</v>
      </c>
      <c r="M59" s="64">
        <f t="shared" si="52"/>
        <v>128156.66497196215</v>
      </c>
      <c r="N59" s="64">
        <f t="shared" si="52"/>
        <v>125551.28960443697</v>
      </c>
      <c r="O59" s="64">
        <f t="shared" si="52"/>
        <v>123507.26716919302</v>
      </c>
      <c r="P59" s="64">
        <f t="shared" si="52"/>
        <v>121960.39579677669</v>
      </c>
      <c r="Q59" s="64">
        <f t="shared" si="52"/>
        <v>120823.29828509632</v>
      </c>
      <c r="R59" s="64">
        <f t="shared" si="52"/>
        <v>120006.75138390495</v>
      </c>
      <c r="S59" s="64">
        <f t="shared" si="52"/>
        <v>119431.15406369689</v>
      </c>
      <c r="T59" s="64">
        <f t="shared" si="52"/>
        <v>119031.15825552627</v>
      </c>
      <c r="U59" s="64">
        <f t="shared" si="52"/>
        <v>118756.14314651259</v>
      </c>
      <c r="V59" s="64">
        <f t="shared" si="52"/>
        <v>118568.51937912231</v>
      </c>
      <c r="W59" s="64">
        <f t="shared" si="52"/>
        <v>118441.22046259209</v>
      </c>
      <c r="X59" s="64">
        <f t="shared" si="52"/>
        <v>118355.182635163</v>
      </c>
      <c r="Y59" s="64">
        <f t="shared" si="52"/>
        <v>118297.18622592931</v>
      </c>
      <c r="Z59" s="64">
        <f t="shared" si="52"/>
        <v>118258.16285988144</v>
      </c>
      <c r="AA59" s="64">
        <f t="shared" si="52"/>
        <v>118231.93800478717</v>
      </c>
      <c r="AB59" s="64">
        <f t="shared" si="52"/>
        <v>118214.32881143817</v>
      </c>
      <c r="AC59" s="64">
        <f t="shared" si="52"/>
        <v>118202.51141775603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0.12149705456065552</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0</v>
      </c>
      <c r="C70" s="66">
        <f t="shared" ref="C70:AC70" si="63">C41</f>
        <v>0</v>
      </c>
      <c r="D70" s="66">
        <f t="shared" si="63"/>
        <v>0</v>
      </c>
      <c r="E70" s="66">
        <f t="shared" si="63"/>
        <v>0</v>
      </c>
      <c r="F70" s="66">
        <f t="shared" si="63"/>
        <v>0</v>
      </c>
      <c r="G70" s="66">
        <f t="shared" si="63"/>
        <v>0</v>
      </c>
      <c r="H70" s="66">
        <f t="shared" si="63"/>
        <v>0</v>
      </c>
      <c r="I70" s="66">
        <f t="shared" si="63"/>
        <v>0</v>
      </c>
      <c r="J70" s="66">
        <f t="shared" si="63"/>
        <v>0</v>
      </c>
      <c r="K70" s="66">
        <f t="shared" si="63"/>
        <v>0</v>
      </c>
      <c r="L70" s="66">
        <f t="shared" si="63"/>
        <v>0</v>
      </c>
      <c r="M70" s="66">
        <f t="shared" si="63"/>
        <v>0</v>
      </c>
      <c r="N70" s="66">
        <f t="shared" si="63"/>
        <v>0</v>
      </c>
      <c r="O70" s="66">
        <f t="shared" si="63"/>
        <v>0</v>
      </c>
      <c r="P70" s="66">
        <f t="shared" si="63"/>
        <v>0</v>
      </c>
      <c r="Q70" s="66">
        <f t="shared" si="63"/>
        <v>0</v>
      </c>
      <c r="R70" s="66">
        <f t="shared" si="63"/>
        <v>0</v>
      </c>
      <c r="S70" s="66">
        <f t="shared" si="63"/>
        <v>0</v>
      </c>
      <c r="T70" s="66">
        <f t="shared" si="63"/>
        <v>0</v>
      </c>
      <c r="U70" s="66">
        <f t="shared" si="63"/>
        <v>0</v>
      </c>
      <c r="V70" s="66">
        <f t="shared" si="63"/>
        <v>0</v>
      </c>
      <c r="W70" s="66">
        <f t="shared" si="63"/>
        <v>0</v>
      </c>
      <c r="X70" s="66">
        <f t="shared" si="63"/>
        <v>0</v>
      </c>
      <c r="Y70" s="66">
        <f t="shared" si="63"/>
        <v>0</v>
      </c>
      <c r="Z70" s="66">
        <f t="shared" si="63"/>
        <v>0</v>
      </c>
      <c r="AA70" s="66">
        <f t="shared" si="63"/>
        <v>0</v>
      </c>
      <c r="AB70" s="66">
        <f t="shared" si="63"/>
        <v>0</v>
      </c>
      <c r="AC70" s="66">
        <f t="shared" si="63"/>
        <v>0</v>
      </c>
    </row>
    <row r="71" spans="1:29" ht="15.75" thickBot="1" x14ac:dyDescent="0.3">
      <c r="A71" s="31" t="s">
        <v>63</v>
      </c>
      <c r="B71" s="76">
        <f>B62+B63+B64-B65+B66+B67+B68+B69+B70</f>
        <v>2.8592973614870036</v>
      </c>
      <c r="C71" s="76">
        <f t="shared" ref="C71:AC71" si="64">C62+C63+C64-C65+C66+C67+C68+C69+C70</f>
        <v>2.9209745431846157</v>
      </c>
      <c r="D71" s="76">
        <f t="shared" si="64"/>
        <v>2.8983787250341573</v>
      </c>
      <c r="E71" s="76">
        <f t="shared" si="64"/>
        <v>2.8679877547096533</v>
      </c>
      <c r="F71" s="76">
        <f t="shared" si="64"/>
        <v>2.8282114901049034</v>
      </c>
      <c r="G71" s="76">
        <f t="shared" si="64"/>
        <v>2.7780244810849446</v>
      </c>
      <c r="H71" s="76">
        <f t="shared" si="64"/>
        <v>2.7176255697390452</v>
      </c>
      <c r="I71" s="76">
        <f t="shared" si="64"/>
        <v>2.6490236117164296</v>
      </c>
      <c r="J71" s="76">
        <f t="shared" si="64"/>
        <v>2.5761129635437174</v>
      </c>
      <c r="K71" s="76">
        <f t="shared" si="64"/>
        <v>2.5039238428759805</v>
      </c>
      <c r="L71" s="76">
        <f t="shared" si="64"/>
        <v>2.4372704177139513</v>
      </c>
      <c r="M71" s="76">
        <f t="shared" si="64"/>
        <v>2.3795277115703604</v>
      </c>
      <c r="N71" s="76">
        <f t="shared" si="64"/>
        <v>2.3321572503426298</v>
      </c>
      <c r="O71" s="76">
        <f t="shared" si="64"/>
        <v>2.2949932060654668</v>
      </c>
      <c r="P71" s="76">
        <f t="shared" si="64"/>
        <v>2.2668682720215334</v>
      </c>
      <c r="Q71" s="76">
        <f t="shared" si="64"/>
        <v>2.2461937718091631</v>
      </c>
      <c r="R71" s="76">
        <f t="shared" si="64"/>
        <v>2.2313474645147751</v>
      </c>
      <c r="S71" s="76">
        <f t="shared" si="64"/>
        <v>2.2208820586928102</v>
      </c>
      <c r="T71" s="76">
        <f t="shared" si="64"/>
        <v>2.2136094076351625</v>
      </c>
      <c r="U71" s="76">
        <f t="shared" si="64"/>
        <v>2.2086091329258228</v>
      </c>
      <c r="V71" s="76">
        <f t="shared" si="64"/>
        <v>2.2051977917005452</v>
      </c>
      <c r="W71" s="76">
        <f t="shared" si="64"/>
        <v>2.20288326594545</v>
      </c>
      <c r="X71" s="76">
        <f t="shared" si="64"/>
        <v>2.201318941810376</v>
      </c>
      <c r="Y71" s="76">
        <f t="shared" si="64"/>
        <v>2.2002644616424907</v>
      </c>
      <c r="Z71" s="76">
        <f t="shared" si="64"/>
        <v>2.1995549458961658</v>
      </c>
      <c r="AA71" s="76">
        <f t="shared" si="64"/>
        <v>2.199078130348997</v>
      </c>
      <c r="AB71" s="76">
        <f t="shared" si="64"/>
        <v>2.1987579631971972</v>
      </c>
      <c r="AC71" s="76">
        <f t="shared" si="64"/>
        <v>2.1985431014938857</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4.8598821824262202E-3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8.986363136102013E-2</v>
      </c>
      <c r="C82" s="66">
        <f t="shared" ref="C82:AC82" si="74">C71/C45-C71/C44</f>
        <v>9.1802057071516507E-2</v>
      </c>
      <c r="D82" s="66">
        <f t="shared" si="74"/>
        <v>9.1091902786787818E-2</v>
      </c>
      <c r="E82" s="66">
        <f t="shared" si="74"/>
        <v>9.013675800516055E-2</v>
      </c>
      <c r="F82" s="66">
        <f t="shared" si="74"/>
        <v>8.8886646831868407E-2</v>
      </c>
      <c r="G82" s="66">
        <f t="shared" si="74"/>
        <v>8.7309340834098276E-2</v>
      </c>
      <c r="H82" s="66">
        <f t="shared" si="74"/>
        <v>8.5411089334655729E-2</v>
      </c>
      <c r="I82" s="66">
        <f t="shared" si="74"/>
        <v>8.3255027796802092E-2</v>
      </c>
      <c r="J82" s="66">
        <f t="shared" si="74"/>
        <v>8.0963550282802554E-2</v>
      </c>
      <c r="K82" s="66">
        <f t="shared" si="74"/>
        <v>7.8694749347530846E-2</v>
      </c>
      <c r="L82" s="66">
        <f t="shared" si="74"/>
        <v>7.6599927413867064E-2</v>
      </c>
      <c r="M82" s="66">
        <f t="shared" si="74"/>
        <v>7.4785156649354201E-2</v>
      </c>
      <c r="N82" s="66">
        <f t="shared" si="74"/>
        <v>7.32963707250541E-2</v>
      </c>
      <c r="O82" s="66">
        <f t="shared" si="74"/>
        <v>7.2128357904914675E-2</v>
      </c>
      <c r="P82" s="66">
        <f t="shared" si="74"/>
        <v>7.1244431406391057E-2</v>
      </c>
      <c r="Q82" s="66">
        <f t="shared" si="74"/>
        <v>7.0594661399716582E-2</v>
      </c>
      <c r="R82" s="66">
        <f t="shared" si="74"/>
        <v>7.0128063170464369E-2</v>
      </c>
      <c r="S82" s="66">
        <f t="shared" si="74"/>
        <v>6.9799150416059774E-2</v>
      </c>
      <c r="T82" s="66">
        <f t="shared" si="74"/>
        <v>6.9570581382819421E-2</v>
      </c>
      <c r="U82" s="66">
        <f t="shared" si="74"/>
        <v>6.9413429891954453E-2</v>
      </c>
      <c r="V82" s="66">
        <f t="shared" si="74"/>
        <v>6.9306216310588586E-2</v>
      </c>
      <c r="W82" s="66">
        <f t="shared" si="74"/>
        <v>6.9233474072571313E-2</v>
      </c>
      <c r="X82" s="66">
        <f t="shared" si="74"/>
        <v>6.9184309599754704E-2</v>
      </c>
      <c r="Y82" s="66">
        <f t="shared" si="74"/>
        <v>6.9151168794478302E-2</v>
      </c>
      <c r="Z82" s="66">
        <f t="shared" si="74"/>
        <v>6.9128869728165218E-2</v>
      </c>
      <c r="AA82" s="66">
        <f t="shared" si="74"/>
        <v>6.9113884096682787E-2</v>
      </c>
      <c r="AB82" s="66">
        <f t="shared" si="74"/>
        <v>6.9103821700483362E-2</v>
      </c>
      <c r="AC82" s="66">
        <f t="shared" si="74"/>
        <v>6.9097068904093562E-2</v>
      </c>
    </row>
    <row r="83" spans="1:29" x14ac:dyDescent="0.25">
      <c r="A83" s="59" t="str">
        <f>A46</f>
        <v>Payload loss (fuel)</v>
      </c>
      <c r="B83" s="66">
        <f>B71/(B44-B46)-B71/B44</f>
        <v>1.2614849574781067E-2</v>
      </c>
      <c r="C83" s="66">
        <f t="shared" ref="C83:AC83" si="75">C71/(C44-C46)-C71/C44</f>
        <v>1.2846264488797193E-2</v>
      </c>
      <c r="D83" s="66">
        <f t="shared" si="75"/>
        <v>1.2689596336505557E-2</v>
      </c>
      <c r="E83" s="66">
        <f t="shared" si="75"/>
        <v>1.2476496271334875E-2</v>
      </c>
      <c r="F83" s="66">
        <f t="shared" si="75"/>
        <v>1.2192805885705968E-2</v>
      </c>
      <c r="G83" s="66">
        <f t="shared" si="75"/>
        <v>1.1825643000113878E-2</v>
      </c>
      <c r="H83" s="66">
        <f t="shared" si="75"/>
        <v>1.1366874092895649E-2</v>
      </c>
      <c r="I83" s="66">
        <f t="shared" si="75"/>
        <v>1.0816804290526699E-2</v>
      </c>
      <c r="J83" s="66">
        <f t="shared" si="75"/>
        <v>1.018631985957677E-2</v>
      </c>
      <c r="K83" s="66">
        <f t="shared" si="75"/>
        <v>9.4962397104592783E-3</v>
      </c>
      <c r="L83" s="66">
        <f t="shared" si="75"/>
        <v>8.7746355632289386E-3</v>
      </c>
      <c r="M83" s="66">
        <f t="shared" si="75"/>
        <v>8.054003272115931E-3</v>
      </c>
      <c r="N83" s="66">
        <f t="shared" si="75"/>
        <v>7.3685007348169712E-3</v>
      </c>
      <c r="O83" s="66">
        <f t="shared" si="75"/>
        <v>6.7496322795176505E-3</v>
      </c>
      <c r="P83" s="66">
        <f t="shared" si="75"/>
        <v>6.220372460825907E-3</v>
      </c>
      <c r="Q83" s="66">
        <f t="shared" si="75"/>
        <v>5.7907821069954485E-3</v>
      </c>
      <c r="R83" s="66">
        <f t="shared" si="75"/>
        <v>5.457956153161192E-3</v>
      </c>
      <c r="S83" s="66">
        <f t="shared" si="75"/>
        <v>5.2098755072014641E-3</v>
      </c>
      <c r="T83" s="66">
        <f t="shared" si="75"/>
        <v>5.0304747632369667E-3</v>
      </c>
      <c r="U83" s="66">
        <f t="shared" si="75"/>
        <v>4.9036464164228938E-3</v>
      </c>
      <c r="V83" s="66">
        <f t="shared" si="75"/>
        <v>4.8154432248469631E-3</v>
      </c>
      <c r="W83" s="66">
        <f t="shared" si="75"/>
        <v>4.7548092671868825E-3</v>
      </c>
      <c r="X83" s="66">
        <f t="shared" si="75"/>
        <v>4.7134620293691892E-3</v>
      </c>
      <c r="Y83" s="66">
        <f t="shared" si="75"/>
        <v>4.6854224466839761E-3</v>
      </c>
      <c r="Z83" s="66">
        <f t="shared" si="75"/>
        <v>4.666479091038539E-3</v>
      </c>
      <c r="AA83" s="66">
        <f t="shared" si="75"/>
        <v>4.6537138005330325E-3</v>
      </c>
      <c r="AB83" s="66">
        <f t="shared" si="75"/>
        <v>4.6451265585743112E-3</v>
      </c>
      <c r="AC83" s="66">
        <f t="shared" si="75"/>
        <v>4.6393566245115647E-3</v>
      </c>
    </row>
    <row r="84" spans="1:29" ht="15.75" thickBot="1" x14ac:dyDescent="0.3">
      <c r="A84" s="59" t="str">
        <f>A21</f>
        <v>Emission Cost</v>
      </c>
      <c r="B84" s="66">
        <f>B41*B47/B47/(B44)</f>
        <v>0</v>
      </c>
      <c r="C84" s="68">
        <f t="shared" ref="C84:AC84" si="76">C41*C47/C47/(C44)</f>
        <v>0</v>
      </c>
      <c r="D84" s="68">
        <f t="shared" si="76"/>
        <v>0</v>
      </c>
      <c r="E84" s="68">
        <f t="shared" si="76"/>
        <v>0</v>
      </c>
      <c r="F84" s="68">
        <f t="shared" si="76"/>
        <v>0</v>
      </c>
      <c r="G84" s="68">
        <f t="shared" si="76"/>
        <v>0</v>
      </c>
      <c r="H84" s="68">
        <f t="shared" si="76"/>
        <v>0</v>
      </c>
      <c r="I84" s="68">
        <f t="shared" si="76"/>
        <v>0</v>
      </c>
      <c r="J84" s="68">
        <f t="shared" si="76"/>
        <v>0</v>
      </c>
      <c r="K84" s="68">
        <f t="shared" si="76"/>
        <v>0</v>
      </c>
      <c r="L84" s="68">
        <f t="shared" si="76"/>
        <v>0</v>
      </c>
      <c r="M84" s="68">
        <f t="shared" si="76"/>
        <v>0</v>
      </c>
      <c r="N84" s="68">
        <f t="shared" si="76"/>
        <v>0</v>
      </c>
      <c r="O84" s="68">
        <f t="shared" si="76"/>
        <v>0</v>
      </c>
      <c r="P84" s="68">
        <f t="shared" si="76"/>
        <v>0</v>
      </c>
      <c r="Q84" s="68">
        <f t="shared" si="76"/>
        <v>0</v>
      </c>
      <c r="R84" s="68">
        <f t="shared" si="76"/>
        <v>0</v>
      </c>
      <c r="S84" s="68">
        <f t="shared" si="76"/>
        <v>0</v>
      </c>
      <c r="T84" s="68">
        <f t="shared" si="76"/>
        <v>0</v>
      </c>
      <c r="U84" s="68">
        <f t="shared" si="76"/>
        <v>0</v>
      </c>
      <c r="V84" s="68">
        <f t="shared" si="76"/>
        <v>0</v>
      </c>
      <c r="W84" s="68">
        <f t="shared" si="76"/>
        <v>0</v>
      </c>
      <c r="X84" s="68">
        <f t="shared" si="76"/>
        <v>0</v>
      </c>
      <c r="Y84" s="68">
        <f t="shared" si="76"/>
        <v>0</v>
      </c>
      <c r="Z84" s="68">
        <f t="shared" si="76"/>
        <v>0</v>
      </c>
      <c r="AA84" s="68">
        <f t="shared" si="76"/>
        <v>0</v>
      </c>
      <c r="AB84" s="68">
        <f t="shared" si="76"/>
        <v>0</v>
      </c>
      <c r="AC84" s="68">
        <f t="shared" si="76"/>
        <v>0</v>
      </c>
    </row>
    <row r="85" spans="1:29" ht="15.75" thickBot="1" x14ac:dyDescent="0.3">
      <c r="A85" s="31" t="s">
        <v>210</v>
      </c>
      <c r="B85" s="67">
        <f>B74+B75+B76+B77+B78+B79+B80+B81+B82+B83+B84</f>
        <v>0.21487411418480304</v>
      </c>
      <c r="C85" s="67">
        <f t="shared" ref="C85:AC85" si="77">C74+C75+C76+C77+C78+C79+C80+C81+C82+C83+C84</f>
        <v>0.21951104207722003</v>
      </c>
      <c r="D85" s="67">
        <f t="shared" si="77"/>
        <v>0.21774038691418135</v>
      </c>
      <c r="E85" s="67">
        <f t="shared" si="77"/>
        <v>0.21535650325440328</v>
      </c>
      <c r="F85" s="67">
        <f t="shared" si="77"/>
        <v>0.21223165111129222</v>
      </c>
      <c r="G85" s="67">
        <f t="shared" si="77"/>
        <v>0.20827970186713166</v>
      </c>
      <c r="H85" s="67">
        <f t="shared" si="77"/>
        <v>0.20350672500663491</v>
      </c>
      <c r="I85" s="67">
        <f t="shared" si="77"/>
        <v>0.19805651534550769</v>
      </c>
      <c r="J85" s="67">
        <f t="shared" si="77"/>
        <v>0.19221812747364972</v>
      </c>
      <c r="K85" s="67">
        <f t="shared" si="77"/>
        <v>0.18637168156255102</v>
      </c>
      <c r="L85" s="67">
        <f t="shared" si="77"/>
        <v>0.18088911847517575</v>
      </c>
      <c r="M85" s="67">
        <f t="shared" si="77"/>
        <v>0.17604400717380625</v>
      </c>
      <c r="N85" s="67">
        <f t="shared" si="77"/>
        <v>0.17197490026309797</v>
      </c>
      <c r="O85" s="67">
        <f t="shared" si="77"/>
        <v>0.1687014572165727</v>
      </c>
      <c r="P85" s="67">
        <f t="shared" si="77"/>
        <v>0.16616327353760002</v>
      </c>
      <c r="Q85" s="67">
        <f t="shared" si="77"/>
        <v>0.16425693316860029</v>
      </c>
      <c r="R85" s="67">
        <f t="shared" si="77"/>
        <v>0.16286365669373826</v>
      </c>
      <c r="S85" s="67">
        <f t="shared" si="77"/>
        <v>0.16186804706049535</v>
      </c>
      <c r="T85" s="67">
        <f t="shared" si="77"/>
        <v>0.16116917124098462</v>
      </c>
      <c r="U85" s="67">
        <f t="shared" si="77"/>
        <v>0.16068518041493196</v>
      </c>
      <c r="V85" s="67">
        <f t="shared" si="77"/>
        <v>0.16035330999297903</v>
      </c>
      <c r="W85" s="67">
        <f t="shared" si="77"/>
        <v>0.16012735276709789</v>
      </c>
      <c r="X85" s="67">
        <f t="shared" si="77"/>
        <v>0.15997426809106063</v>
      </c>
      <c r="Y85" s="67">
        <f t="shared" si="77"/>
        <v>0.15987090849638358</v>
      </c>
      <c r="Z85" s="67">
        <f t="shared" si="77"/>
        <v>0.15980128544457209</v>
      </c>
      <c r="AA85" s="67">
        <f t="shared" si="77"/>
        <v>0.15975446190069742</v>
      </c>
      <c r="AB85" s="67">
        <f t="shared" si="77"/>
        <v>0.15972300557646724</v>
      </c>
      <c r="AC85" s="67">
        <f t="shared" si="77"/>
        <v>0.15970188837788224</v>
      </c>
    </row>
    <row r="87" spans="1:29" x14ac:dyDescent="0.25">
      <c r="B87" s="40"/>
    </row>
    <row r="107" spans="1:2" s="3" customFormat="1" ht="21" x14ac:dyDescent="0.35">
      <c r="A107" s="2" t="str">
        <f>'Parameter Input'!A88</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Input'!$L$89</f>
        <v>400000</v>
      </c>
      <c r="C117" s="42">
        <f>'Parameter Input'!$M$89</f>
        <v>145000</v>
      </c>
      <c r="D117" s="1" t="s">
        <v>15</v>
      </c>
      <c r="L117" s="51">
        <f>'Parameter Input'!$O$89</f>
        <v>8</v>
      </c>
      <c r="M117" s="52">
        <v>0</v>
      </c>
      <c r="N117" s="52">
        <v>1</v>
      </c>
      <c r="O117" s="52">
        <f>'Parameter Input'!$P$89</f>
        <v>0.9</v>
      </c>
      <c r="P117" s="53">
        <f>'Parameter Input'!$Q$89</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Input'!$L$90</f>
        <v>-60000</v>
      </c>
      <c r="C118" s="61">
        <f>'Parameter Input'!$M$90</f>
        <v>-36250</v>
      </c>
      <c r="D118" s="1" t="s">
        <v>15</v>
      </c>
      <c r="L118" s="54">
        <f>'Parameter Input'!$O$90</f>
        <v>8</v>
      </c>
      <c r="M118" s="37">
        <v>0</v>
      </c>
      <c r="N118" s="37">
        <v>1</v>
      </c>
      <c r="O118" s="37">
        <f>'Parameter Input'!$P$90</f>
        <v>0.9</v>
      </c>
      <c r="P118" s="55">
        <f>'Parameter Input'!$Q$90</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Input'!$L$96</f>
        <v>0.06</v>
      </c>
      <c r="C121" s="46">
        <f>'Parameter Input'!$M$96</f>
        <v>0.06</v>
      </c>
      <c r="D121" s="1" t="s">
        <v>57</v>
      </c>
      <c r="L121" s="54">
        <f>'Parameter Input'!$O$96</f>
        <v>12</v>
      </c>
      <c r="M121" s="37">
        <v>0</v>
      </c>
      <c r="N121" s="37">
        <v>1</v>
      </c>
      <c r="O121" s="37">
        <f>'Parameter Input'!$P$96</f>
        <v>0.9</v>
      </c>
      <c r="P121" s="55">
        <f>'Parameter Input'!$Q$96</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Input'!$L$92</f>
        <v>15000</v>
      </c>
      <c r="C123" s="44">
        <f>'Parameter Input'!$M$92</f>
        <v>15000</v>
      </c>
      <c r="D123" s="1" t="s">
        <v>38</v>
      </c>
      <c r="L123" s="54">
        <f>'Parameter Input'!$O$92</f>
        <v>8</v>
      </c>
      <c r="M123" s="37">
        <v>0</v>
      </c>
      <c r="N123" s="37">
        <v>1</v>
      </c>
      <c r="O123" s="37">
        <f>'Parameter Input'!$P$92</f>
        <v>0.9</v>
      </c>
      <c r="P123" s="55">
        <f>'Parameter Input'!$Q$92</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Input'!$L$93</f>
        <v>1.52</v>
      </c>
      <c r="C125" s="48">
        <f>'Parameter Input'!$M$93</f>
        <v>1.1499999999999999</v>
      </c>
      <c r="D125" s="1" t="s">
        <v>60</v>
      </c>
      <c r="L125" s="54">
        <f>'Parameter Input'!$O$93</f>
        <v>8</v>
      </c>
      <c r="M125" s="37">
        <v>0</v>
      </c>
      <c r="N125" s="37">
        <v>1</v>
      </c>
      <c r="O125" s="37">
        <f>'Parameter Input'!$P$93</f>
        <v>0.9</v>
      </c>
      <c r="P125" s="55">
        <f>'Parameter Input'!$Q$93</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Input'!$L$94</f>
        <v>0.13371034051801745</v>
      </c>
      <c r="C126" s="46">
        <f>'Parameter Input'!$M$94</f>
        <v>8.7585019329602734E-2</v>
      </c>
      <c r="D126" s="1" t="s">
        <v>68</v>
      </c>
      <c r="L126" s="54">
        <f>'Parameter Input'!$O$94</f>
        <v>12</v>
      </c>
      <c r="M126" s="37">
        <v>0</v>
      </c>
      <c r="N126" s="37">
        <v>1</v>
      </c>
      <c r="O126" s="37">
        <f>'Parameter Input'!$P$94</f>
        <v>0.9</v>
      </c>
      <c r="P126" s="55">
        <f>'Parameter Input'!$Q$94</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Input'!$L$97</f>
        <v>0</v>
      </c>
      <c r="C127" s="116">
        <f>'Parameter Input'!$M$97</f>
        <v>0</v>
      </c>
      <c r="D127" s="1" t="s">
        <v>76</v>
      </c>
      <c r="L127" s="54">
        <f>'Parameter Input'!$O$97</f>
        <v>17</v>
      </c>
      <c r="M127" s="37">
        <v>0</v>
      </c>
      <c r="N127" s="37">
        <v>1</v>
      </c>
      <c r="O127" s="37">
        <f>'Parameter Input'!$P$97</f>
        <v>0.9</v>
      </c>
      <c r="P127" s="55">
        <f>'Parameter Input'!$Q$97</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Input'!$L$91</f>
        <v>8</v>
      </c>
      <c r="C128" s="44">
        <f>'Parameter Input'!$M$91</f>
        <v>8</v>
      </c>
      <c r="D128" s="1" t="s">
        <v>42</v>
      </c>
      <c r="L128" s="54">
        <f>'Parameter Input'!$O$91</f>
        <v>8</v>
      </c>
      <c r="M128" s="37">
        <v>0</v>
      </c>
      <c r="N128" s="37">
        <v>1</v>
      </c>
      <c r="O128" s="37">
        <f>'Parameter Input'!$P$91</f>
        <v>0.9</v>
      </c>
      <c r="P128" s="55">
        <f>'Parameter Input'!$Q$91</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Input'!$L$95</f>
        <v>0.1</v>
      </c>
      <c r="C132" s="73">
        <f>'Parameter Input'!$M$95</f>
        <v>0.05</v>
      </c>
      <c r="D132" s="1" t="s">
        <v>57</v>
      </c>
      <c r="L132" s="54">
        <f>'Parameter Input'!$O$95</f>
        <v>12</v>
      </c>
      <c r="M132" s="37">
        <v>0</v>
      </c>
      <c r="N132" s="37">
        <v>1</v>
      </c>
      <c r="O132" s="37">
        <f>'Parameter Input'!$P$95</f>
        <v>0.9</v>
      </c>
      <c r="P132" s="55">
        <f>'Parameter Input'!$Q$95</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5" si="84">$B117+($C117-$B117)*(1-Q117)</f>
        <v>386191.20724655397</v>
      </c>
      <c r="C137" s="62">
        <f t="shared" ref="C137:C145" si="85">$B117+($C117-$B117)*(1-R117)</f>
        <v>380544.41838286084</v>
      </c>
      <c r="D137" s="62">
        <f t="shared" ref="D137:D145" si="86">$B117+($C117-$B117)*(1-S117)</f>
        <v>372802.88209752907</v>
      </c>
      <c r="E137" s="62">
        <f t="shared" ref="E137:E145" si="87">$B117+($C117-$B117)*(1-T117)</f>
        <v>362399.08687953383</v>
      </c>
      <c r="F137" s="62">
        <f t="shared" ref="F137:F145" si="88">$B117+($C117-$B117)*(1-U117)</f>
        <v>348799.3166641909</v>
      </c>
      <c r="G137" s="62">
        <f t="shared" ref="G137:G145" si="89">$B117+($C117-$B117)*(1-V117)</f>
        <v>331672.70473748312</v>
      </c>
      <c r="H137" s="62">
        <f t="shared" ref="H137:H145" si="90">$B117+($C117-$B117)*(1-W117)</f>
        <v>311121.26204490603</v>
      </c>
      <c r="I137" s="62">
        <f t="shared" ref="I137:I145" si="91">$B117+($C117-$B117)*(1-X117)</f>
        <v>287882.23209616641</v>
      </c>
      <c r="J137" s="62">
        <f t="shared" ref="J137:J145" si="92">$B117+($C117-$B117)*(1-Y117)</f>
        <v>263348.88352662267</v>
      </c>
      <c r="K137" s="62">
        <f t="shared" ref="K137:K145" si="93">$B117+($C117-$B117)*(1-Z117)</f>
        <v>239298.30536858604</v>
      </c>
      <c r="L137" s="62">
        <f t="shared" ref="L137:L145" si="94">$B117+($C117-$B117)*(1-AA117)</f>
        <v>217404.56902493956</v>
      </c>
      <c r="M137" s="62">
        <f t="shared" ref="M137:M145" si="95">$B117+($C117-$B117)*(1-AB117)</f>
        <v>198798.01086085022</v>
      </c>
      <c r="N137" s="62">
        <f t="shared" ref="N137:N145" si="96">$B117+($C117-$B117)*(1-AC117)</f>
        <v>183897.4900171854</v>
      </c>
      <c r="O137" s="62">
        <f t="shared" ref="O137:O145" si="97">$B117+($C117-$B117)*(1-AD117)</f>
        <v>172527.73128116049</v>
      </c>
      <c r="P137" s="62">
        <f t="shared" ref="P137:P145" si="98">$B117+($C117-$B117)*(1-AE117)</f>
        <v>164170.0467542134</v>
      </c>
      <c r="Q137" s="62">
        <f t="shared" ref="Q137:Q145" si="99">$B117+($C117-$B117)*(1-AF117)</f>
        <v>158194.42322526305</v>
      </c>
      <c r="R137" s="62">
        <f t="shared" ref="R137:R145" si="100">$B117+($C117-$B117)*(1-AG117)</f>
        <v>154006.39360946321</v>
      </c>
      <c r="S137" s="62">
        <f t="shared" ref="S137:S145" si="101">$B117+($C117-$B117)*(1-AH117)</f>
        <v>151112.20772852784</v>
      </c>
      <c r="T137" s="62">
        <f t="shared" ref="T137:T145" si="102">$B117+($C117-$B117)*(1-AI117)</f>
        <v>149131.57210738939</v>
      </c>
      <c r="U137" s="62">
        <f t="shared" ref="U137:U145" si="103">$B117+($C117-$B117)*(1-AJ117)</f>
        <v>147785.17134384764</v>
      </c>
      <c r="V137" s="62">
        <f t="shared" ref="V137:V145" si="104">$B117+($C117-$B117)*(1-AK117)</f>
        <v>146874.0769291053</v>
      </c>
      <c r="W137" s="62">
        <f t="shared" ref="W137:W145" si="105">$B117+($C117-$B117)*(1-AL117)</f>
        <v>146259.45168571896</v>
      </c>
      <c r="X137" s="62">
        <f t="shared" ref="X137:X145" si="106">$B117+($C117-$B117)*(1-AM117)</f>
        <v>145845.68902507037</v>
      </c>
      <c r="Y137" s="62">
        <f t="shared" ref="Y137:Y145" si="107">$B117+($C117-$B117)*(1-AN117)</f>
        <v>145567.53723474033</v>
      </c>
      <c r="Z137" s="62">
        <f t="shared" ref="Z137:Z145" si="108">$B117+($C117-$B117)*(1-AO117)</f>
        <v>145380.72644197271</v>
      </c>
      <c r="AA137" s="62">
        <f t="shared" ref="AA137:AA145" si="109">$B117+($C117-$B117)*(1-AP117)</f>
        <v>145255.34122836409</v>
      </c>
      <c r="AB137" s="62">
        <f t="shared" ref="AB137:AB145" si="110">$B117+($C117-$B117)*(1-AQ117)</f>
        <v>145171.22000562795</v>
      </c>
      <c r="AC137" s="62">
        <f t="shared" ref="AC137:AC145"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2">A127</f>
        <v>Emission Cost</v>
      </c>
      <c r="B147" s="66">
        <f>$B127+($C127-$B127)*(1-Q127)</f>
        <v>0</v>
      </c>
      <c r="C147" s="66">
        <f t="shared" ref="C147" si="113">$B127+($C127-$B127)*(1-R127)</f>
        <v>0</v>
      </c>
      <c r="D147" s="66">
        <f t="shared" ref="D147" si="114">$B127+($C127-$B127)*(1-S127)</f>
        <v>0</v>
      </c>
      <c r="E147" s="66">
        <f t="shared" ref="E147" si="115">$B127+($C127-$B127)*(1-T127)</f>
        <v>0</v>
      </c>
      <c r="F147" s="66">
        <f t="shared" ref="F147" si="116">$B127+($C127-$B127)*(1-U127)</f>
        <v>0</v>
      </c>
      <c r="G147" s="66">
        <f t="shared" ref="G147" si="117">$B127+($C127-$B127)*(1-V127)</f>
        <v>0</v>
      </c>
      <c r="H147" s="66">
        <f t="shared" ref="H147" si="118">$B127+($C127-$B127)*(1-W127)</f>
        <v>0</v>
      </c>
      <c r="I147" s="66">
        <f t="shared" ref="I147" si="119">$B127+($C127-$B127)*(1-X127)</f>
        <v>0</v>
      </c>
      <c r="J147" s="66">
        <f t="shared" ref="J147" si="120">$B127+($C127-$B127)*(1-Y127)</f>
        <v>0</v>
      </c>
      <c r="K147" s="66">
        <f t="shared" ref="K147" si="121">$B127+($C127-$B127)*(1-Z127)</f>
        <v>0</v>
      </c>
      <c r="L147" s="66">
        <f t="shared" ref="L147" si="122">$B127+($C127-$B127)*(1-AA127)</f>
        <v>0</v>
      </c>
      <c r="M147" s="66">
        <f t="shared" ref="M147" si="123">$B127+($C127-$B127)*(1-AB127)</f>
        <v>0</v>
      </c>
      <c r="N147" s="66">
        <f t="shared" ref="N147" si="124">$B127+($C127-$B127)*(1-AC127)</f>
        <v>0</v>
      </c>
      <c r="O147" s="66">
        <f t="shared" ref="O147" si="125">$B127+($C127-$B127)*(1-AD127)</f>
        <v>0</v>
      </c>
      <c r="P147" s="66">
        <f t="shared" ref="P147" si="126">$B127+($C127-$B127)*(1-AE127)</f>
        <v>0</v>
      </c>
      <c r="Q147" s="66">
        <f t="shared" ref="Q147" si="127">$B127+($C127-$B127)*(1-AF127)</f>
        <v>0</v>
      </c>
      <c r="R147" s="66">
        <f t="shared" ref="R147" si="128">$B127+($C127-$B127)*(1-AG127)</f>
        <v>0</v>
      </c>
      <c r="S147" s="66">
        <f t="shared" ref="S147" si="129">$B127+($C127-$B127)*(1-AH127)</f>
        <v>0</v>
      </c>
      <c r="T147" s="66">
        <f t="shared" ref="T147" si="130">$B127+($C127-$B127)*(1-AI127)</f>
        <v>0</v>
      </c>
      <c r="U147" s="66">
        <f t="shared" ref="U147" si="131">$B127+($C127-$B127)*(1-AJ127)</f>
        <v>0</v>
      </c>
      <c r="V147" s="66">
        <f t="shared" ref="V147" si="132">$B127+($C127-$B127)*(1-AK127)</f>
        <v>0</v>
      </c>
      <c r="W147" s="66">
        <f t="shared" ref="W147" si="133">$B127+($C127-$B127)*(1-AL127)</f>
        <v>0</v>
      </c>
      <c r="X147" s="66">
        <f t="shared" ref="X147" si="134">$B127+($C127-$B127)*(1-AM127)</f>
        <v>0</v>
      </c>
      <c r="Y147" s="66">
        <f t="shared" ref="Y147" si="135">$B127+($C127-$B127)*(1-AN127)</f>
        <v>0</v>
      </c>
      <c r="Z147" s="66">
        <f t="shared" ref="Z147" si="136">$B127+($C127-$B127)*(1-AO127)</f>
        <v>0</v>
      </c>
      <c r="AA147" s="66">
        <f t="shared" ref="AA147" si="137">$B127+($C127-$B127)*(1-AP127)</f>
        <v>0</v>
      </c>
      <c r="AB147" s="66">
        <f t="shared" ref="AB147" si="138">$B127+($C127-$B127)*(1-AQ127)</f>
        <v>0</v>
      </c>
      <c r="AC147" s="66">
        <f t="shared" ref="AC147" si="139">$B127+($C127-$B127)*(1-AR127)</f>
        <v>0</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13364.676001672107</v>
      </c>
      <c r="C163" s="62">
        <f t="shared" ref="C163:AC163" si="154">C145*C146*C153</f>
        <v>13291.672990281295</v>
      </c>
      <c r="D163" s="62">
        <f t="shared" si="154"/>
        <v>13191.588592712576</v>
      </c>
      <c r="E163" s="62">
        <f t="shared" si="154"/>
        <v>13057.085886990681</v>
      </c>
      <c r="F163" s="62">
        <f t="shared" si="154"/>
        <v>12881.264866600377</v>
      </c>
      <c r="G163" s="62">
        <f t="shared" si="154"/>
        <v>12659.848009028377</v>
      </c>
      <c r="H163" s="62">
        <f t="shared" si="154"/>
        <v>12394.15413571387</v>
      </c>
      <c r="I163" s="62">
        <f t="shared" si="154"/>
        <v>12093.714503736954</v>
      </c>
      <c r="J163" s="62">
        <f t="shared" si="154"/>
        <v>12077.013034295174</v>
      </c>
      <c r="K163" s="62">
        <f t="shared" si="154"/>
        <v>12050.686470518955</v>
      </c>
      <c r="L163" s="62">
        <f t="shared" si="154"/>
        <v>12038.511943088879</v>
      </c>
      <c r="M163" s="62">
        <f t="shared" si="154"/>
        <v>12058.728442260883</v>
      </c>
      <c r="N163" s="62">
        <f t="shared" si="154"/>
        <v>12120.694781735921</v>
      </c>
      <c r="O163" s="62">
        <f t="shared" si="154"/>
        <v>11841.510802399986</v>
      </c>
      <c r="P163" s="62">
        <f t="shared" si="154"/>
        <v>11608.547564833054</v>
      </c>
      <c r="Q163" s="62">
        <f t="shared" si="154"/>
        <v>11411.6325331642</v>
      </c>
      <c r="R163" s="62">
        <f t="shared" si="154"/>
        <v>11241.440268608483</v>
      </c>
      <c r="S163" s="62">
        <f t="shared" si="154"/>
        <v>11090.372798299959</v>
      </c>
      <c r="T163" s="62">
        <f t="shared" si="154"/>
        <v>10952.66509711594</v>
      </c>
      <c r="U163" s="62">
        <f t="shared" si="154"/>
        <v>10824.136792646857</v>
      </c>
      <c r="V163" s="62">
        <f t="shared" si="154"/>
        <v>10701.844943590862</v>
      </c>
      <c r="W163" s="62">
        <f t="shared" si="154"/>
        <v>10583.757849359414</v>
      </c>
      <c r="X163" s="62">
        <f t="shared" si="154"/>
        <v>10468.491024061279</v>
      </c>
      <c r="Y163" s="62">
        <f t="shared" si="154"/>
        <v>10355.109192475404</v>
      </c>
      <c r="Z163" s="62">
        <f t="shared" si="154"/>
        <v>10242.984218507358</v>
      </c>
      <c r="AA163" s="62">
        <f t="shared" si="154"/>
        <v>10131.695900308745</v>
      </c>
      <c r="AB163" s="62">
        <f t="shared" si="154"/>
        <v>10020.963886032248</v>
      </c>
      <c r="AC163" s="62">
        <f t="shared" si="154"/>
        <v>9910.6014696286766</v>
      </c>
    </row>
    <row r="164" spans="1:29" ht="15.75" thickBot="1" x14ac:dyDescent="0.3">
      <c r="A164" s="59" t="str">
        <f>A127</f>
        <v>Emission Cost</v>
      </c>
      <c r="B164" s="62">
        <f>B147*B153</f>
        <v>0</v>
      </c>
      <c r="C164" s="62">
        <f t="shared" ref="C164:AC164" si="155">C147*C153</f>
        <v>0</v>
      </c>
      <c r="D164" s="62">
        <f t="shared" si="155"/>
        <v>0</v>
      </c>
      <c r="E164" s="62">
        <f t="shared" si="155"/>
        <v>0</v>
      </c>
      <c r="F164" s="62">
        <f t="shared" si="155"/>
        <v>0</v>
      </c>
      <c r="G164" s="62">
        <f t="shared" si="155"/>
        <v>0</v>
      </c>
      <c r="H164" s="62">
        <f t="shared" si="155"/>
        <v>0</v>
      </c>
      <c r="I164" s="62">
        <f t="shared" si="155"/>
        <v>0</v>
      </c>
      <c r="J164" s="62">
        <f t="shared" si="155"/>
        <v>0</v>
      </c>
      <c r="K164" s="62">
        <f t="shared" si="155"/>
        <v>0</v>
      </c>
      <c r="L164" s="62">
        <f t="shared" si="155"/>
        <v>0</v>
      </c>
      <c r="M164" s="62">
        <f t="shared" si="155"/>
        <v>0</v>
      </c>
      <c r="N164" s="62">
        <f t="shared" si="155"/>
        <v>0</v>
      </c>
      <c r="O164" s="62">
        <f t="shared" si="155"/>
        <v>0</v>
      </c>
      <c r="P164" s="62">
        <f t="shared" si="155"/>
        <v>0</v>
      </c>
      <c r="Q164" s="62">
        <f t="shared" si="155"/>
        <v>0</v>
      </c>
      <c r="R164" s="62">
        <f t="shared" si="155"/>
        <v>0</v>
      </c>
      <c r="S164" s="62">
        <f t="shared" si="155"/>
        <v>0</v>
      </c>
      <c r="T164" s="62">
        <f t="shared" si="155"/>
        <v>0</v>
      </c>
      <c r="U164" s="62">
        <f t="shared" si="155"/>
        <v>0</v>
      </c>
      <c r="V164" s="62">
        <f t="shared" si="155"/>
        <v>0</v>
      </c>
      <c r="W164" s="62">
        <f t="shared" si="155"/>
        <v>0</v>
      </c>
      <c r="X164" s="62">
        <f t="shared" si="155"/>
        <v>0</v>
      </c>
      <c r="Y164" s="62">
        <f t="shared" si="155"/>
        <v>0</v>
      </c>
      <c r="Z164" s="62">
        <f t="shared" si="155"/>
        <v>0</v>
      </c>
      <c r="AA164" s="62">
        <f t="shared" si="155"/>
        <v>0</v>
      </c>
      <c r="AB164" s="62">
        <f t="shared" si="155"/>
        <v>0</v>
      </c>
      <c r="AC164" s="62">
        <f t="shared" si="155"/>
        <v>0</v>
      </c>
    </row>
    <row r="165" spans="1:29" ht="15.75" thickBot="1" x14ac:dyDescent="0.3">
      <c r="A165" s="31" t="s">
        <v>209</v>
      </c>
      <c r="B165" s="64">
        <f>B156+B157+B158+B159+B160+B161+B162+B163+B164</f>
        <v>169314.35309151936</v>
      </c>
      <c r="C165" s="64">
        <f t="shared" ref="C165:AC165" si="156">C156+C157+C158+C159+C160+C161+C162+C163+C164</f>
        <v>168416.70716833463</v>
      </c>
      <c r="D165" s="64">
        <f t="shared" si="156"/>
        <v>167186.06818864911</v>
      </c>
      <c r="E165" s="64">
        <f t="shared" si="156"/>
        <v>165532.22126989355</v>
      </c>
      <c r="F165" s="64">
        <f t="shared" si="156"/>
        <v>163370.32384735247</v>
      </c>
      <c r="G165" s="64">
        <f t="shared" si="156"/>
        <v>160647.77945175392</v>
      </c>
      <c r="H165" s="64">
        <f t="shared" si="156"/>
        <v>157380.80432768469</v>
      </c>
      <c r="I165" s="64">
        <f t="shared" si="156"/>
        <v>153686.59492906893</v>
      </c>
      <c r="J165" s="64">
        <f t="shared" si="156"/>
        <v>150087.1046412735</v>
      </c>
      <c r="K165" s="64">
        <f t="shared" si="156"/>
        <v>146548.49184167027</v>
      </c>
      <c r="L165" s="64">
        <f t="shared" si="156"/>
        <v>143339.01085843178</v>
      </c>
      <c r="M165" s="64">
        <f t="shared" si="156"/>
        <v>140641.97217536165</v>
      </c>
      <c r="N165" s="64">
        <f t="shared" si="156"/>
        <v>138527.90374669246</v>
      </c>
      <c r="O165" s="64">
        <f t="shared" si="156"/>
        <v>136588.30865994745</v>
      </c>
      <c r="P165" s="64">
        <f t="shared" si="156"/>
        <v>135134.81009327155</v>
      </c>
      <c r="Q165" s="64">
        <f t="shared" si="156"/>
        <v>134065.22995836471</v>
      </c>
      <c r="R165" s="64">
        <f t="shared" si="156"/>
        <v>133283.42833131662</v>
      </c>
      <c r="S165" s="64">
        <f t="shared" si="156"/>
        <v>132709.70119907655</v>
      </c>
      <c r="T165" s="64">
        <f t="shared" si="156"/>
        <v>132282.74642929394</v>
      </c>
      <c r="U165" s="64">
        <f t="shared" si="156"/>
        <v>131957.59312734578</v>
      </c>
      <c r="V165" s="64">
        <f t="shared" si="156"/>
        <v>131702.24733042164</v>
      </c>
      <c r="W165" s="64">
        <f t="shared" si="156"/>
        <v>131494.40190404729</v>
      </c>
      <c r="X165" s="64">
        <f t="shared" si="156"/>
        <v>131318.7102154321</v>
      </c>
      <c r="Y165" s="64">
        <f t="shared" si="156"/>
        <v>131164.70779259776</v>
      </c>
      <c r="Z165" s="64">
        <f t="shared" si="156"/>
        <v>131025.30143803961</v>
      </c>
      <c r="AA165" s="64">
        <f t="shared" si="156"/>
        <v>130895.70217708361</v>
      </c>
      <c r="AB165" s="64">
        <f t="shared" si="156"/>
        <v>130772.68530999337</v>
      </c>
      <c r="AC165" s="64">
        <f t="shared" si="156"/>
        <v>130654.0833148964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0.12149705456065552</v>
      </c>
      <c r="C175" s="66">
        <f t="shared" ref="C175:AC175" si="165">C145*C146*C153/C153</f>
        <v>0.12083339082073905</v>
      </c>
      <c r="D175" s="66">
        <f t="shared" si="165"/>
        <v>0.11992353266102342</v>
      </c>
      <c r="E175" s="66">
        <f t="shared" si="165"/>
        <v>0.11870078079082437</v>
      </c>
      <c r="F175" s="66">
        <f t="shared" si="165"/>
        <v>0.11710240787818524</v>
      </c>
      <c r="G175" s="66">
        <f t="shared" si="165"/>
        <v>0.11508952735480343</v>
      </c>
      <c r="H175" s="66">
        <f t="shared" si="165"/>
        <v>0.11267412850648972</v>
      </c>
      <c r="I175" s="66">
        <f t="shared" si="165"/>
        <v>0.1099428591248814</v>
      </c>
      <c r="J175" s="66">
        <f t="shared" si="165"/>
        <v>0.10979102758450159</v>
      </c>
      <c r="K175" s="66">
        <f t="shared" si="165"/>
        <v>0.10955169518653594</v>
      </c>
      <c r="L175" s="66">
        <f t="shared" si="165"/>
        <v>0.10944101766444435</v>
      </c>
      <c r="M175" s="66">
        <f t="shared" si="165"/>
        <v>0.10962480402055348</v>
      </c>
      <c r="N175" s="66">
        <f t="shared" si="165"/>
        <v>0.11018813437941746</v>
      </c>
      <c r="O175" s="66">
        <f t="shared" si="165"/>
        <v>0.10765009820363623</v>
      </c>
      <c r="P175" s="66">
        <f t="shared" si="165"/>
        <v>0.1055322505893914</v>
      </c>
      <c r="Q175" s="66">
        <f t="shared" si="165"/>
        <v>0.10374211393785636</v>
      </c>
      <c r="R175" s="66">
        <f t="shared" si="165"/>
        <v>0.1021949115328044</v>
      </c>
      <c r="S175" s="66">
        <f t="shared" si="165"/>
        <v>0.10082157089363598</v>
      </c>
      <c r="T175" s="66">
        <f t="shared" si="165"/>
        <v>9.9569682701053999E-2</v>
      </c>
      <c r="U175" s="66">
        <f t="shared" si="165"/>
        <v>9.8401243569516891E-2</v>
      </c>
      <c r="V175" s="66">
        <f t="shared" si="165"/>
        <v>9.7289499487189651E-2</v>
      </c>
      <c r="W175" s="66">
        <f t="shared" si="165"/>
        <v>9.6215980448721941E-2</v>
      </c>
      <c r="X175" s="66">
        <f t="shared" si="165"/>
        <v>9.5168100218738894E-2</v>
      </c>
      <c r="Y175" s="66">
        <f t="shared" si="165"/>
        <v>9.4137356295230942E-2</v>
      </c>
      <c r="Z175" s="66">
        <f t="shared" si="165"/>
        <v>9.3118038350066892E-2</v>
      </c>
      <c r="AA175" s="66">
        <f t="shared" si="165"/>
        <v>9.2106326366443142E-2</v>
      </c>
      <c r="AB175" s="66">
        <f t="shared" si="165"/>
        <v>9.1099671691202255E-2</v>
      </c>
      <c r="AC175" s="66">
        <f t="shared" si="165"/>
        <v>9.0096376996624331E-2</v>
      </c>
    </row>
    <row r="176" spans="1:29" ht="15.75" thickBot="1" x14ac:dyDescent="0.3">
      <c r="A176" s="59" t="str">
        <f t="shared" ref="A176" si="166">A164</f>
        <v>Emission Cost</v>
      </c>
      <c r="B176" s="66">
        <f>B147</f>
        <v>0</v>
      </c>
      <c r="C176" s="66">
        <f t="shared" ref="C176:AC176" si="167">C147</f>
        <v>0</v>
      </c>
      <c r="D176" s="66">
        <f t="shared" si="167"/>
        <v>0</v>
      </c>
      <c r="E176" s="66">
        <f t="shared" si="167"/>
        <v>0</v>
      </c>
      <c r="F176" s="66">
        <f t="shared" si="167"/>
        <v>0</v>
      </c>
      <c r="G176" s="66">
        <f t="shared" si="167"/>
        <v>0</v>
      </c>
      <c r="H176" s="66">
        <f t="shared" si="167"/>
        <v>0</v>
      </c>
      <c r="I176" s="66">
        <f t="shared" si="167"/>
        <v>0</v>
      </c>
      <c r="J176" s="66">
        <f t="shared" si="167"/>
        <v>0</v>
      </c>
      <c r="K176" s="66">
        <f t="shared" si="167"/>
        <v>0</v>
      </c>
      <c r="L176" s="66">
        <f t="shared" si="167"/>
        <v>0</v>
      </c>
      <c r="M176" s="66">
        <f t="shared" si="167"/>
        <v>0</v>
      </c>
      <c r="N176" s="66">
        <f t="shared" si="167"/>
        <v>0</v>
      </c>
      <c r="O176" s="66">
        <f t="shared" si="167"/>
        <v>0</v>
      </c>
      <c r="P176" s="66">
        <f t="shared" si="167"/>
        <v>0</v>
      </c>
      <c r="Q176" s="66">
        <f t="shared" si="167"/>
        <v>0</v>
      </c>
      <c r="R176" s="66">
        <f t="shared" si="167"/>
        <v>0</v>
      </c>
      <c r="S176" s="66">
        <f t="shared" si="167"/>
        <v>0</v>
      </c>
      <c r="T176" s="66">
        <f t="shared" si="167"/>
        <v>0</v>
      </c>
      <c r="U176" s="66">
        <f t="shared" si="167"/>
        <v>0</v>
      </c>
      <c r="V176" s="66">
        <f t="shared" si="167"/>
        <v>0</v>
      </c>
      <c r="W176" s="66">
        <f t="shared" si="167"/>
        <v>0</v>
      </c>
      <c r="X176" s="66">
        <f t="shared" si="167"/>
        <v>0</v>
      </c>
      <c r="Y176" s="66">
        <f t="shared" si="167"/>
        <v>0</v>
      </c>
      <c r="Z176" s="66">
        <f t="shared" si="167"/>
        <v>0</v>
      </c>
      <c r="AA176" s="66">
        <f t="shared" si="167"/>
        <v>0</v>
      </c>
      <c r="AB176" s="66">
        <f t="shared" si="167"/>
        <v>0</v>
      </c>
      <c r="AC176" s="66">
        <f t="shared" si="167"/>
        <v>0</v>
      </c>
    </row>
    <row r="177" spans="1:29" ht="15.75" thickBot="1" x14ac:dyDescent="0.3">
      <c r="A177" s="31" t="s">
        <v>63</v>
      </c>
      <c r="B177" s="76">
        <f>B168+B169+B170-B171+B172+B173+B174+B175+B176</f>
        <v>1.576276289437553</v>
      </c>
      <c r="C177" s="76">
        <f t="shared" ref="C177:AC177" si="168">C168+C169+C170-C171+C172+C173+C174+C175+C176</f>
        <v>1.5681158719540556</v>
      </c>
      <c r="D177" s="76">
        <f t="shared" si="168"/>
        <v>1.5569282448660058</v>
      </c>
      <c r="E177" s="76">
        <f t="shared" si="168"/>
        <v>1.5418932728773187</v>
      </c>
      <c r="F177" s="76">
        <f t="shared" si="168"/>
        <v>1.5222396599451273</v>
      </c>
      <c r="G177" s="76">
        <f t="shared" si="168"/>
        <v>1.4974892563487763</v>
      </c>
      <c r="H177" s="76">
        <f t="shared" si="168"/>
        <v>1.4677894824936022</v>
      </c>
      <c r="I177" s="76">
        <f t="shared" si="168"/>
        <v>1.4342057606880041</v>
      </c>
      <c r="J177" s="76">
        <f t="shared" si="168"/>
        <v>1.4014831217080452</v>
      </c>
      <c r="K177" s="76">
        <f t="shared" si="168"/>
        <v>1.369313914438925</v>
      </c>
      <c r="L177" s="76">
        <f t="shared" si="168"/>
        <v>1.3401368145913026</v>
      </c>
      <c r="M177" s="76">
        <f t="shared" si="168"/>
        <v>1.3156182811088468</v>
      </c>
      <c r="N177" s="76">
        <f t="shared" si="168"/>
        <v>1.2963994772118546</v>
      </c>
      <c r="O177" s="76">
        <f t="shared" si="168"/>
        <v>1.2787667946050818</v>
      </c>
      <c r="P177" s="76">
        <f t="shared" si="168"/>
        <v>1.2655531712716641</v>
      </c>
      <c r="Q177" s="76">
        <f t="shared" si="168"/>
        <v>1.2558297154997837</v>
      </c>
      <c r="R177" s="76">
        <f t="shared" si="168"/>
        <v>1.2487224279811651</v>
      </c>
      <c r="S177" s="76">
        <f t="shared" si="168"/>
        <v>1.2435067267789823</v>
      </c>
      <c r="T177" s="76">
        <f t="shared" si="168"/>
        <v>1.2396253197809588</v>
      </c>
      <c r="U177" s="76">
        <f t="shared" si="168"/>
        <v>1.2366693806723392</v>
      </c>
      <c r="V177" s="76">
        <f t="shared" si="168"/>
        <v>1.2343480552457557</v>
      </c>
      <c r="W177" s="76">
        <f t="shared" si="168"/>
        <v>1.2324585513696253</v>
      </c>
      <c r="X177" s="76">
        <f t="shared" si="168"/>
        <v>1.2308613542003966</v>
      </c>
      <c r="Y177" s="76">
        <f t="shared" si="168"/>
        <v>1.2294613321746299</v>
      </c>
      <c r="Z177" s="76">
        <f t="shared" si="168"/>
        <v>1.2281940016786468</v>
      </c>
      <c r="AA177" s="76">
        <f t="shared" si="168"/>
        <v>1.2270158265790467</v>
      </c>
      <c r="AB177" s="76">
        <f t="shared" si="168"/>
        <v>1.2258974914236807</v>
      </c>
      <c r="AC177" s="76">
        <f t="shared" si="168"/>
        <v>1.2248192914682541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4.8598821824262202E-3</v>
      </c>
      <c r="C187" s="66">
        <f t="shared" ref="C187:AC187" si="177">C145*C146*C153/C153/(C150)</f>
        <v>4.8333356328295616E-3</v>
      </c>
      <c r="D187" s="66">
        <f t="shared" si="177"/>
        <v>4.7969413064409367E-3</v>
      </c>
      <c r="E187" s="66">
        <f t="shared" si="177"/>
        <v>4.7480312316329747E-3</v>
      </c>
      <c r="F187" s="66">
        <f t="shared" si="177"/>
        <v>4.6840963151274098E-3</v>
      </c>
      <c r="G187" s="66">
        <f t="shared" si="177"/>
        <v>4.6035810941921374E-3</v>
      </c>
      <c r="H187" s="66">
        <f t="shared" si="177"/>
        <v>4.5069651402595886E-3</v>
      </c>
      <c r="I187" s="66">
        <f t="shared" si="177"/>
        <v>4.3977143649952559E-3</v>
      </c>
      <c r="J187" s="66">
        <f t="shared" si="177"/>
        <v>4.3916411033800631E-3</v>
      </c>
      <c r="K187" s="66">
        <f t="shared" si="177"/>
        <v>4.3820678074614379E-3</v>
      </c>
      <c r="L187" s="66">
        <f t="shared" si="177"/>
        <v>4.3776407065777741E-3</v>
      </c>
      <c r="M187" s="66">
        <f t="shared" si="177"/>
        <v>4.3849921608221393E-3</v>
      </c>
      <c r="N187" s="66">
        <f t="shared" si="177"/>
        <v>4.4075253751766985E-3</v>
      </c>
      <c r="O187" s="66">
        <f t="shared" si="177"/>
        <v>4.3060039281454495E-3</v>
      </c>
      <c r="P187" s="66">
        <f t="shared" si="177"/>
        <v>4.2212900235756561E-3</v>
      </c>
      <c r="Q187" s="66">
        <f t="shared" si="177"/>
        <v>4.1496845575142542E-3</v>
      </c>
      <c r="R187" s="66">
        <f t="shared" si="177"/>
        <v>4.0877964613121763E-3</v>
      </c>
      <c r="S187" s="66">
        <f t="shared" si="177"/>
        <v>4.0328628357454398E-3</v>
      </c>
      <c r="T187" s="66">
        <f t="shared" si="177"/>
        <v>3.9827873080421601E-3</v>
      </c>
      <c r="U187" s="66">
        <f t="shared" si="177"/>
        <v>3.936049742780676E-3</v>
      </c>
      <c r="V187" s="66">
        <f t="shared" si="177"/>
        <v>3.8915799794875861E-3</v>
      </c>
      <c r="W187" s="66">
        <f t="shared" si="177"/>
        <v>3.8486392179488777E-3</v>
      </c>
      <c r="X187" s="66">
        <f t="shared" si="177"/>
        <v>3.8067240087495558E-3</v>
      </c>
      <c r="Y187" s="66">
        <f t="shared" si="177"/>
        <v>3.7654942518092378E-3</v>
      </c>
      <c r="Z187" s="66">
        <f t="shared" si="177"/>
        <v>3.7247215340026757E-3</v>
      </c>
      <c r="AA187" s="66">
        <f t="shared" si="177"/>
        <v>3.6842530546577256E-3</v>
      </c>
      <c r="AB187" s="66">
        <f t="shared" si="177"/>
        <v>3.6439868676480902E-3</v>
      </c>
      <c r="AC187" s="66">
        <f t="shared" si="177"/>
        <v>3.6038550798649731E-3</v>
      </c>
    </row>
    <row r="188" spans="1:29" x14ac:dyDescent="0.25">
      <c r="A188" s="59" t="str">
        <f>A151</f>
        <v>Market failure (av. utilization)</v>
      </c>
      <c r="B188" s="66">
        <f t="shared" ref="B188:AC188" si="178">B177/B151-B177/B150</f>
        <v>3.5466216512344939E-2</v>
      </c>
      <c r="C188" s="66">
        <f t="shared" si="178"/>
        <v>3.5282607118966247E-2</v>
      </c>
      <c r="D188" s="66">
        <f t="shared" si="178"/>
        <v>3.5030885509485132E-2</v>
      </c>
      <c r="E188" s="66">
        <f t="shared" si="178"/>
        <v>3.4692598639739669E-2</v>
      </c>
      <c r="F188" s="66">
        <f t="shared" si="178"/>
        <v>3.4250392348765368E-2</v>
      </c>
      <c r="G188" s="66">
        <f t="shared" si="178"/>
        <v>3.3693508267847463E-2</v>
      </c>
      <c r="H188" s="66">
        <f t="shared" si="178"/>
        <v>3.3025263356106047E-2</v>
      </c>
      <c r="I188" s="66">
        <f t="shared" si="178"/>
        <v>3.2269629615480092E-2</v>
      </c>
      <c r="J188" s="66">
        <f t="shared" si="178"/>
        <v>3.1533370238431016E-2</v>
      </c>
      <c r="K188" s="66">
        <f t="shared" si="178"/>
        <v>3.0809563074875812E-2</v>
      </c>
      <c r="L188" s="66">
        <f t="shared" si="178"/>
        <v>3.0153078328304307E-2</v>
      </c>
      <c r="M188" s="66">
        <f t="shared" si="178"/>
        <v>2.9601411324949055E-2</v>
      </c>
      <c r="N188" s="66">
        <f t="shared" si="178"/>
        <v>2.9168988237266727E-2</v>
      </c>
      <c r="O188" s="66">
        <f t="shared" si="178"/>
        <v>2.8772252878614339E-2</v>
      </c>
      <c r="P188" s="66">
        <f t="shared" si="178"/>
        <v>2.8474946353612446E-2</v>
      </c>
      <c r="Q188" s="66">
        <f t="shared" si="178"/>
        <v>2.8256168598745135E-2</v>
      </c>
      <c r="R188" s="66">
        <f t="shared" si="178"/>
        <v>2.8096254629576212E-2</v>
      </c>
      <c r="S188" s="66">
        <f t="shared" si="178"/>
        <v>2.7978901352527105E-2</v>
      </c>
      <c r="T188" s="66">
        <f t="shared" si="178"/>
        <v>2.7891569695071575E-2</v>
      </c>
      <c r="U188" s="66">
        <f t="shared" si="178"/>
        <v>2.7825061065127631E-2</v>
      </c>
      <c r="V188" s="66">
        <f t="shared" si="178"/>
        <v>2.7772831243029504E-2</v>
      </c>
      <c r="W188" s="66">
        <f t="shared" si="178"/>
        <v>2.7730317405816572E-2</v>
      </c>
      <c r="X188" s="66">
        <f t="shared" si="178"/>
        <v>2.7694380469508922E-2</v>
      </c>
      <c r="Y188" s="66">
        <f t="shared" si="178"/>
        <v>2.7662879973929175E-2</v>
      </c>
      <c r="Z188" s="66">
        <f t="shared" si="178"/>
        <v>2.7634365037769552E-2</v>
      </c>
      <c r="AA188" s="66">
        <f t="shared" si="178"/>
        <v>2.7607856098028551E-2</v>
      </c>
      <c r="AB188" s="66">
        <f t="shared" si="178"/>
        <v>2.7582693557032814E-2</v>
      </c>
      <c r="AC188" s="66">
        <f t="shared" si="178"/>
        <v>2.7558434058035715E-2</v>
      </c>
    </row>
    <row r="189" spans="1:29" x14ac:dyDescent="0.25">
      <c r="A189" s="59" t="str">
        <f>A152</f>
        <v>Payload loss (fuel)</v>
      </c>
      <c r="B189" s="66">
        <f>B177/(B150-B152)-B177/B150</f>
        <v>6.9543268032841721E-3</v>
      </c>
      <c r="C189" s="66">
        <f t="shared" ref="C189:AC189" si="179">C177/(C150-C152)-C177/C150</f>
        <v>6.8964761391723806E-3</v>
      </c>
      <c r="D189" s="66">
        <f t="shared" si="179"/>
        <v>6.8164973685489877E-3</v>
      </c>
      <c r="E189" s="66">
        <f t="shared" si="179"/>
        <v>6.7076387053116165E-3</v>
      </c>
      <c r="F189" s="66">
        <f t="shared" si="179"/>
        <v>6.5625830140961516E-3</v>
      </c>
      <c r="G189" s="66">
        <f t="shared" si="179"/>
        <v>6.3745922552743417E-3</v>
      </c>
      <c r="H189" s="66">
        <f t="shared" si="179"/>
        <v>6.1392483306606793E-3</v>
      </c>
      <c r="I189" s="66">
        <f t="shared" si="179"/>
        <v>5.856317383164486E-3</v>
      </c>
      <c r="J189" s="66">
        <f t="shared" si="179"/>
        <v>5.541665120103359E-3</v>
      </c>
      <c r="K189" s="66">
        <f t="shared" si="179"/>
        <v>5.1931823754846618E-3</v>
      </c>
      <c r="L189" s="66">
        <f t="shared" si="179"/>
        <v>4.8247465966188563E-3</v>
      </c>
      <c r="M189" s="66">
        <f t="shared" si="179"/>
        <v>4.4529819465365245E-3</v>
      </c>
      <c r="N189" s="66">
        <f t="shared" si="179"/>
        <v>4.096001887972385E-3</v>
      </c>
      <c r="O189" s="66">
        <f t="shared" si="179"/>
        <v>3.7608850483871817E-3</v>
      </c>
      <c r="P189" s="66">
        <f t="shared" si="179"/>
        <v>3.472725870951876E-3</v>
      </c>
      <c r="Q189" s="66">
        <f t="shared" si="179"/>
        <v>3.2375818761584546E-3</v>
      </c>
      <c r="R189" s="66">
        <f t="shared" si="179"/>
        <v>3.0544199716883852E-3</v>
      </c>
      <c r="S189" s="66">
        <f t="shared" si="179"/>
        <v>2.9170910780824053E-3</v>
      </c>
      <c r="T189" s="66">
        <f t="shared" si="179"/>
        <v>2.81707507454515E-3</v>
      </c>
      <c r="U189" s="66">
        <f t="shared" si="179"/>
        <v>2.7457051075399572E-3</v>
      </c>
      <c r="V189" s="66">
        <f t="shared" si="179"/>
        <v>2.6954194322644023E-3</v>
      </c>
      <c r="W189" s="66">
        <f t="shared" si="179"/>
        <v>2.6601978561768824E-3</v>
      </c>
      <c r="X189" s="66">
        <f t="shared" si="179"/>
        <v>2.6355191636475081E-3</v>
      </c>
      <c r="Y189" s="66">
        <f t="shared" si="179"/>
        <v>2.618115150939973E-3</v>
      </c>
      <c r="Z189" s="66">
        <f t="shared" si="179"/>
        <v>2.6056824082824753E-3</v>
      </c>
      <c r="AA189" s="66">
        <f t="shared" si="179"/>
        <v>2.5966246523115299E-3</v>
      </c>
      <c r="AB189" s="66">
        <f t="shared" si="179"/>
        <v>2.589848037308079E-3</v>
      </c>
      <c r="AC189" s="66">
        <f t="shared" si="179"/>
        <v>2.5846086391673115E-3</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0.10398939898527251</v>
      </c>
      <c r="C191" s="67">
        <f t="shared" ref="C191:AC191" si="181">C180+C181+C182+C183+C184+C185+C186+C187+C188+C189+C190</f>
        <v>0.10342152222844211</v>
      </c>
      <c r="D191" s="67">
        <f t="shared" si="181"/>
        <v>0.10264231676481562</v>
      </c>
      <c r="E191" s="67">
        <f t="shared" si="181"/>
        <v>0.1015937723522853</v>
      </c>
      <c r="F191" s="67">
        <f t="shared" si="181"/>
        <v>0.10022036585280789</v>
      </c>
      <c r="G191" s="67">
        <f t="shared" si="181"/>
        <v>9.8485474869214135E-2</v>
      </c>
      <c r="H191" s="67">
        <f t="shared" si="181"/>
        <v>9.6393895078652064E-2</v>
      </c>
      <c r="I191" s="67">
        <f t="shared" si="181"/>
        <v>9.401198151830599E-2</v>
      </c>
      <c r="J191" s="67">
        <f t="shared" si="181"/>
        <v>9.1652164318997462E-2</v>
      </c>
      <c r="K191" s="67">
        <f t="shared" si="181"/>
        <v>8.9293106120058752E-2</v>
      </c>
      <c r="L191" s="67">
        <f t="shared" si="181"/>
        <v>8.7101101600716546E-2</v>
      </c>
      <c r="M191" s="67">
        <f t="shared" si="181"/>
        <v>8.5196928607980713E-2</v>
      </c>
      <c r="N191" s="67">
        <f t="shared" si="181"/>
        <v>8.3638773305854563E-2</v>
      </c>
      <c r="O191" s="67">
        <f t="shared" si="181"/>
        <v>8.2201613803346063E-2</v>
      </c>
      <c r="P191" s="67">
        <f t="shared" si="181"/>
        <v>8.1087603167572159E-2</v>
      </c>
      <c r="Q191" s="67">
        <f t="shared" si="181"/>
        <v>8.0244743187036213E-2</v>
      </c>
      <c r="R191" s="67">
        <f t="shared" si="181"/>
        <v>7.9617375812652463E-2</v>
      </c>
      <c r="S191" s="67">
        <f t="shared" si="181"/>
        <v>7.9154065593910083E-2</v>
      </c>
      <c r="T191" s="67">
        <f t="shared" si="181"/>
        <v>7.8811461652996351E-2</v>
      </c>
      <c r="U191" s="67">
        <f t="shared" si="181"/>
        <v>7.8555345491702427E-2</v>
      </c>
      <c r="V191" s="67">
        <f t="shared" si="181"/>
        <v>7.8359976977265405E-2</v>
      </c>
      <c r="W191" s="67">
        <f t="shared" si="181"/>
        <v>7.8206661408919742E-2</v>
      </c>
      <c r="X191" s="67">
        <f t="shared" si="181"/>
        <v>7.8082157893313575E-2</v>
      </c>
      <c r="Y191" s="67">
        <f t="shared" si="181"/>
        <v>7.797725250399562E-2</v>
      </c>
      <c r="Z191" s="67">
        <f t="shared" si="181"/>
        <v>7.7885611605339161E-2</v>
      </c>
      <c r="AA191" s="67">
        <f t="shared" si="181"/>
        <v>7.7802917905643226E-2</v>
      </c>
      <c r="AB191" s="67">
        <f t="shared" si="181"/>
        <v>7.7726245343429395E-2</v>
      </c>
      <c r="AC191" s="67">
        <f t="shared" si="181"/>
        <v>7.7653618448074446E-2</v>
      </c>
    </row>
    <row r="193" spans="2:2" x14ac:dyDescent="0.25">
      <c r="B193" s="40"/>
    </row>
    <row r="215" spans="1:44" s="3" customFormat="1" ht="21" x14ac:dyDescent="0.35">
      <c r="A215" s="2" t="str">
        <f>'Parameter Input'!A101</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Input'!$L$89</f>
        <v>400000</v>
      </c>
      <c r="C225" s="42">
        <f>'Parameter Input'!$M$89</f>
        <v>145000</v>
      </c>
      <c r="D225" s="1" t="s">
        <v>15</v>
      </c>
      <c r="L225" s="51">
        <f>'Parameter Input'!$O$89</f>
        <v>8</v>
      </c>
      <c r="M225" s="52">
        <v>0</v>
      </c>
      <c r="N225" s="52">
        <v>1</v>
      </c>
      <c r="O225" s="52">
        <f>'Parameter Input'!$P$89</f>
        <v>0.9</v>
      </c>
      <c r="P225" s="53">
        <f>'Parameter Input'!$Q$89</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Input'!$L$90</f>
        <v>-60000</v>
      </c>
      <c r="C226" s="61">
        <f>'Parameter Input'!$M$90</f>
        <v>-36250</v>
      </c>
      <c r="D226" s="1" t="s">
        <v>15</v>
      </c>
      <c r="L226" s="54">
        <f>'Parameter Input'!$O$90</f>
        <v>8</v>
      </c>
      <c r="M226" s="37">
        <v>0</v>
      </c>
      <c r="N226" s="37">
        <v>1</v>
      </c>
      <c r="O226" s="37">
        <f>'Parameter Input'!$P$90</f>
        <v>0.9</v>
      </c>
      <c r="P226" s="55">
        <f>'Parameter Input'!$Q$90</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Input'!$L$96</f>
        <v>0.06</v>
      </c>
      <c r="C229" s="46">
        <f>'Parameter Input'!$M$96</f>
        <v>0.06</v>
      </c>
      <c r="D229" s="1" t="s">
        <v>57</v>
      </c>
      <c r="L229" s="54">
        <f>'Parameter Input'!$O$96</f>
        <v>12</v>
      </c>
      <c r="M229" s="37">
        <v>0</v>
      </c>
      <c r="N229" s="37">
        <v>1</v>
      </c>
      <c r="O229" s="37">
        <f>'Parameter Input'!$P$96</f>
        <v>0.9</v>
      </c>
      <c r="P229" s="55">
        <f>'Parameter Input'!$Q$96</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Input'!$L$92</f>
        <v>15000</v>
      </c>
      <c r="C231" s="44">
        <f>'Parameter Input'!$M$92</f>
        <v>15000</v>
      </c>
      <c r="D231" s="1" t="s">
        <v>38</v>
      </c>
      <c r="L231" s="54">
        <f>'Parameter Input'!$O$92</f>
        <v>8</v>
      </c>
      <c r="M231" s="37">
        <v>0</v>
      </c>
      <c r="N231" s="37">
        <v>1</v>
      </c>
      <c r="O231" s="37">
        <f>'Parameter Input'!$P$92</f>
        <v>0.9</v>
      </c>
      <c r="P231" s="55">
        <f>'Parameter Input'!$Q$92</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Input'!$L$93</f>
        <v>1.52</v>
      </c>
      <c r="C233" s="48">
        <f>'Parameter Input'!$M$93</f>
        <v>1.1499999999999999</v>
      </c>
      <c r="D233" s="1" t="s">
        <v>60</v>
      </c>
      <c r="L233" s="54">
        <f>'Parameter Input'!$O$93</f>
        <v>8</v>
      </c>
      <c r="M233" s="37">
        <v>0</v>
      </c>
      <c r="N233" s="37">
        <v>1</v>
      </c>
      <c r="O233" s="37">
        <f>'Parameter Input'!$P$93</f>
        <v>0.9</v>
      </c>
      <c r="P233" s="55">
        <f>'Parameter Input'!$Q$93</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Input'!$L$94</f>
        <v>0.13371034051801745</v>
      </c>
      <c r="C234" s="46">
        <f>'Parameter Input'!$M$94</f>
        <v>8.7585019329602734E-2</v>
      </c>
      <c r="D234" s="1" t="s">
        <v>68</v>
      </c>
      <c r="L234" s="54">
        <f>'Parameter Input'!$O$94</f>
        <v>12</v>
      </c>
      <c r="M234" s="37">
        <v>0</v>
      </c>
      <c r="N234" s="37">
        <v>1</v>
      </c>
      <c r="O234" s="37">
        <f>'Parameter Input'!$P$94</f>
        <v>0.9</v>
      </c>
      <c r="P234" s="55">
        <f>'Parameter Input'!$Q$94</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Input'!$L$97</f>
        <v>0</v>
      </c>
      <c r="C235" s="116">
        <f>'Parameter Input'!$M$97</f>
        <v>0</v>
      </c>
      <c r="D235" s="1" t="s">
        <v>76</v>
      </c>
      <c r="L235" s="54">
        <f>'Parameter Input'!$O$97</f>
        <v>17</v>
      </c>
      <c r="M235" s="37">
        <v>0</v>
      </c>
      <c r="N235" s="37">
        <v>1</v>
      </c>
      <c r="O235" s="37">
        <f>'Parameter Input'!$P$97</f>
        <v>0.9</v>
      </c>
      <c r="P235" s="55">
        <f>'Parameter Input'!$Q$97</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Input'!$L$91</f>
        <v>8</v>
      </c>
      <c r="C236" s="44">
        <f>'Parameter Input'!$M$91</f>
        <v>8</v>
      </c>
      <c r="D236" s="1" t="s">
        <v>42</v>
      </c>
      <c r="L236" s="54">
        <f>'Parameter Input'!$O$91</f>
        <v>8</v>
      </c>
      <c r="M236" s="37">
        <v>0</v>
      </c>
      <c r="N236" s="37">
        <v>1</v>
      </c>
      <c r="O236" s="37">
        <f>'Parameter Input'!$P$91</f>
        <v>0.9</v>
      </c>
      <c r="P236" s="55">
        <f>'Parameter Input'!$Q$91</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Input'!$L$95</f>
        <v>0.1</v>
      </c>
      <c r="C240" s="73">
        <f>'Parameter Input'!$M$95</f>
        <v>0.05</v>
      </c>
      <c r="D240" s="1" t="s">
        <v>57</v>
      </c>
      <c r="L240" s="54">
        <f>'Parameter Input'!$O$95</f>
        <v>12</v>
      </c>
      <c r="M240" s="37">
        <v>0</v>
      </c>
      <c r="N240" s="37">
        <v>1</v>
      </c>
      <c r="O240" s="37">
        <f>'Parameter Input'!$P$95</f>
        <v>0.9</v>
      </c>
      <c r="P240" s="55">
        <f>'Parameter Input'!$Q$95</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216">A235</f>
        <v>Emission Cost</v>
      </c>
      <c r="B255" s="66">
        <f>$B235+($C235-$B235)*(1-Q235)</f>
        <v>0</v>
      </c>
      <c r="C255" s="66">
        <f t="shared" ref="C255" si="217">$B235+($C235-$B235)*(1-R235)</f>
        <v>0</v>
      </c>
      <c r="D255" s="66">
        <f t="shared" ref="D255" si="218">$B235+($C235-$B235)*(1-S235)</f>
        <v>0</v>
      </c>
      <c r="E255" s="66">
        <f t="shared" ref="E255:AC255" si="219">$B235+($C235-$B235)*(1-T235)</f>
        <v>0</v>
      </c>
      <c r="F255" s="66">
        <f t="shared" si="219"/>
        <v>0</v>
      </c>
      <c r="G255" s="66">
        <f t="shared" si="219"/>
        <v>0</v>
      </c>
      <c r="H255" s="66">
        <f t="shared" si="219"/>
        <v>0</v>
      </c>
      <c r="I255" s="66">
        <f t="shared" si="219"/>
        <v>0</v>
      </c>
      <c r="J255" s="66">
        <f t="shared" si="219"/>
        <v>0</v>
      </c>
      <c r="K255" s="66">
        <f t="shared" si="219"/>
        <v>0</v>
      </c>
      <c r="L255" s="66">
        <f t="shared" si="219"/>
        <v>0</v>
      </c>
      <c r="M255" s="66">
        <f t="shared" si="219"/>
        <v>0</v>
      </c>
      <c r="N255" s="66">
        <f t="shared" si="219"/>
        <v>0</v>
      </c>
      <c r="O255" s="66">
        <f t="shared" si="219"/>
        <v>0</v>
      </c>
      <c r="P255" s="66">
        <f t="shared" si="219"/>
        <v>0</v>
      </c>
      <c r="Q255" s="66">
        <f t="shared" si="219"/>
        <v>0</v>
      </c>
      <c r="R255" s="66">
        <f t="shared" si="219"/>
        <v>0</v>
      </c>
      <c r="S255" s="66">
        <f t="shared" si="219"/>
        <v>0</v>
      </c>
      <c r="T255" s="66">
        <f t="shared" si="219"/>
        <v>0</v>
      </c>
      <c r="U255" s="66">
        <f t="shared" si="219"/>
        <v>0</v>
      </c>
      <c r="V255" s="66">
        <f t="shared" si="219"/>
        <v>0</v>
      </c>
      <c r="W255" s="66">
        <f t="shared" si="219"/>
        <v>0</v>
      </c>
      <c r="X255" s="66">
        <f t="shared" si="219"/>
        <v>0</v>
      </c>
      <c r="Y255" s="66">
        <f t="shared" si="219"/>
        <v>0</v>
      </c>
      <c r="Z255" s="66">
        <f t="shared" si="219"/>
        <v>0</v>
      </c>
      <c r="AA255" s="66">
        <f t="shared" si="219"/>
        <v>0</v>
      </c>
      <c r="AB255" s="66">
        <f t="shared" si="219"/>
        <v>0</v>
      </c>
      <c r="AC255" s="66">
        <f t="shared" si="219"/>
        <v>0</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12757.190728868829</v>
      </c>
      <c r="C271" s="62">
        <f t="shared" ref="C271:AC271" si="234">C253*C254*C261</f>
        <v>12687.5060361776</v>
      </c>
      <c r="D271" s="62">
        <f t="shared" si="234"/>
        <v>12591.970929407458</v>
      </c>
      <c r="E271" s="62">
        <f t="shared" si="234"/>
        <v>12463.581983036558</v>
      </c>
      <c r="F271" s="62">
        <f t="shared" si="234"/>
        <v>12295.75282720945</v>
      </c>
      <c r="G271" s="62">
        <f t="shared" si="234"/>
        <v>12084.40037225436</v>
      </c>
      <c r="H271" s="62">
        <f t="shared" si="234"/>
        <v>11830.783493181421</v>
      </c>
      <c r="I271" s="62">
        <f t="shared" si="234"/>
        <v>11544.000208112548</v>
      </c>
      <c r="J271" s="62">
        <f t="shared" si="234"/>
        <v>11528.057896372666</v>
      </c>
      <c r="K271" s="62">
        <f t="shared" si="234"/>
        <v>11502.927994586275</v>
      </c>
      <c r="L271" s="62">
        <f t="shared" si="234"/>
        <v>11491.306854766657</v>
      </c>
      <c r="M271" s="62">
        <f t="shared" si="234"/>
        <v>11510.604422158116</v>
      </c>
      <c r="N271" s="62">
        <f t="shared" si="234"/>
        <v>11569.754109838834</v>
      </c>
      <c r="O271" s="62">
        <f t="shared" si="234"/>
        <v>11303.260311381804</v>
      </c>
      <c r="P271" s="62">
        <f t="shared" si="234"/>
        <v>11080.886311886097</v>
      </c>
      <c r="Q271" s="62">
        <f t="shared" si="234"/>
        <v>10892.921963474919</v>
      </c>
      <c r="R271" s="62">
        <f t="shared" si="234"/>
        <v>10730.465710944462</v>
      </c>
      <c r="S271" s="62">
        <f t="shared" si="234"/>
        <v>10586.26494383178</v>
      </c>
      <c r="T271" s="62">
        <f t="shared" si="234"/>
        <v>10454.81668361067</v>
      </c>
      <c r="U271" s="62">
        <f t="shared" si="234"/>
        <v>10332.130574799274</v>
      </c>
      <c r="V271" s="62">
        <f t="shared" si="234"/>
        <v>10215.397446154913</v>
      </c>
      <c r="W271" s="62">
        <f t="shared" si="234"/>
        <v>10102.677947115804</v>
      </c>
      <c r="X271" s="62">
        <f t="shared" si="234"/>
        <v>9992.6505229675859</v>
      </c>
      <c r="Y271" s="62">
        <f t="shared" si="234"/>
        <v>9884.4224109992483</v>
      </c>
      <c r="Z271" s="62">
        <f t="shared" si="234"/>
        <v>9777.3940267570233</v>
      </c>
      <c r="AA271" s="62">
        <f t="shared" si="234"/>
        <v>9671.1642684765302</v>
      </c>
      <c r="AB271" s="62">
        <f t="shared" si="234"/>
        <v>9565.4655275762361</v>
      </c>
      <c r="AC271" s="62">
        <f t="shared" si="234"/>
        <v>9460.1195846455539</v>
      </c>
    </row>
    <row r="272" spans="1:29" ht="15.75" thickBot="1" x14ac:dyDescent="0.3">
      <c r="A272" s="59" t="str">
        <f>A235</f>
        <v>Emission Cost</v>
      </c>
      <c r="B272" s="62">
        <f>B255*B261</f>
        <v>0</v>
      </c>
      <c r="C272" s="62">
        <f t="shared" ref="C272:AC272" si="235">C255*C261</f>
        <v>0</v>
      </c>
      <c r="D272" s="62">
        <f t="shared" si="235"/>
        <v>0</v>
      </c>
      <c r="E272" s="62">
        <f t="shared" si="235"/>
        <v>0</v>
      </c>
      <c r="F272" s="62">
        <f t="shared" si="235"/>
        <v>0</v>
      </c>
      <c r="G272" s="62">
        <f t="shared" si="235"/>
        <v>0</v>
      </c>
      <c r="H272" s="62">
        <f t="shared" si="235"/>
        <v>0</v>
      </c>
      <c r="I272" s="62">
        <f t="shared" si="235"/>
        <v>0</v>
      </c>
      <c r="J272" s="62">
        <f t="shared" si="235"/>
        <v>0</v>
      </c>
      <c r="K272" s="62">
        <f t="shared" si="235"/>
        <v>0</v>
      </c>
      <c r="L272" s="62">
        <f t="shared" si="235"/>
        <v>0</v>
      </c>
      <c r="M272" s="62">
        <f t="shared" si="235"/>
        <v>0</v>
      </c>
      <c r="N272" s="62">
        <f t="shared" si="235"/>
        <v>0</v>
      </c>
      <c r="O272" s="62">
        <f t="shared" si="235"/>
        <v>0</v>
      </c>
      <c r="P272" s="62">
        <f t="shared" si="235"/>
        <v>0</v>
      </c>
      <c r="Q272" s="62">
        <f t="shared" si="235"/>
        <v>0</v>
      </c>
      <c r="R272" s="62">
        <f t="shared" si="235"/>
        <v>0</v>
      </c>
      <c r="S272" s="62">
        <f t="shared" si="235"/>
        <v>0</v>
      </c>
      <c r="T272" s="62">
        <f t="shared" si="235"/>
        <v>0</v>
      </c>
      <c r="U272" s="62">
        <f t="shared" si="235"/>
        <v>0</v>
      </c>
      <c r="V272" s="62">
        <f t="shared" si="235"/>
        <v>0</v>
      </c>
      <c r="W272" s="62">
        <f t="shared" si="235"/>
        <v>0</v>
      </c>
      <c r="X272" s="62">
        <f t="shared" si="235"/>
        <v>0</v>
      </c>
      <c r="Y272" s="62">
        <f t="shared" si="235"/>
        <v>0</v>
      </c>
      <c r="Z272" s="62">
        <f t="shared" si="235"/>
        <v>0</v>
      </c>
      <c r="AA272" s="62">
        <f t="shared" si="235"/>
        <v>0</v>
      </c>
      <c r="AB272" s="62">
        <f t="shared" si="235"/>
        <v>0</v>
      </c>
      <c r="AC272" s="62">
        <f t="shared" si="235"/>
        <v>0</v>
      </c>
    </row>
    <row r="273" spans="1:29" ht="15.75" thickBot="1" x14ac:dyDescent="0.3">
      <c r="A273" s="31" t="s">
        <v>209</v>
      </c>
      <c r="B273" s="64">
        <f>B264+B265+B266+B267+B268+B269+B270+B271+B272</f>
        <v>165099.83875875743</v>
      </c>
      <c r="C273" s="64">
        <f t="shared" ref="C273:AC273" si="236">C264+C265+C266+C267+C268+C269+C270+C271+C272</f>
        <v>164205.5111542723</v>
      </c>
      <c r="D273" s="64">
        <f t="shared" si="236"/>
        <v>162979.42146538536</v>
      </c>
      <c r="E273" s="64">
        <f t="shared" si="236"/>
        <v>161331.68830598079</v>
      </c>
      <c r="F273" s="64">
        <f t="shared" si="236"/>
        <v>159177.78274800294</v>
      </c>
      <c r="G273" s="64">
        <f t="shared" si="236"/>
        <v>156465.30275502126</v>
      </c>
      <c r="H273" s="64">
        <f t="shared" si="236"/>
        <v>153210.40462519362</v>
      </c>
      <c r="I273" s="64">
        <f t="shared" si="236"/>
        <v>149529.85157348588</v>
      </c>
      <c r="J273" s="64">
        <f t="shared" si="236"/>
        <v>145931.12044339234</v>
      </c>
      <c r="K273" s="64">
        <f t="shared" si="236"/>
        <v>142393.70430577896</v>
      </c>
      <c r="L273" s="64">
        <f t="shared" si="236"/>
        <v>139184.77671015094</v>
      </c>
      <c r="M273" s="64">
        <f t="shared" si="236"/>
        <v>136486.81909530025</v>
      </c>
      <c r="N273" s="64">
        <f t="shared" si="236"/>
        <v>134369.93401483676</v>
      </c>
      <c r="O273" s="64">
        <f t="shared" si="236"/>
        <v>132443.02910897066</v>
      </c>
      <c r="P273" s="64">
        <f t="shared" si="236"/>
        <v>131000.11978036596</v>
      </c>
      <c r="Q273" s="64">
        <f t="shared" si="236"/>
        <v>129939.4903287168</v>
      </c>
      <c r="R273" s="64">
        <f t="shared" si="236"/>
        <v>129165.42471369398</v>
      </c>
      <c r="S273" s="64">
        <f t="shared" si="236"/>
        <v>128598.56428464974</v>
      </c>
      <c r="T273" s="64">
        <f t="shared" si="236"/>
        <v>128177.86895583005</v>
      </c>
      <c r="U273" s="64">
        <f t="shared" si="236"/>
        <v>127858.55784953956</v>
      </c>
      <c r="V273" s="64">
        <f t="shared" si="236"/>
        <v>127608.77077302703</v>
      </c>
      <c r="W273" s="64">
        <f t="shared" si="236"/>
        <v>127406.29294184505</v>
      </c>
      <c r="X273" s="64">
        <f t="shared" si="236"/>
        <v>127235.84065437979</v>
      </c>
      <c r="Y273" s="64">
        <f t="shared" si="236"/>
        <v>127086.99195116299</v>
      </c>
      <c r="Z273" s="64">
        <f t="shared" si="236"/>
        <v>126952.68218633065</v>
      </c>
      <c r="AA273" s="64">
        <f t="shared" si="236"/>
        <v>126828.14148529277</v>
      </c>
      <c r="AB273" s="64">
        <f t="shared" si="236"/>
        <v>126710.15789157872</v>
      </c>
      <c r="AC273" s="64">
        <f t="shared" si="236"/>
        <v>126596.57236995465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0.12149705456065552</v>
      </c>
      <c r="C283" s="66">
        <f t="shared" ref="C283:AC283" si="245">C253*C254*C261/C261</f>
        <v>0.12083339082073905</v>
      </c>
      <c r="D283" s="66">
        <f t="shared" si="245"/>
        <v>0.11992353266102342</v>
      </c>
      <c r="E283" s="66">
        <f t="shared" si="245"/>
        <v>0.11870078079082436</v>
      </c>
      <c r="F283" s="66">
        <f t="shared" si="245"/>
        <v>0.11710240787818524</v>
      </c>
      <c r="G283" s="66">
        <f t="shared" si="245"/>
        <v>0.11508952735480343</v>
      </c>
      <c r="H283" s="66">
        <f t="shared" si="245"/>
        <v>0.11267412850648972</v>
      </c>
      <c r="I283" s="66">
        <f t="shared" si="245"/>
        <v>0.1099428591248814</v>
      </c>
      <c r="J283" s="66">
        <f t="shared" si="245"/>
        <v>0.10979102758450157</v>
      </c>
      <c r="K283" s="66">
        <f t="shared" si="245"/>
        <v>0.10955169518653594</v>
      </c>
      <c r="L283" s="66">
        <f t="shared" si="245"/>
        <v>0.10944101766444435</v>
      </c>
      <c r="M283" s="66">
        <f t="shared" si="245"/>
        <v>0.10962480402055348</v>
      </c>
      <c r="N283" s="66">
        <f t="shared" si="245"/>
        <v>0.11018813437941746</v>
      </c>
      <c r="O283" s="66">
        <f t="shared" si="245"/>
        <v>0.10765009820363623</v>
      </c>
      <c r="P283" s="66">
        <f t="shared" si="245"/>
        <v>0.1055322505893914</v>
      </c>
      <c r="Q283" s="66">
        <f t="shared" si="245"/>
        <v>0.10374211393785637</v>
      </c>
      <c r="R283" s="66">
        <f t="shared" si="245"/>
        <v>0.1021949115328044</v>
      </c>
      <c r="S283" s="66">
        <f t="shared" si="245"/>
        <v>0.100821570893636</v>
      </c>
      <c r="T283" s="66">
        <f t="shared" si="245"/>
        <v>9.9569682701053999E-2</v>
      </c>
      <c r="U283" s="66">
        <f t="shared" si="245"/>
        <v>9.8401243569516891E-2</v>
      </c>
      <c r="V283" s="66">
        <f t="shared" si="245"/>
        <v>9.7289499487189651E-2</v>
      </c>
      <c r="W283" s="66">
        <f t="shared" si="245"/>
        <v>9.6215980448721941E-2</v>
      </c>
      <c r="X283" s="66">
        <f t="shared" si="245"/>
        <v>9.5168100218738907E-2</v>
      </c>
      <c r="Y283" s="66">
        <f t="shared" si="245"/>
        <v>9.4137356295230942E-2</v>
      </c>
      <c r="Z283" s="66">
        <f t="shared" si="245"/>
        <v>9.3118038350066892E-2</v>
      </c>
      <c r="AA283" s="66">
        <f t="shared" si="245"/>
        <v>9.2106326366443142E-2</v>
      </c>
      <c r="AB283" s="66">
        <f t="shared" si="245"/>
        <v>9.1099671691202255E-2</v>
      </c>
      <c r="AC283" s="66">
        <f t="shared" si="245"/>
        <v>9.0096376996624317E-2</v>
      </c>
    </row>
    <row r="284" spans="1:29" ht="15.75" thickBot="1" x14ac:dyDescent="0.3">
      <c r="A284" s="59" t="str">
        <f t="shared" ref="A284" si="246">A272</f>
        <v>Emission Cost</v>
      </c>
      <c r="B284" s="66">
        <f>B255</f>
        <v>0</v>
      </c>
      <c r="C284" s="66">
        <f t="shared" ref="C284:AC284" si="247">C255</f>
        <v>0</v>
      </c>
      <c r="D284" s="66">
        <f t="shared" si="247"/>
        <v>0</v>
      </c>
      <c r="E284" s="66">
        <f t="shared" si="247"/>
        <v>0</v>
      </c>
      <c r="F284" s="66">
        <f t="shared" si="247"/>
        <v>0</v>
      </c>
      <c r="G284" s="66">
        <f t="shared" si="247"/>
        <v>0</v>
      </c>
      <c r="H284" s="66">
        <f t="shared" si="247"/>
        <v>0</v>
      </c>
      <c r="I284" s="66">
        <f t="shared" si="247"/>
        <v>0</v>
      </c>
      <c r="J284" s="66">
        <f t="shared" si="247"/>
        <v>0</v>
      </c>
      <c r="K284" s="66">
        <f t="shared" si="247"/>
        <v>0</v>
      </c>
      <c r="L284" s="66">
        <f t="shared" si="247"/>
        <v>0</v>
      </c>
      <c r="M284" s="66">
        <f t="shared" si="247"/>
        <v>0</v>
      </c>
      <c r="N284" s="66">
        <f t="shared" si="247"/>
        <v>0</v>
      </c>
      <c r="O284" s="66">
        <f t="shared" si="247"/>
        <v>0</v>
      </c>
      <c r="P284" s="66">
        <f t="shared" si="247"/>
        <v>0</v>
      </c>
      <c r="Q284" s="66">
        <f t="shared" si="247"/>
        <v>0</v>
      </c>
      <c r="R284" s="66">
        <f t="shared" si="247"/>
        <v>0</v>
      </c>
      <c r="S284" s="66">
        <f t="shared" si="247"/>
        <v>0</v>
      </c>
      <c r="T284" s="66">
        <f t="shared" si="247"/>
        <v>0</v>
      </c>
      <c r="U284" s="66">
        <f t="shared" si="247"/>
        <v>0</v>
      </c>
      <c r="V284" s="66">
        <f t="shared" si="247"/>
        <v>0</v>
      </c>
      <c r="W284" s="66">
        <f t="shared" si="247"/>
        <v>0</v>
      </c>
      <c r="X284" s="66">
        <f t="shared" si="247"/>
        <v>0</v>
      </c>
      <c r="Y284" s="66">
        <f t="shared" si="247"/>
        <v>0</v>
      </c>
      <c r="Z284" s="66">
        <f t="shared" si="247"/>
        <v>0</v>
      </c>
      <c r="AA284" s="66">
        <f t="shared" si="247"/>
        <v>0</v>
      </c>
      <c r="AB284" s="66">
        <f t="shared" si="247"/>
        <v>0</v>
      </c>
      <c r="AC284" s="66">
        <f t="shared" si="247"/>
        <v>0</v>
      </c>
    </row>
    <row r="285" spans="1:29" ht="15.75" thickBot="1" x14ac:dyDescent="0.3">
      <c r="A285" s="31" t="s">
        <v>63</v>
      </c>
      <c r="B285" s="76">
        <f>B276+B277+B278-B279+B280+B281+B282+B283+B284</f>
        <v>1.5917891250672684</v>
      </c>
      <c r="C285" s="76">
        <f t="shared" ref="C285:AC285" si="248">C276+C277+C278-C279+C280+C281+C282+C283+C284</f>
        <v>1.583271719310267</v>
      </c>
      <c r="D285" s="76">
        <f t="shared" si="248"/>
        <v>1.5715946746542011</v>
      </c>
      <c r="E285" s="76">
        <f t="shared" si="248"/>
        <v>1.555901977897967</v>
      </c>
      <c r="F285" s="76">
        <f t="shared" si="248"/>
        <v>1.5353885916315111</v>
      </c>
      <c r="G285" s="76">
        <f t="shared" si="248"/>
        <v>1.5095554488412093</v>
      </c>
      <c r="H285" s="76">
        <f t="shared" si="248"/>
        <v>1.4785564190333274</v>
      </c>
      <c r="I285" s="76">
        <f t="shared" si="248"/>
        <v>1.4435035328265871</v>
      </c>
      <c r="J285" s="76">
        <f t="shared" si="248"/>
        <v>1.4092299030161723</v>
      </c>
      <c r="K285" s="76">
        <f t="shared" si="248"/>
        <v>1.3755402255150924</v>
      </c>
      <c r="L285" s="76">
        <f t="shared" si="248"/>
        <v>1.3449790103186352</v>
      </c>
      <c r="M285" s="76">
        <f t="shared" si="248"/>
        <v>1.3192841758914855</v>
      </c>
      <c r="N285" s="76">
        <f t="shared" si="248"/>
        <v>1.2991233656013572</v>
      </c>
      <c r="O285" s="76">
        <f t="shared" si="248"/>
        <v>1.2807718903073944</v>
      </c>
      <c r="P285" s="76">
        <f t="shared" si="248"/>
        <v>1.2670298967016353</v>
      </c>
      <c r="Q285" s="76">
        <f t="shared" si="248"/>
        <v>1.2569286638287864</v>
      </c>
      <c r="R285" s="76">
        <f t="shared" si="248"/>
        <v>1.2495566103523785</v>
      </c>
      <c r="S285" s="76">
        <f t="shared" si="248"/>
        <v>1.2441579395995761</v>
      </c>
      <c r="T285" s="76">
        <f t="shared" si="248"/>
        <v>1.2401513174203409</v>
      </c>
      <c r="U285" s="76">
        <f t="shared" si="248"/>
        <v>1.2371102592651937</v>
      </c>
      <c r="V285" s="76">
        <f t="shared" si="248"/>
        <v>1.234731334726979</v>
      </c>
      <c r="W285" s="76">
        <f t="shared" si="248"/>
        <v>1.2328029744300075</v>
      </c>
      <c r="X285" s="76">
        <f t="shared" si="248"/>
        <v>1.2311796193112909</v>
      </c>
      <c r="Y285" s="76">
        <f t="shared" si="248"/>
        <v>1.2297620126139881</v>
      </c>
      <c r="Z285" s="76">
        <f t="shared" si="248"/>
        <v>1.2284828719965373</v>
      </c>
      <c r="AA285" s="76">
        <f t="shared" si="248"/>
        <v>1.2272967700818909</v>
      </c>
      <c r="AB285" s="76">
        <f t="shared" si="248"/>
        <v>1.2261731168084238</v>
      </c>
      <c r="AC285" s="76">
        <f t="shared" si="248"/>
        <v>1.2250913499358134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4.8598821824262202E-3</v>
      </c>
      <c r="C295" s="66">
        <f t="shared" ref="C295:AC295" si="257">C253*C254*C261/C261/(C258)</f>
        <v>4.8333356328295616E-3</v>
      </c>
      <c r="D295" s="66">
        <f t="shared" si="257"/>
        <v>4.7969413064409367E-3</v>
      </c>
      <c r="E295" s="66">
        <f t="shared" si="257"/>
        <v>4.7480312316329739E-3</v>
      </c>
      <c r="F295" s="66">
        <f t="shared" si="257"/>
        <v>4.6840963151274098E-3</v>
      </c>
      <c r="G295" s="66">
        <f t="shared" si="257"/>
        <v>4.6035810941921374E-3</v>
      </c>
      <c r="H295" s="66">
        <f t="shared" si="257"/>
        <v>4.5069651402595886E-3</v>
      </c>
      <c r="I295" s="66">
        <f t="shared" si="257"/>
        <v>4.3977143649952559E-3</v>
      </c>
      <c r="J295" s="66">
        <f t="shared" si="257"/>
        <v>4.3916411033800631E-3</v>
      </c>
      <c r="K295" s="66">
        <f t="shared" si="257"/>
        <v>4.3820678074614379E-3</v>
      </c>
      <c r="L295" s="66">
        <f t="shared" si="257"/>
        <v>4.3776407065777741E-3</v>
      </c>
      <c r="M295" s="66">
        <f t="shared" si="257"/>
        <v>4.3849921608221393E-3</v>
      </c>
      <c r="N295" s="66">
        <f t="shared" si="257"/>
        <v>4.4075253751766985E-3</v>
      </c>
      <c r="O295" s="66">
        <f t="shared" si="257"/>
        <v>4.3060039281454495E-3</v>
      </c>
      <c r="P295" s="66">
        <f t="shared" si="257"/>
        <v>4.2212900235756561E-3</v>
      </c>
      <c r="Q295" s="66">
        <f t="shared" si="257"/>
        <v>4.1496845575142551E-3</v>
      </c>
      <c r="R295" s="66">
        <f t="shared" si="257"/>
        <v>4.0877964613121763E-3</v>
      </c>
      <c r="S295" s="66">
        <f t="shared" si="257"/>
        <v>4.0328628357454398E-3</v>
      </c>
      <c r="T295" s="66">
        <f t="shared" si="257"/>
        <v>3.9827873080421601E-3</v>
      </c>
      <c r="U295" s="66">
        <f t="shared" si="257"/>
        <v>3.936049742780676E-3</v>
      </c>
      <c r="V295" s="66">
        <f t="shared" si="257"/>
        <v>3.8915799794875861E-3</v>
      </c>
      <c r="W295" s="66">
        <f t="shared" si="257"/>
        <v>3.8486392179488777E-3</v>
      </c>
      <c r="X295" s="66">
        <f t="shared" si="257"/>
        <v>3.8067240087495562E-3</v>
      </c>
      <c r="Y295" s="66">
        <f t="shared" si="257"/>
        <v>3.7654942518092378E-3</v>
      </c>
      <c r="Z295" s="66">
        <f t="shared" si="257"/>
        <v>3.7247215340026757E-3</v>
      </c>
      <c r="AA295" s="66">
        <f t="shared" si="257"/>
        <v>3.6842530546577256E-3</v>
      </c>
      <c r="AB295" s="66">
        <f t="shared" si="257"/>
        <v>3.6439868676480902E-3</v>
      </c>
      <c r="AC295" s="66">
        <f t="shared" si="257"/>
        <v>3.6038550798649727E-3</v>
      </c>
    </row>
    <row r="296" spans="1:29" x14ac:dyDescent="0.25">
      <c r="A296" s="59" t="str">
        <f>A259</f>
        <v>Market failure (av. utilization)</v>
      </c>
      <c r="B296" s="66">
        <f t="shared" ref="B296:AC296" si="258">B285/B259-B285/B258</f>
        <v>4.0140769240826754E-2</v>
      </c>
      <c r="C296" s="66">
        <f t="shared" si="258"/>
        <v>3.9925982486954545E-2</v>
      </c>
      <c r="D296" s="66">
        <f t="shared" si="258"/>
        <v>3.9631517882584191E-2</v>
      </c>
      <c r="E296" s="66">
        <f t="shared" si="258"/>
        <v>3.9235789007861753E-2</v>
      </c>
      <c r="F296" s="66">
        <f t="shared" si="258"/>
        <v>3.871849491940331E-2</v>
      </c>
      <c r="G296" s="66">
        <f t="shared" si="258"/>
        <v>3.8067050449039172E-2</v>
      </c>
      <c r="H296" s="66">
        <f t="shared" si="258"/>
        <v>3.7285335784318675E-2</v>
      </c>
      <c r="I296" s="66">
        <f t="shared" si="258"/>
        <v>3.6401393436496531E-2</v>
      </c>
      <c r="J296" s="66">
        <f t="shared" si="258"/>
        <v>3.5537101902146942E-2</v>
      </c>
      <c r="K296" s="66">
        <f t="shared" si="258"/>
        <v>3.4687536121684924E-2</v>
      </c>
      <c r="L296" s="66">
        <f t="shared" si="258"/>
        <v>3.3916861999339479E-2</v>
      </c>
      <c r="M296" s="66">
        <f t="shared" si="258"/>
        <v>3.3268905305089622E-2</v>
      </c>
      <c r="N296" s="66">
        <f t="shared" si="258"/>
        <v>3.276050226299073E-2</v>
      </c>
      <c r="O296" s="66">
        <f t="shared" si="258"/>
        <v>3.229772592949081E-2</v>
      </c>
      <c r="P296" s="66">
        <f t="shared" si="258"/>
        <v>3.1951188699432524E-2</v>
      </c>
      <c r="Q296" s="66">
        <f t="shared" si="258"/>
        <v>3.1696461957421561E-2</v>
      </c>
      <c r="R296" s="66">
        <f t="shared" si="258"/>
        <v>3.1510558000190404E-2</v>
      </c>
      <c r="S296" s="66">
        <f t="shared" si="258"/>
        <v>3.1374417607293648E-2</v>
      </c>
      <c r="T296" s="66">
        <f t="shared" si="258"/>
        <v>3.127338104799119E-2</v>
      </c>
      <c r="U296" s="66">
        <f t="shared" si="258"/>
        <v>3.1196693494513567E-2</v>
      </c>
      <c r="V296" s="66">
        <f t="shared" si="258"/>
        <v>3.1136703223549896E-2</v>
      </c>
      <c r="W296" s="66">
        <f t="shared" si="258"/>
        <v>3.10880750073654E-2</v>
      </c>
      <c r="X296" s="66">
        <f t="shared" si="258"/>
        <v>3.1047138226110806E-2</v>
      </c>
      <c r="Y296" s="66">
        <f t="shared" si="258"/>
        <v>3.1011389883309252E-2</v>
      </c>
      <c r="Z296" s="66">
        <f t="shared" si="258"/>
        <v>3.0979133293825706E-2</v>
      </c>
      <c r="AA296" s="66">
        <f t="shared" si="258"/>
        <v>3.0949222897717232E-2</v>
      </c>
      <c r="AB296" s="66">
        <f t="shared" si="258"/>
        <v>3.0920887293429809E-2</v>
      </c>
      <c r="AC296" s="66">
        <f t="shared" si="258"/>
        <v>3.0893607954903105E-2</v>
      </c>
    </row>
    <row r="297" spans="1:29" x14ac:dyDescent="0.25">
      <c r="A297" s="59" t="str">
        <f>A260</f>
        <v>Payload loss (fuel)</v>
      </c>
      <c r="B297" s="66">
        <f>B285/(B258-B260)-B285/B258</f>
        <v>7.0227674246001043E-3</v>
      </c>
      <c r="C297" s="66">
        <f t="shared" ref="C297:AC297" si="259">C285/(C258-C260)-C285/C258</f>
        <v>6.9631306138387278E-3</v>
      </c>
      <c r="D297" s="66">
        <f t="shared" si="259"/>
        <v>6.8807094993179607E-3</v>
      </c>
      <c r="E297" s="66">
        <f t="shared" si="259"/>
        <v>6.7685802332764153E-3</v>
      </c>
      <c r="F297" s="66">
        <f t="shared" si="259"/>
        <v>6.6192698538948685E-3</v>
      </c>
      <c r="G297" s="66">
        <f t="shared" si="259"/>
        <v>6.4259562679955251E-3</v>
      </c>
      <c r="H297" s="66">
        <f t="shared" si="259"/>
        <v>6.1842826478882076E-3</v>
      </c>
      <c r="I297" s="66">
        <f t="shared" si="259"/>
        <v>5.894283138213309E-3</v>
      </c>
      <c r="J297" s="66">
        <f t="shared" si="259"/>
        <v>5.5722970036439917E-3</v>
      </c>
      <c r="K297" s="66">
        <f t="shared" si="259"/>
        <v>5.2167959301298653E-3</v>
      </c>
      <c r="L297" s="66">
        <f t="shared" si="259"/>
        <v>4.8421794192241643E-3</v>
      </c>
      <c r="M297" s="66">
        <f t="shared" si="259"/>
        <v>4.4653899249899945E-3</v>
      </c>
      <c r="N297" s="66">
        <f t="shared" si="259"/>
        <v>4.1046080716234459E-3</v>
      </c>
      <c r="O297" s="66">
        <f t="shared" si="259"/>
        <v>3.7667820848751726E-3</v>
      </c>
      <c r="P297" s="66">
        <f t="shared" si="259"/>
        <v>3.4767780615048774E-3</v>
      </c>
      <c r="Q297" s="66">
        <f t="shared" si="259"/>
        <v>3.2404150112156221E-3</v>
      </c>
      <c r="R297" s="66">
        <f t="shared" si="259"/>
        <v>3.0564604117714472E-3</v>
      </c>
      <c r="S297" s="66">
        <f t="shared" si="259"/>
        <v>2.9186187313455306E-3</v>
      </c>
      <c r="T297" s="66">
        <f t="shared" si="259"/>
        <v>2.8182704154401175E-3</v>
      </c>
      <c r="U297" s="66">
        <f t="shared" si="259"/>
        <v>2.7466839646404298E-3</v>
      </c>
      <c r="V297" s="66">
        <f t="shared" si="259"/>
        <v>2.6962563914650836E-3</v>
      </c>
      <c r="W297" s="66">
        <f t="shared" si="259"/>
        <v>2.6609412754876743E-3</v>
      </c>
      <c r="X297" s="66">
        <f t="shared" si="259"/>
        <v>2.636200632600956E-3</v>
      </c>
      <c r="Y297" s="66">
        <f t="shared" si="259"/>
        <v>2.6187554443703395E-3</v>
      </c>
      <c r="Z297" s="66">
        <f t="shared" si="259"/>
        <v>2.6062952628515199E-3</v>
      </c>
      <c r="AA297" s="66">
        <f t="shared" si="259"/>
        <v>2.5972191881028298E-3</v>
      </c>
      <c r="AB297" s="66">
        <f t="shared" si="259"/>
        <v>2.5904303273174001E-3</v>
      </c>
      <c r="AC297" s="66">
        <f t="shared" si="259"/>
        <v>2.5851827358283549E-3</v>
      </c>
    </row>
    <row r="298" spans="1:29" ht="15.75" thickBot="1" x14ac:dyDescent="0.3">
      <c r="A298" s="59" t="str">
        <f>A235</f>
        <v>Emission Cost</v>
      </c>
      <c r="B298" s="68">
        <f>B255*B261/B261/(B258)</f>
        <v>0</v>
      </c>
      <c r="C298" s="68">
        <f t="shared" ref="C298:AC298" si="260">C255*C261/C261/(C258)</f>
        <v>0</v>
      </c>
      <c r="D298" s="68">
        <f t="shared" si="260"/>
        <v>0</v>
      </c>
      <c r="E298" s="68">
        <f t="shared" si="260"/>
        <v>0</v>
      </c>
      <c r="F298" s="68">
        <f t="shared" si="260"/>
        <v>0</v>
      </c>
      <c r="G298" s="68">
        <f t="shared" si="260"/>
        <v>0</v>
      </c>
      <c r="H298" s="68">
        <f t="shared" si="260"/>
        <v>0</v>
      </c>
      <c r="I298" s="68">
        <f t="shared" si="260"/>
        <v>0</v>
      </c>
      <c r="J298" s="68">
        <f t="shared" si="260"/>
        <v>0</v>
      </c>
      <c r="K298" s="68">
        <f t="shared" si="260"/>
        <v>0</v>
      </c>
      <c r="L298" s="68">
        <f t="shared" si="260"/>
        <v>0</v>
      </c>
      <c r="M298" s="68">
        <f t="shared" si="260"/>
        <v>0</v>
      </c>
      <c r="N298" s="68">
        <f t="shared" si="260"/>
        <v>0</v>
      </c>
      <c r="O298" s="68">
        <f t="shared" si="260"/>
        <v>0</v>
      </c>
      <c r="P298" s="68">
        <f t="shared" si="260"/>
        <v>0</v>
      </c>
      <c r="Q298" s="68">
        <f t="shared" si="260"/>
        <v>0</v>
      </c>
      <c r="R298" s="68">
        <f t="shared" si="260"/>
        <v>0</v>
      </c>
      <c r="S298" s="68">
        <f t="shared" si="260"/>
        <v>0</v>
      </c>
      <c r="T298" s="68">
        <f t="shared" si="260"/>
        <v>0</v>
      </c>
      <c r="U298" s="68">
        <f t="shared" si="260"/>
        <v>0</v>
      </c>
      <c r="V298" s="68">
        <f t="shared" si="260"/>
        <v>0</v>
      </c>
      <c r="W298" s="68">
        <f t="shared" si="260"/>
        <v>0</v>
      </c>
      <c r="X298" s="68">
        <f t="shared" si="260"/>
        <v>0</v>
      </c>
      <c r="Y298" s="68">
        <f t="shared" si="260"/>
        <v>0</v>
      </c>
      <c r="Z298" s="68">
        <f t="shared" si="260"/>
        <v>0</v>
      </c>
      <c r="AA298" s="68">
        <f t="shared" si="260"/>
        <v>0</v>
      </c>
      <c r="AB298" s="68">
        <f t="shared" si="260"/>
        <v>0</v>
      </c>
      <c r="AC298" s="68">
        <f t="shared" si="260"/>
        <v>0</v>
      </c>
    </row>
    <row r="299" spans="1:29" ht="15.75" thickBot="1" x14ac:dyDescent="0.3">
      <c r="A299" s="31" t="s">
        <v>210</v>
      </c>
      <c r="B299" s="67">
        <f>B288+B289+B290+B291+B292+B293+B294+B295+B296+B297+B298</f>
        <v>0.11005871333542969</v>
      </c>
      <c r="C299" s="67">
        <f t="shared" ref="C299:AC299" si="261">C288+C289+C290+C291+C292+C293+C294+C295+C296+C297+C298</f>
        <v>0.10944359354051605</v>
      </c>
      <c r="D299" s="67">
        <f t="shared" si="261"/>
        <v>0.10859962603538229</v>
      </c>
      <c r="E299" s="67">
        <f t="shared" si="261"/>
        <v>0.10746406002436895</v>
      </c>
      <c r="F299" s="67">
        <f t="shared" si="261"/>
        <v>0.10597692010587072</v>
      </c>
      <c r="G299" s="67">
        <f t="shared" si="261"/>
        <v>0.10409883633799516</v>
      </c>
      <c r="H299" s="67">
        <f t="shared" si="261"/>
        <v>0.10183548686085206</v>
      </c>
      <c r="I299" s="67">
        <f t="shared" si="261"/>
        <v>9.9259429555085404E-2</v>
      </c>
      <c r="J299" s="67">
        <f t="shared" si="261"/>
        <v>9.6702206693749918E-2</v>
      </c>
      <c r="K299" s="67">
        <f t="shared" si="261"/>
        <v>9.414955273973058E-2</v>
      </c>
      <c r="L299" s="67">
        <f t="shared" si="261"/>
        <v>9.1781813498621134E-2</v>
      </c>
      <c r="M299" s="67">
        <f t="shared" si="261"/>
        <v>8.9729273933051135E-2</v>
      </c>
      <c r="N299" s="67">
        <f t="shared" si="261"/>
        <v>8.8053656625980553E-2</v>
      </c>
      <c r="O299" s="67">
        <f t="shared" si="261"/>
        <v>8.6518995293973847E-2</v>
      </c>
      <c r="P299" s="67">
        <f t="shared" si="261"/>
        <v>8.5332774296314917E-2</v>
      </c>
      <c r="Q299" s="67">
        <f t="shared" si="261"/>
        <v>8.4437635189100732E-2</v>
      </c>
      <c r="R299" s="67">
        <f t="shared" si="261"/>
        <v>8.3772894493369068E-2</v>
      </c>
      <c r="S299" s="67">
        <f t="shared" si="261"/>
        <v>8.328296558993431E-2</v>
      </c>
      <c r="T299" s="67">
        <f t="shared" si="261"/>
        <v>8.2921315827557046E-2</v>
      </c>
      <c r="U299" s="67">
        <f t="shared" si="261"/>
        <v>8.2651399497073813E-2</v>
      </c>
      <c r="V299" s="67">
        <f t="shared" si="261"/>
        <v>8.2445824671406237E-2</v>
      </c>
      <c r="W299" s="67">
        <f t="shared" si="261"/>
        <v>8.2284746927365468E-2</v>
      </c>
      <c r="X299" s="67">
        <f t="shared" si="261"/>
        <v>8.2154135298475484E-2</v>
      </c>
      <c r="Y299" s="67">
        <f t="shared" si="261"/>
        <v>8.2044237499551198E-2</v>
      </c>
      <c r="Z299" s="67">
        <f t="shared" si="261"/>
        <v>8.1948355103850817E-2</v>
      </c>
      <c r="AA299" s="67">
        <f t="shared" si="261"/>
        <v>8.1861924556407784E-2</v>
      </c>
      <c r="AB299" s="67">
        <f t="shared" si="261"/>
        <v>8.178185396039625E-2</v>
      </c>
      <c r="AC299" s="67">
        <f t="shared" si="261"/>
        <v>8.1706056355476092E-2</v>
      </c>
    </row>
    <row r="301" spans="1:29" x14ac:dyDescent="0.25">
      <c r="B301" s="40"/>
    </row>
    <row r="324" spans="1:44" s="3" customFormat="1" ht="21" x14ac:dyDescent="0.35">
      <c r="A324" s="2" t="str">
        <f>'Parameter Input'!A114</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Input'!$L$89</f>
        <v>400000</v>
      </c>
      <c r="C334" s="42">
        <f>'Parameter Input'!$M$89</f>
        <v>145000</v>
      </c>
      <c r="D334" s="1" t="s">
        <v>15</v>
      </c>
      <c r="L334" s="51">
        <f>'Parameter Input'!$O$89</f>
        <v>8</v>
      </c>
      <c r="M334" s="52">
        <v>0</v>
      </c>
      <c r="N334" s="52">
        <v>1</v>
      </c>
      <c r="O334" s="52">
        <f>'Parameter Input'!$P$89</f>
        <v>0.9</v>
      </c>
      <c r="P334" s="53">
        <f>'Parameter Input'!$Q$89</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Input'!$L$90</f>
        <v>-60000</v>
      </c>
      <c r="C335" s="61">
        <f>'Parameter Input'!$M$90</f>
        <v>-36250</v>
      </c>
      <c r="D335" s="1" t="s">
        <v>15</v>
      </c>
      <c r="L335" s="54">
        <f>'Parameter Input'!$O$90</f>
        <v>8</v>
      </c>
      <c r="M335" s="37">
        <v>0</v>
      </c>
      <c r="N335" s="37">
        <v>1</v>
      </c>
      <c r="O335" s="37">
        <f>'Parameter Input'!$P$90</f>
        <v>0.9</v>
      </c>
      <c r="P335" s="55">
        <f>'Parameter Input'!$Q$90</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Input'!$L$96</f>
        <v>0.06</v>
      </c>
      <c r="C338" s="46">
        <f>'Parameter Input'!$M$96</f>
        <v>0.06</v>
      </c>
      <c r="D338" s="1" t="s">
        <v>57</v>
      </c>
      <c r="L338" s="54">
        <f>'Parameter Input'!$O$96</f>
        <v>12</v>
      </c>
      <c r="M338" s="37">
        <v>0</v>
      </c>
      <c r="N338" s="37">
        <v>1</v>
      </c>
      <c r="O338" s="37">
        <f>'Parameter Input'!$P$96</f>
        <v>0.9</v>
      </c>
      <c r="P338" s="55">
        <f>'Parameter Input'!$Q$96</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Input'!$L$92</f>
        <v>15000</v>
      </c>
      <c r="C340" s="44">
        <f>'Parameter Input'!$M$92</f>
        <v>15000</v>
      </c>
      <c r="D340" s="1" t="s">
        <v>38</v>
      </c>
      <c r="L340" s="54">
        <f>'Parameter Input'!$O$92</f>
        <v>8</v>
      </c>
      <c r="M340" s="37">
        <v>0</v>
      </c>
      <c r="N340" s="37">
        <v>1</v>
      </c>
      <c r="O340" s="37">
        <f>'Parameter Input'!$P$92</f>
        <v>0.9</v>
      </c>
      <c r="P340" s="55">
        <f>'Parameter Input'!$Q$92</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Input'!$L$93</f>
        <v>1.52</v>
      </c>
      <c r="C342" s="48">
        <f>'Parameter Input'!$M$93</f>
        <v>1.1499999999999999</v>
      </c>
      <c r="D342" s="1" t="s">
        <v>60</v>
      </c>
      <c r="L342" s="54">
        <f>'Parameter Input'!$O$93</f>
        <v>8</v>
      </c>
      <c r="M342" s="37">
        <v>0</v>
      </c>
      <c r="N342" s="37">
        <v>1</v>
      </c>
      <c r="O342" s="37">
        <f>'Parameter Input'!$P$93</f>
        <v>0.9</v>
      </c>
      <c r="P342" s="55">
        <f>'Parameter Input'!$Q$93</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Input'!$L$94</f>
        <v>0.13371034051801745</v>
      </c>
      <c r="C343" s="46">
        <f>'Parameter Input'!$M$94</f>
        <v>8.7585019329602734E-2</v>
      </c>
      <c r="D343" s="1" t="s">
        <v>68</v>
      </c>
      <c r="L343" s="54">
        <f>'Parameter Input'!$O$94</f>
        <v>12</v>
      </c>
      <c r="M343" s="37">
        <v>0</v>
      </c>
      <c r="N343" s="37">
        <v>1</v>
      </c>
      <c r="O343" s="37">
        <f>'Parameter Input'!$P$94</f>
        <v>0.9</v>
      </c>
      <c r="P343" s="55">
        <f>'Parameter Input'!$Q$94</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Input'!$L$97</f>
        <v>0</v>
      </c>
      <c r="C344" s="116">
        <f>'Parameter Input'!$M$97</f>
        <v>0</v>
      </c>
      <c r="D344" s="1" t="s">
        <v>76</v>
      </c>
      <c r="L344" s="54">
        <f>'Parameter Input'!$O$97</f>
        <v>17</v>
      </c>
      <c r="M344" s="37">
        <v>0</v>
      </c>
      <c r="N344" s="37">
        <v>1</v>
      </c>
      <c r="O344" s="37">
        <f>'Parameter Input'!$P$97</f>
        <v>0.9</v>
      </c>
      <c r="P344" s="55">
        <f>'Parameter Input'!$Q$97</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Input'!$L$91</f>
        <v>8</v>
      </c>
      <c r="C345" s="44">
        <f>'Parameter Input'!$M$91</f>
        <v>8</v>
      </c>
      <c r="D345" s="1" t="s">
        <v>42</v>
      </c>
      <c r="L345" s="54">
        <f>'Parameter Input'!$O$91</f>
        <v>8</v>
      </c>
      <c r="M345" s="37">
        <v>0</v>
      </c>
      <c r="N345" s="37">
        <v>1</v>
      </c>
      <c r="O345" s="37">
        <f>'Parameter Input'!$P$91</f>
        <v>0.9</v>
      </c>
      <c r="P345" s="55">
        <f>'Parameter Input'!$Q$91</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Input'!$L$95</f>
        <v>0.1</v>
      </c>
      <c r="C349" s="73">
        <f>'Parameter Input'!$M$95</f>
        <v>0.05</v>
      </c>
      <c r="D349" s="1" t="s">
        <v>57</v>
      </c>
      <c r="L349" s="54">
        <f>'Parameter Input'!$O$95</f>
        <v>12</v>
      </c>
      <c r="M349" s="37">
        <v>0</v>
      </c>
      <c r="N349" s="37">
        <v>1</v>
      </c>
      <c r="O349" s="37">
        <f>'Parameter Input'!$P$95</f>
        <v>0.9</v>
      </c>
      <c r="P349" s="55">
        <f>'Parameter Input'!$Q$95</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2" si="268">$B334+($C334-$B334)*(1-Q334)</f>
        <v>386191.20724655397</v>
      </c>
      <c r="C354" s="62">
        <f t="shared" ref="C354:C362" si="269">$B334+($C334-$B334)*(1-R334)</f>
        <v>380544.41838286084</v>
      </c>
      <c r="D354" s="62">
        <f t="shared" ref="D354:D362" si="270">$B334+($C334-$B334)*(1-S334)</f>
        <v>372802.88209752907</v>
      </c>
      <c r="E354" s="62">
        <f t="shared" ref="E354:E362" si="271">$B334+($C334-$B334)*(1-T334)</f>
        <v>362399.08687953383</v>
      </c>
      <c r="F354" s="62">
        <f t="shared" ref="F354:F362" si="272">$B334+($C334-$B334)*(1-U334)</f>
        <v>348799.3166641909</v>
      </c>
      <c r="G354" s="62">
        <f t="shared" ref="G354:G362" si="273">$B334+($C334-$B334)*(1-V334)</f>
        <v>331672.70473748312</v>
      </c>
      <c r="H354" s="62">
        <f t="shared" ref="H354:H362" si="274">$B334+($C334-$B334)*(1-W334)</f>
        <v>311121.26204490603</v>
      </c>
      <c r="I354" s="62">
        <f t="shared" ref="I354:I362" si="275">$B334+($C334-$B334)*(1-X334)</f>
        <v>287882.23209616641</v>
      </c>
      <c r="J354" s="62">
        <f t="shared" ref="J354:J362" si="276">$B334+($C334-$B334)*(1-Y334)</f>
        <v>263348.88352662267</v>
      </c>
      <c r="K354" s="62">
        <f t="shared" ref="K354:K362" si="277">$B334+($C334-$B334)*(1-Z334)</f>
        <v>239298.30536858604</v>
      </c>
      <c r="L354" s="62">
        <f t="shared" ref="L354:L362" si="278">$B334+($C334-$B334)*(1-AA334)</f>
        <v>217404.56902493956</v>
      </c>
      <c r="M354" s="62">
        <f t="shared" ref="M354:M362" si="279">$B334+($C334-$B334)*(1-AB334)</f>
        <v>198798.01086085022</v>
      </c>
      <c r="N354" s="62">
        <f t="shared" ref="N354:N362" si="280">$B334+($C334-$B334)*(1-AC334)</f>
        <v>183897.4900171854</v>
      </c>
      <c r="O354" s="62">
        <f t="shared" ref="O354:O362" si="281">$B334+($C334-$B334)*(1-AD334)</f>
        <v>172527.73128116049</v>
      </c>
      <c r="P354" s="62">
        <f t="shared" ref="P354:P362" si="282">$B334+($C334-$B334)*(1-AE334)</f>
        <v>164170.0467542134</v>
      </c>
      <c r="Q354" s="62">
        <f t="shared" ref="Q354:Q362" si="283">$B334+($C334-$B334)*(1-AF334)</f>
        <v>158194.42322526305</v>
      </c>
      <c r="R354" s="62">
        <f t="shared" ref="R354:R362" si="284">$B334+($C334-$B334)*(1-AG334)</f>
        <v>154006.39360946321</v>
      </c>
      <c r="S354" s="62">
        <f t="shared" ref="S354:S362" si="285">$B334+($C334-$B334)*(1-AH334)</f>
        <v>151112.20772852784</v>
      </c>
      <c r="T354" s="62">
        <f t="shared" ref="T354:T362" si="286">$B334+($C334-$B334)*(1-AI334)</f>
        <v>149131.57210738939</v>
      </c>
      <c r="U354" s="62">
        <f t="shared" ref="U354:U362" si="287">$B334+($C334-$B334)*(1-AJ334)</f>
        <v>147785.17134384764</v>
      </c>
      <c r="V354" s="62">
        <f t="shared" ref="V354:V362" si="288">$B334+($C334-$B334)*(1-AK334)</f>
        <v>146874.0769291053</v>
      </c>
      <c r="W354" s="62">
        <f t="shared" ref="W354:W362" si="289">$B334+($C334-$B334)*(1-AL334)</f>
        <v>146259.45168571896</v>
      </c>
      <c r="X354" s="62">
        <f t="shared" ref="X354:X362" si="290">$B334+($C334-$B334)*(1-AM334)</f>
        <v>145845.68902507037</v>
      </c>
      <c r="Y354" s="62">
        <f t="shared" ref="Y354:Y362" si="291">$B334+($C334-$B334)*(1-AN334)</f>
        <v>145567.53723474033</v>
      </c>
      <c r="Z354" s="62">
        <f t="shared" ref="Z354:Z362" si="292">$B334+($C334-$B334)*(1-AO334)</f>
        <v>145380.72644197271</v>
      </c>
      <c r="AA354" s="62">
        <f t="shared" ref="AA354:AA362" si="293">$B334+($C334-$B334)*(1-AP334)</f>
        <v>145255.34122836409</v>
      </c>
      <c r="AB354" s="62">
        <f t="shared" ref="AB354:AB362" si="294">$B334+($C334-$B334)*(1-AQ334)</f>
        <v>145171.22000562795</v>
      </c>
      <c r="AC354" s="62">
        <f t="shared" ref="AC354:AC362"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296">A344</f>
        <v>Emission Cost</v>
      </c>
      <c r="B364" s="66">
        <f>$B344+($C344-$B344)*(1-Q344)</f>
        <v>0</v>
      </c>
      <c r="C364" s="66">
        <f t="shared" ref="C364" si="297">$B344+($C344-$B344)*(1-R344)</f>
        <v>0</v>
      </c>
      <c r="D364" s="66">
        <f t="shared" ref="D364" si="298">$B344+($C344-$B344)*(1-S344)</f>
        <v>0</v>
      </c>
      <c r="E364" s="66">
        <f t="shared" ref="E364" si="299">$B344+($C344-$B344)*(1-T344)</f>
        <v>0</v>
      </c>
      <c r="F364" s="66">
        <f t="shared" ref="F364" si="300">$B344+($C344-$B344)*(1-U344)</f>
        <v>0</v>
      </c>
      <c r="G364" s="66">
        <f t="shared" ref="G364" si="301">$B344+($C344-$B344)*(1-V344)</f>
        <v>0</v>
      </c>
      <c r="H364" s="66">
        <f t="shared" ref="H364" si="302">$B344+($C344-$B344)*(1-W344)</f>
        <v>0</v>
      </c>
      <c r="I364" s="66">
        <f t="shared" ref="I364" si="303">$B344+($C344-$B344)*(1-X344)</f>
        <v>0</v>
      </c>
      <c r="J364" s="66">
        <f t="shared" ref="J364" si="304">$B344+($C344-$B344)*(1-Y344)</f>
        <v>0</v>
      </c>
      <c r="K364" s="66">
        <f t="shared" ref="K364" si="305">$B344+($C344-$B344)*(1-Z344)</f>
        <v>0</v>
      </c>
      <c r="L364" s="66">
        <f t="shared" ref="L364" si="306">$B344+($C344-$B344)*(1-AA344)</f>
        <v>0</v>
      </c>
      <c r="M364" s="66">
        <f t="shared" ref="M364" si="307">$B344+($C344-$B344)*(1-AB344)</f>
        <v>0</v>
      </c>
      <c r="N364" s="66">
        <f t="shared" ref="N364" si="308">$B344+($C344-$B344)*(1-AC344)</f>
        <v>0</v>
      </c>
      <c r="O364" s="66">
        <f t="shared" ref="O364" si="309">$B344+($C344-$B344)*(1-AD344)</f>
        <v>0</v>
      </c>
      <c r="P364" s="66">
        <f t="shared" ref="P364" si="310">$B344+($C344-$B344)*(1-AE344)</f>
        <v>0</v>
      </c>
      <c r="Q364" s="66">
        <f t="shared" ref="Q364" si="311">$B344+($C344-$B344)*(1-AF344)</f>
        <v>0</v>
      </c>
      <c r="R364" s="66">
        <f t="shared" ref="R364" si="312">$B344+($C344-$B344)*(1-AG344)</f>
        <v>0</v>
      </c>
      <c r="S364" s="66">
        <f t="shared" ref="S364" si="313">$B344+($C344-$B344)*(1-AH344)</f>
        <v>0</v>
      </c>
      <c r="T364" s="66">
        <f t="shared" ref="T364" si="314">$B344+($C344-$B344)*(1-AI344)</f>
        <v>0</v>
      </c>
      <c r="U364" s="66">
        <f t="shared" ref="U364" si="315">$B344+($C344-$B344)*(1-AJ344)</f>
        <v>0</v>
      </c>
      <c r="V364" s="66">
        <f t="shared" ref="V364" si="316">$B344+($C344-$B344)*(1-AK344)</f>
        <v>0</v>
      </c>
      <c r="W364" s="66">
        <f t="shared" ref="W364" si="317">$B344+($C344-$B344)*(1-AL344)</f>
        <v>0</v>
      </c>
      <c r="X364" s="66">
        <f t="shared" ref="X364" si="318">$B344+($C344-$B344)*(1-AM344)</f>
        <v>0</v>
      </c>
      <c r="Y364" s="66">
        <f t="shared" ref="Y364" si="319">$B344+($C344-$B344)*(1-AN344)</f>
        <v>0</v>
      </c>
      <c r="Z364" s="66">
        <f t="shared" ref="Z364" si="320">$B344+($C344-$B344)*(1-AO344)</f>
        <v>0</v>
      </c>
      <c r="AA364" s="66">
        <f t="shared" ref="AA364" si="321">$B344+($C344-$B344)*(1-AP344)</f>
        <v>0</v>
      </c>
      <c r="AB364" s="66">
        <f t="shared" ref="AB364" si="322">$B344+($C344-$B344)*(1-AQ344)</f>
        <v>0</v>
      </c>
      <c r="AC364" s="66">
        <f t="shared" ref="AC364" si="323">$B344+($C344-$B344)*(1-AR344)</f>
        <v>0</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9476.7702557311295</v>
      </c>
      <c r="C380" s="62">
        <f t="shared" ref="C380:AC380" si="338">C362*C363*C370</f>
        <v>9425.0044840176452</v>
      </c>
      <c r="D380" s="62">
        <f t="shared" si="338"/>
        <v>9354.0355475598262</v>
      </c>
      <c r="E380" s="62">
        <f t="shared" si="338"/>
        <v>9258.6609016843013</v>
      </c>
      <c r="F380" s="62">
        <f t="shared" si="338"/>
        <v>9133.9878144984486</v>
      </c>
      <c r="G380" s="62">
        <f t="shared" si="338"/>
        <v>8976.9831336746684</v>
      </c>
      <c r="H380" s="62">
        <f t="shared" si="338"/>
        <v>8788.5820235061983</v>
      </c>
      <c r="I380" s="62">
        <f t="shared" si="338"/>
        <v>8575.5430117407486</v>
      </c>
      <c r="J380" s="62">
        <f t="shared" si="338"/>
        <v>8563.7001515911234</v>
      </c>
      <c r="K380" s="62">
        <f t="shared" si="338"/>
        <v>8545.0322245498028</v>
      </c>
      <c r="L380" s="62">
        <f t="shared" si="338"/>
        <v>8536.3993778266595</v>
      </c>
      <c r="M380" s="62">
        <f t="shared" si="338"/>
        <v>8550.7347136031713</v>
      </c>
      <c r="N380" s="62">
        <f t="shared" si="338"/>
        <v>8594.6744815945622</v>
      </c>
      <c r="O380" s="62">
        <f t="shared" si="338"/>
        <v>8396.7076598836265</v>
      </c>
      <c r="P380" s="62">
        <f t="shared" si="338"/>
        <v>8231.5155459725302</v>
      </c>
      <c r="Q380" s="62">
        <f t="shared" si="338"/>
        <v>8091.8848871527971</v>
      </c>
      <c r="R380" s="62">
        <f t="shared" si="338"/>
        <v>7971.2030995587429</v>
      </c>
      <c r="S380" s="62">
        <f t="shared" si="338"/>
        <v>7864.0825297036081</v>
      </c>
      <c r="T380" s="62">
        <f t="shared" si="338"/>
        <v>7766.4352506822115</v>
      </c>
      <c r="U380" s="62">
        <f t="shared" si="338"/>
        <v>7675.2969984223173</v>
      </c>
      <c r="V380" s="62">
        <f t="shared" si="338"/>
        <v>7588.5809600007924</v>
      </c>
      <c r="W380" s="62">
        <f t="shared" si="338"/>
        <v>7504.8464750003113</v>
      </c>
      <c r="X380" s="62">
        <f t="shared" si="338"/>
        <v>7423.1118170616346</v>
      </c>
      <c r="Y380" s="62">
        <f t="shared" si="338"/>
        <v>7342.7137910280135</v>
      </c>
      <c r="Z380" s="62">
        <f t="shared" si="338"/>
        <v>7263.2069913052173</v>
      </c>
      <c r="AA380" s="62">
        <f t="shared" si="338"/>
        <v>7184.2934565825653</v>
      </c>
      <c r="AB380" s="62">
        <f t="shared" si="338"/>
        <v>7105.7743919137756</v>
      </c>
      <c r="AC380" s="62">
        <f t="shared" si="338"/>
        <v>7027.5174057366976</v>
      </c>
    </row>
    <row r="381" spans="1:29" ht="15.75" thickBot="1" x14ac:dyDescent="0.3">
      <c r="A381" s="59" t="str">
        <f>A344</f>
        <v>Emission Cost</v>
      </c>
      <c r="B381" s="62">
        <f>B364*B370</f>
        <v>0</v>
      </c>
      <c r="C381" s="62">
        <f t="shared" ref="C381:AC381" si="339">C364*C370</f>
        <v>0</v>
      </c>
      <c r="D381" s="62">
        <f t="shared" si="339"/>
        <v>0</v>
      </c>
      <c r="E381" s="62">
        <f t="shared" si="339"/>
        <v>0</v>
      </c>
      <c r="F381" s="62">
        <f t="shared" si="339"/>
        <v>0</v>
      </c>
      <c r="G381" s="62">
        <f t="shared" si="339"/>
        <v>0</v>
      </c>
      <c r="H381" s="62">
        <f t="shared" si="339"/>
        <v>0</v>
      </c>
      <c r="I381" s="62">
        <f t="shared" si="339"/>
        <v>0</v>
      </c>
      <c r="J381" s="62">
        <f t="shared" si="339"/>
        <v>0</v>
      </c>
      <c r="K381" s="62">
        <f t="shared" si="339"/>
        <v>0</v>
      </c>
      <c r="L381" s="62">
        <f t="shared" si="339"/>
        <v>0</v>
      </c>
      <c r="M381" s="62">
        <f t="shared" si="339"/>
        <v>0</v>
      </c>
      <c r="N381" s="62">
        <f t="shared" si="339"/>
        <v>0</v>
      </c>
      <c r="O381" s="62">
        <f t="shared" si="339"/>
        <v>0</v>
      </c>
      <c r="P381" s="62">
        <f t="shared" si="339"/>
        <v>0</v>
      </c>
      <c r="Q381" s="62">
        <f t="shared" si="339"/>
        <v>0</v>
      </c>
      <c r="R381" s="62">
        <f t="shared" si="339"/>
        <v>0</v>
      </c>
      <c r="S381" s="62">
        <f t="shared" si="339"/>
        <v>0</v>
      </c>
      <c r="T381" s="62">
        <f t="shared" si="339"/>
        <v>0</v>
      </c>
      <c r="U381" s="62">
        <f t="shared" si="339"/>
        <v>0</v>
      </c>
      <c r="V381" s="62">
        <f t="shared" si="339"/>
        <v>0</v>
      </c>
      <c r="W381" s="62">
        <f t="shared" si="339"/>
        <v>0</v>
      </c>
      <c r="X381" s="62">
        <f t="shared" si="339"/>
        <v>0</v>
      </c>
      <c r="Y381" s="62">
        <f t="shared" si="339"/>
        <v>0</v>
      </c>
      <c r="Z381" s="62">
        <f t="shared" si="339"/>
        <v>0</v>
      </c>
      <c r="AA381" s="62">
        <f t="shared" si="339"/>
        <v>0</v>
      </c>
      <c r="AB381" s="62">
        <f t="shared" si="339"/>
        <v>0</v>
      </c>
      <c r="AC381" s="62">
        <f t="shared" si="339"/>
        <v>0</v>
      </c>
    </row>
    <row r="382" spans="1:29" ht="15.75" thickBot="1" x14ac:dyDescent="0.3">
      <c r="A382" s="31" t="s">
        <v>209</v>
      </c>
      <c r="B382" s="64">
        <f>B373+B374+B375+B376+B377+B378+B379+B380+B381</f>
        <v>159868.42797227262</v>
      </c>
      <c r="C382" s="64">
        <f t="shared" ref="C382:AC382" si="340">C373+C374+C375+C376+C377+C378+C379+C380+C381</f>
        <v>158992.01928876521</v>
      </c>
      <c r="D382" s="64">
        <f t="shared" si="340"/>
        <v>157790.49577019061</v>
      </c>
      <c r="E382" s="64">
        <f t="shared" si="340"/>
        <v>156175.7769112814</v>
      </c>
      <c r="F382" s="64">
        <f t="shared" si="340"/>
        <v>154065.0274219448</v>
      </c>
      <c r="G382" s="64">
        <f t="shared" si="340"/>
        <v>151406.89520309441</v>
      </c>
      <c r="H382" s="64">
        <f t="shared" si="340"/>
        <v>148217.21284217126</v>
      </c>
      <c r="I382" s="64">
        <f t="shared" si="340"/>
        <v>144610.40406376697</v>
      </c>
      <c r="J382" s="64">
        <f t="shared" si="340"/>
        <v>141015.77238526367</v>
      </c>
      <c r="K382" s="64">
        <f t="shared" si="340"/>
        <v>137484.81822239535</v>
      </c>
      <c r="L382" s="64">
        <f t="shared" si="340"/>
        <v>134278.87891986384</v>
      </c>
      <c r="M382" s="64">
        <f t="shared" si="340"/>
        <v>131575.95907339817</v>
      </c>
      <c r="N382" s="64">
        <f t="shared" si="340"/>
        <v>129443.86407324535</v>
      </c>
      <c r="O382" s="64">
        <f t="shared" si="340"/>
        <v>127585.48614412535</v>
      </c>
      <c r="P382" s="64">
        <f t="shared" si="340"/>
        <v>126199.75870110528</v>
      </c>
      <c r="Q382" s="64">
        <f t="shared" si="340"/>
        <v>125187.46293904756</v>
      </c>
      <c r="R382" s="64">
        <f t="shared" si="340"/>
        <v>124455.17178896113</v>
      </c>
      <c r="S382" s="64">
        <f t="shared" si="340"/>
        <v>123925.39155717444</v>
      </c>
      <c r="T382" s="64">
        <f t="shared" si="340"/>
        <v>123538.49720955447</v>
      </c>
      <c r="U382" s="64">
        <f t="shared" si="340"/>
        <v>123250.73395981548</v>
      </c>
      <c r="V382" s="64">
        <f t="shared" si="340"/>
        <v>123030.96397352581</v>
      </c>
      <c r="W382" s="64">
        <f t="shared" si="340"/>
        <v>122857.47115638244</v>
      </c>
      <c r="X382" s="64">
        <f t="shared" si="340"/>
        <v>122715.31163512671</v>
      </c>
      <c r="Y382" s="64">
        <f t="shared" si="340"/>
        <v>122594.29301784463</v>
      </c>
      <c r="Z382" s="64">
        <f t="shared" si="340"/>
        <v>122487.50483753171</v>
      </c>
      <c r="AA382" s="64">
        <f t="shared" si="340"/>
        <v>122390.28036005169</v>
      </c>
      <c r="AB382" s="64">
        <f t="shared" si="340"/>
        <v>122299.47644256914</v>
      </c>
      <c r="AC382" s="64">
        <f t="shared" si="340"/>
        <v>122212.97987769867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0.1214970545606555</v>
      </c>
      <c r="C392" s="66">
        <f t="shared" ref="C392:AC392" si="349">C362*C363*C370/C370</f>
        <v>0.12083339082073905</v>
      </c>
      <c r="D392" s="66">
        <f t="shared" si="349"/>
        <v>0.11992353266102342</v>
      </c>
      <c r="E392" s="66">
        <f t="shared" si="349"/>
        <v>0.11870078079082437</v>
      </c>
      <c r="F392" s="66">
        <f t="shared" si="349"/>
        <v>0.11710240787818524</v>
      </c>
      <c r="G392" s="66">
        <f t="shared" si="349"/>
        <v>0.11508952735480343</v>
      </c>
      <c r="H392" s="66">
        <f t="shared" si="349"/>
        <v>0.11267412850648972</v>
      </c>
      <c r="I392" s="66">
        <f t="shared" si="349"/>
        <v>0.10994285912488139</v>
      </c>
      <c r="J392" s="66">
        <f t="shared" si="349"/>
        <v>0.10979102758450159</v>
      </c>
      <c r="K392" s="66">
        <f t="shared" si="349"/>
        <v>0.10955169518653593</v>
      </c>
      <c r="L392" s="66">
        <f t="shared" si="349"/>
        <v>0.10944101766444435</v>
      </c>
      <c r="M392" s="66">
        <f t="shared" si="349"/>
        <v>0.10962480402055348</v>
      </c>
      <c r="N392" s="66">
        <f t="shared" si="349"/>
        <v>0.11018813437941746</v>
      </c>
      <c r="O392" s="66">
        <f t="shared" si="349"/>
        <v>0.10765009820363623</v>
      </c>
      <c r="P392" s="66">
        <f t="shared" si="349"/>
        <v>0.10553225058939142</v>
      </c>
      <c r="Q392" s="66">
        <f t="shared" si="349"/>
        <v>0.10374211393785637</v>
      </c>
      <c r="R392" s="66">
        <f t="shared" si="349"/>
        <v>0.1021949115328044</v>
      </c>
      <c r="S392" s="66">
        <f t="shared" si="349"/>
        <v>0.100821570893636</v>
      </c>
      <c r="T392" s="66">
        <f t="shared" si="349"/>
        <v>9.9569682701053999E-2</v>
      </c>
      <c r="U392" s="66">
        <f t="shared" si="349"/>
        <v>9.8401243569516891E-2</v>
      </c>
      <c r="V392" s="66">
        <f t="shared" si="349"/>
        <v>9.7289499487189651E-2</v>
      </c>
      <c r="W392" s="66">
        <f t="shared" si="349"/>
        <v>9.6215980448721941E-2</v>
      </c>
      <c r="X392" s="66">
        <f t="shared" si="349"/>
        <v>9.5168100218738907E-2</v>
      </c>
      <c r="Y392" s="66">
        <f t="shared" si="349"/>
        <v>9.4137356295230942E-2</v>
      </c>
      <c r="Z392" s="66">
        <f t="shared" si="349"/>
        <v>9.3118038350066892E-2</v>
      </c>
      <c r="AA392" s="66">
        <f t="shared" si="349"/>
        <v>9.2106326366443142E-2</v>
      </c>
      <c r="AB392" s="66">
        <f t="shared" si="349"/>
        <v>9.1099671691202255E-2</v>
      </c>
      <c r="AC392" s="66">
        <f t="shared" si="349"/>
        <v>9.0096376996624331E-2</v>
      </c>
    </row>
    <row r="393" spans="1:29" ht="15.75" thickBot="1" x14ac:dyDescent="0.3">
      <c r="A393" s="59" t="str">
        <f t="shared" ref="A393" si="350">A381</f>
        <v>Emission Cost</v>
      </c>
      <c r="B393" s="66">
        <f>B364</f>
        <v>0</v>
      </c>
      <c r="C393" s="66">
        <f t="shared" ref="C393:AC393" si="351">C364</f>
        <v>0</v>
      </c>
      <c r="D393" s="66">
        <f t="shared" si="351"/>
        <v>0</v>
      </c>
      <c r="E393" s="66">
        <f t="shared" si="351"/>
        <v>0</v>
      </c>
      <c r="F393" s="66">
        <f t="shared" si="351"/>
        <v>0</v>
      </c>
      <c r="G393" s="66">
        <f t="shared" si="351"/>
        <v>0</v>
      </c>
      <c r="H393" s="66">
        <f t="shared" si="351"/>
        <v>0</v>
      </c>
      <c r="I393" s="66">
        <f t="shared" si="351"/>
        <v>0</v>
      </c>
      <c r="J393" s="66">
        <f t="shared" si="351"/>
        <v>0</v>
      </c>
      <c r="K393" s="66">
        <f t="shared" si="351"/>
        <v>0</v>
      </c>
      <c r="L393" s="66">
        <f t="shared" si="351"/>
        <v>0</v>
      </c>
      <c r="M393" s="66">
        <f t="shared" si="351"/>
        <v>0</v>
      </c>
      <c r="N393" s="66">
        <f t="shared" si="351"/>
        <v>0</v>
      </c>
      <c r="O393" s="66">
        <f t="shared" si="351"/>
        <v>0</v>
      </c>
      <c r="P393" s="66">
        <f t="shared" si="351"/>
        <v>0</v>
      </c>
      <c r="Q393" s="66">
        <f t="shared" si="351"/>
        <v>0</v>
      </c>
      <c r="R393" s="66">
        <f t="shared" si="351"/>
        <v>0</v>
      </c>
      <c r="S393" s="66">
        <f t="shared" si="351"/>
        <v>0</v>
      </c>
      <c r="T393" s="66">
        <f t="shared" si="351"/>
        <v>0</v>
      </c>
      <c r="U393" s="66">
        <f t="shared" si="351"/>
        <v>0</v>
      </c>
      <c r="V393" s="66">
        <f t="shared" si="351"/>
        <v>0</v>
      </c>
      <c r="W393" s="66">
        <f t="shared" si="351"/>
        <v>0</v>
      </c>
      <c r="X393" s="66">
        <f t="shared" si="351"/>
        <v>0</v>
      </c>
      <c r="Y393" s="66">
        <f t="shared" si="351"/>
        <v>0</v>
      </c>
      <c r="Z393" s="66">
        <f t="shared" si="351"/>
        <v>0</v>
      </c>
      <c r="AA393" s="66">
        <f t="shared" si="351"/>
        <v>0</v>
      </c>
      <c r="AB393" s="66">
        <f t="shared" si="351"/>
        <v>0</v>
      </c>
      <c r="AC393" s="66">
        <f t="shared" si="351"/>
        <v>0</v>
      </c>
    </row>
    <row r="394" spans="1:29" ht="15.75" thickBot="1" x14ac:dyDescent="0.3">
      <c r="A394" s="31" t="s">
        <v>63</v>
      </c>
      <c r="B394" s="76">
        <f>B385+B386+B387-B388+B389+B390+B391+B392+B393</f>
        <v>2.0844331684189781</v>
      </c>
      <c r="C394" s="76">
        <f t="shared" ref="C394:AC394" si="352">C385+C386+C387-C388+C389+C390+C391+C392+C393</f>
        <v>2.073197159656063</v>
      </c>
      <c r="D394" s="76">
        <f t="shared" si="352"/>
        <v>2.0577930119820294</v>
      </c>
      <c r="E394" s="76">
        <f t="shared" si="352"/>
        <v>2.0370914881498603</v>
      </c>
      <c r="F394" s="76">
        <f t="shared" si="352"/>
        <v>2.0100305972609291</v>
      </c>
      <c r="G394" s="76">
        <f t="shared" si="352"/>
        <v>1.9759519790705398</v>
      </c>
      <c r="H394" s="76">
        <f t="shared" si="352"/>
        <v>1.9350586154689609</v>
      </c>
      <c r="I394" s="76">
        <f t="shared" si="352"/>
        <v>1.8888174772842903</v>
      </c>
      <c r="J394" s="76">
        <f t="shared" si="352"/>
        <v>1.8427324557650173</v>
      </c>
      <c r="K394" s="76">
        <f t="shared" si="352"/>
        <v>1.7974638126513212</v>
      </c>
      <c r="L394" s="76">
        <f t="shared" si="352"/>
        <v>1.7563620267214295</v>
      </c>
      <c r="M394" s="76">
        <f t="shared" si="352"/>
        <v>1.721709208176998</v>
      </c>
      <c r="N394" s="76">
        <f t="shared" si="352"/>
        <v>1.6943746568929878</v>
      </c>
      <c r="O394" s="76">
        <f t="shared" si="352"/>
        <v>1.6705492988273465</v>
      </c>
      <c r="P394" s="76">
        <f t="shared" si="352"/>
        <v>1.6527835623783711</v>
      </c>
      <c r="Q394" s="76">
        <f t="shared" si="352"/>
        <v>1.6398054115827594</v>
      </c>
      <c r="R394" s="76">
        <f t="shared" si="352"/>
        <v>1.6304170635047284</v>
      </c>
      <c r="S394" s="76">
        <f t="shared" si="352"/>
        <v>1.6236250092510529</v>
      </c>
      <c r="T394" s="76">
        <f t="shared" si="352"/>
        <v>1.6186648253072071</v>
      </c>
      <c r="U394" s="76">
        <f t="shared" si="352"/>
        <v>1.6149755528746561</v>
      </c>
      <c r="V394" s="76">
        <f t="shared" si="352"/>
        <v>1.612157988947865</v>
      </c>
      <c r="W394" s="76">
        <f t="shared" si="352"/>
        <v>1.6099337220614116</v>
      </c>
      <c r="X394" s="76">
        <f t="shared" si="352"/>
        <v>1.6081111640965948</v>
      </c>
      <c r="Y394" s="76">
        <f t="shared" si="352"/>
        <v>1.6065596433622091</v>
      </c>
      <c r="Z394" s="76">
        <f t="shared" si="352"/>
        <v>1.6051905641274282</v>
      </c>
      <c r="AA394" s="76">
        <f t="shared" si="352"/>
        <v>1.6039440964674279</v>
      </c>
      <c r="AB394" s="76">
        <f t="shared" si="352"/>
        <v>1.6027799436791901</v>
      </c>
      <c r="AC394" s="76">
        <f t="shared" si="352"/>
        <v>1.601671013360338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4.8598821824262202E-3</v>
      </c>
      <c r="C404" s="66">
        <f t="shared" ref="C404:AC404" si="361">C362*C363*C370/C370/(C367)</f>
        <v>4.8333356328295616E-3</v>
      </c>
      <c r="D404" s="66">
        <f t="shared" si="361"/>
        <v>4.7969413064409367E-3</v>
      </c>
      <c r="E404" s="66">
        <f t="shared" si="361"/>
        <v>4.7480312316329747E-3</v>
      </c>
      <c r="F404" s="66">
        <f t="shared" si="361"/>
        <v>4.6840963151274098E-3</v>
      </c>
      <c r="G404" s="66">
        <f t="shared" si="361"/>
        <v>4.6035810941921374E-3</v>
      </c>
      <c r="H404" s="66">
        <f t="shared" si="361"/>
        <v>4.5069651402595886E-3</v>
      </c>
      <c r="I404" s="66">
        <f t="shared" si="361"/>
        <v>4.3977143649952559E-3</v>
      </c>
      <c r="J404" s="66">
        <f t="shared" si="361"/>
        <v>4.3916411033800631E-3</v>
      </c>
      <c r="K404" s="66">
        <f t="shared" si="361"/>
        <v>4.382067807461437E-3</v>
      </c>
      <c r="L404" s="66">
        <f t="shared" si="361"/>
        <v>4.3776407065777741E-3</v>
      </c>
      <c r="M404" s="66">
        <f t="shared" si="361"/>
        <v>4.3849921608221393E-3</v>
      </c>
      <c r="N404" s="66">
        <f t="shared" si="361"/>
        <v>4.4075253751766985E-3</v>
      </c>
      <c r="O404" s="66">
        <f t="shared" si="361"/>
        <v>4.3060039281454495E-3</v>
      </c>
      <c r="P404" s="66">
        <f t="shared" si="361"/>
        <v>4.221290023575657E-3</v>
      </c>
      <c r="Q404" s="66">
        <f t="shared" si="361"/>
        <v>4.1496845575142551E-3</v>
      </c>
      <c r="R404" s="66">
        <f t="shared" si="361"/>
        <v>4.0877964613121763E-3</v>
      </c>
      <c r="S404" s="66">
        <f t="shared" si="361"/>
        <v>4.0328628357454398E-3</v>
      </c>
      <c r="T404" s="66">
        <f t="shared" si="361"/>
        <v>3.9827873080421601E-3</v>
      </c>
      <c r="U404" s="66">
        <f t="shared" si="361"/>
        <v>3.936049742780676E-3</v>
      </c>
      <c r="V404" s="66">
        <f t="shared" si="361"/>
        <v>3.8915799794875861E-3</v>
      </c>
      <c r="W404" s="66">
        <f t="shared" si="361"/>
        <v>3.8486392179488777E-3</v>
      </c>
      <c r="X404" s="66">
        <f t="shared" si="361"/>
        <v>3.8067240087495562E-3</v>
      </c>
      <c r="Y404" s="66">
        <f t="shared" si="361"/>
        <v>3.7654942518092378E-3</v>
      </c>
      <c r="Z404" s="66">
        <f t="shared" si="361"/>
        <v>3.7247215340026757E-3</v>
      </c>
      <c r="AA404" s="66">
        <f t="shared" si="361"/>
        <v>3.6842530546577256E-3</v>
      </c>
      <c r="AB404" s="66">
        <f t="shared" si="361"/>
        <v>3.6439868676480902E-3</v>
      </c>
      <c r="AC404" s="66">
        <f t="shared" si="361"/>
        <v>3.6038550798649731E-3</v>
      </c>
    </row>
    <row r="405" spans="1:29" x14ac:dyDescent="0.25">
      <c r="A405" s="59" t="str">
        <f>A368</f>
        <v>Market failure (av. utilization)</v>
      </c>
      <c r="B405" s="66">
        <f t="shared" ref="B405:AC405" si="362">B394/B368-B394/B367</f>
        <v>5.2563966855782907E-2</v>
      </c>
      <c r="C405" s="66">
        <f t="shared" si="362"/>
        <v>5.228062402610939E-2</v>
      </c>
      <c r="D405" s="66">
        <f t="shared" si="362"/>
        <v>5.1892171606503334E-2</v>
      </c>
      <c r="E405" s="66">
        <f t="shared" si="362"/>
        <v>5.1370133179431246E-2</v>
      </c>
      <c r="F405" s="66">
        <f t="shared" si="362"/>
        <v>5.0687728104840818E-2</v>
      </c>
      <c r="G405" s="66">
        <f t="shared" si="362"/>
        <v>4.982835425482228E-2</v>
      </c>
      <c r="H405" s="66">
        <f t="shared" si="362"/>
        <v>4.8797130303130307E-2</v>
      </c>
      <c r="I405" s="66">
        <f t="shared" si="362"/>
        <v>4.7631049427169045E-2</v>
      </c>
      <c r="J405" s="66">
        <f t="shared" si="362"/>
        <v>4.6468905406248234E-2</v>
      </c>
      <c r="K405" s="66">
        <f t="shared" si="362"/>
        <v>4.5327348319033303E-2</v>
      </c>
      <c r="L405" s="66">
        <f t="shared" si="362"/>
        <v>4.429086849993169E-2</v>
      </c>
      <c r="M405" s="66">
        <f t="shared" si="362"/>
        <v>4.3417014814898194E-2</v>
      </c>
      <c r="N405" s="66">
        <f t="shared" si="362"/>
        <v>4.272770873904054E-2</v>
      </c>
      <c r="O405" s="66">
        <f t="shared" si="362"/>
        <v>4.2126895361733072E-2</v>
      </c>
      <c r="P405" s="66">
        <f t="shared" si="362"/>
        <v>4.1678889833889343E-2</v>
      </c>
      <c r="Q405" s="66">
        <f t="shared" si="362"/>
        <v>4.1351614726869573E-2</v>
      </c>
      <c r="R405" s="66">
        <f t="shared" si="362"/>
        <v>4.1114865079684426E-2</v>
      </c>
      <c r="S405" s="66">
        <f t="shared" si="362"/>
        <v>4.0943587189809144E-2</v>
      </c>
      <c r="T405" s="66">
        <f t="shared" si="362"/>
        <v>4.0818504290355634E-2</v>
      </c>
      <c r="U405" s="66">
        <f t="shared" si="362"/>
        <v>4.0725470463795654E-2</v>
      </c>
      <c r="V405" s="66">
        <f t="shared" si="362"/>
        <v>4.0654418851728755E-2</v>
      </c>
      <c r="W405" s="66">
        <f t="shared" si="362"/>
        <v>4.0598328643287759E-2</v>
      </c>
      <c r="X405" s="66">
        <f t="shared" si="362"/>
        <v>4.0552368485914106E-2</v>
      </c>
      <c r="Y405" s="66">
        <f t="shared" si="362"/>
        <v>4.0513243180438308E-2</v>
      </c>
      <c r="Z405" s="66">
        <f t="shared" si="362"/>
        <v>4.0478718573648181E-2</v>
      </c>
      <c r="AA405" s="66">
        <f t="shared" si="362"/>
        <v>4.044728591091773E-2</v>
      </c>
      <c r="AB405" s="66">
        <f t="shared" si="362"/>
        <v>4.0417929014518697E-2</v>
      </c>
      <c r="AC405" s="66">
        <f t="shared" si="362"/>
        <v>4.0389964684738933E-2</v>
      </c>
    </row>
    <row r="406" spans="1:29" x14ac:dyDescent="0.25">
      <c r="A406" s="59" t="str">
        <f>A369</f>
        <v>Payload loss (fuel)</v>
      </c>
      <c r="B406" s="66">
        <f>B394/(B367-B369)-B394/B367</f>
        <v>9.196249128357481E-3</v>
      </c>
      <c r="C406" s="66">
        <f t="shared" ref="C406:AC406" si="363">C394/(C367-C369)-C394/C367</f>
        <v>9.1177922493388963E-3</v>
      </c>
      <c r="D406" s="66">
        <f t="shared" si="363"/>
        <v>9.009368734524556E-3</v>
      </c>
      <c r="E406" s="66">
        <f t="shared" si="363"/>
        <v>8.861880360030619E-3</v>
      </c>
      <c r="F406" s="66">
        <f t="shared" si="363"/>
        <v>8.6655163457465129E-3</v>
      </c>
      <c r="G406" s="66">
        <f t="shared" si="363"/>
        <v>8.411337930589749E-3</v>
      </c>
      <c r="H406" s="66">
        <f t="shared" si="363"/>
        <v>8.0936711404730882E-3</v>
      </c>
      <c r="I406" s="66">
        <f t="shared" si="363"/>
        <v>7.7126413301662894E-3</v>
      </c>
      <c r="J406" s="66">
        <f t="shared" si="363"/>
        <v>7.2864282256570045E-3</v>
      </c>
      <c r="K406" s="66">
        <f t="shared" si="363"/>
        <v>6.8169594232576902E-3</v>
      </c>
      <c r="L406" s="66">
        <f t="shared" si="363"/>
        <v>6.3232362685589766E-3</v>
      </c>
      <c r="M406" s="66">
        <f t="shared" si="363"/>
        <v>5.827480608384436E-3</v>
      </c>
      <c r="N406" s="66">
        <f t="shared" si="363"/>
        <v>5.3534129838530425E-3</v>
      </c>
      <c r="O406" s="66">
        <f t="shared" si="363"/>
        <v>4.9131271683463956E-3</v>
      </c>
      <c r="P406" s="66">
        <f t="shared" si="363"/>
        <v>4.5353007415626784E-3</v>
      </c>
      <c r="Q406" s="66">
        <f t="shared" si="363"/>
        <v>4.227487385783088E-3</v>
      </c>
      <c r="R406" s="66">
        <f t="shared" si="363"/>
        <v>3.9880587786043087E-3</v>
      </c>
      <c r="S406" s="66">
        <f t="shared" si="363"/>
        <v>3.8087948594422993E-3</v>
      </c>
      <c r="T406" s="66">
        <f t="shared" si="363"/>
        <v>3.6784504645497595E-3</v>
      </c>
      <c r="U406" s="66">
        <f t="shared" si="363"/>
        <v>3.5856363013284515E-3</v>
      </c>
      <c r="V406" s="66">
        <f t="shared" si="363"/>
        <v>3.5204348990732631E-3</v>
      </c>
      <c r="W406" s="66">
        <f t="shared" si="363"/>
        <v>3.4749584326833893E-3</v>
      </c>
      <c r="X406" s="66">
        <f t="shared" si="363"/>
        <v>3.4432860986242791E-3</v>
      </c>
      <c r="Y406" s="66">
        <f t="shared" si="363"/>
        <v>3.4211390249546253E-3</v>
      </c>
      <c r="Z406" s="66">
        <f t="shared" si="363"/>
        <v>3.4055017441635693E-3</v>
      </c>
      <c r="AA406" s="66">
        <f t="shared" si="363"/>
        <v>3.3942844840302855E-3</v>
      </c>
      <c r="AB406" s="66">
        <f t="shared" si="363"/>
        <v>3.3860551313745213E-3</v>
      </c>
      <c r="AC406" s="66">
        <f t="shared" si="363"/>
        <v>3.3798395951720461E-3</v>
      </c>
    </row>
    <row r="407" spans="1:29" ht="15.75" thickBot="1" x14ac:dyDescent="0.3">
      <c r="A407" s="59" t="str">
        <f>A344</f>
        <v>Emission Cost</v>
      </c>
      <c r="B407" s="68">
        <f>B364*B370/B370/(B367)</f>
        <v>0</v>
      </c>
      <c r="C407" s="68">
        <f t="shared" ref="C407:AC407" si="364">C364*C370/C370/(C367)</f>
        <v>0</v>
      </c>
      <c r="D407" s="68">
        <f t="shared" si="364"/>
        <v>0</v>
      </c>
      <c r="E407" s="68">
        <f t="shared" si="364"/>
        <v>0</v>
      </c>
      <c r="F407" s="68">
        <f t="shared" si="364"/>
        <v>0</v>
      </c>
      <c r="G407" s="68">
        <f t="shared" si="364"/>
        <v>0</v>
      </c>
      <c r="H407" s="68">
        <f t="shared" si="364"/>
        <v>0</v>
      </c>
      <c r="I407" s="68">
        <f t="shared" si="364"/>
        <v>0</v>
      </c>
      <c r="J407" s="68">
        <f t="shared" si="364"/>
        <v>0</v>
      </c>
      <c r="K407" s="68">
        <f t="shared" si="364"/>
        <v>0</v>
      </c>
      <c r="L407" s="68">
        <f t="shared" si="364"/>
        <v>0</v>
      </c>
      <c r="M407" s="68">
        <f t="shared" si="364"/>
        <v>0</v>
      </c>
      <c r="N407" s="68">
        <f t="shared" si="364"/>
        <v>0</v>
      </c>
      <c r="O407" s="68">
        <f t="shared" si="364"/>
        <v>0</v>
      </c>
      <c r="P407" s="68">
        <f t="shared" si="364"/>
        <v>0</v>
      </c>
      <c r="Q407" s="68">
        <f t="shared" si="364"/>
        <v>0</v>
      </c>
      <c r="R407" s="68">
        <f t="shared" si="364"/>
        <v>0</v>
      </c>
      <c r="S407" s="68">
        <f t="shared" si="364"/>
        <v>0</v>
      </c>
      <c r="T407" s="68">
        <f t="shared" si="364"/>
        <v>0</v>
      </c>
      <c r="U407" s="68">
        <f t="shared" si="364"/>
        <v>0</v>
      </c>
      <c r="V407" s="68">
        <f t="shared" si="364"/>
        <v>0</v>
      </c>
      <c r="W407" s="68">
        <f t="shared" si="364"/>
        <v>0</v>
      </c>
      <c r="X407" s="68">
        <f t="shared" si="364"/>
        <v>0</v>
      </c>
      <c r="Y407" s="68">
        <f t="shared" si="364"/>
        <v>0</v>
      </c>
      <c r="Z407" s="68">
        <f t="shared" si="364"/>
        <v>0</v>
      </c>
      <c r="AA407" s="68">
        <f t="shared" si="364"/>
        <v>0</v>
      </c>
      <c r="AB407" s="68">
        <f t="shared" si="364"/>
        <v>0</v>
      </c>
      <c r="AC407" s="68">
        <f t="shared" si="364"/>
        <v>0</v>
      </c>
    </row>
    <row r="408" spans="1:29" ht="15.75" thickBot="1" x14ac:dyDescent="0.3">
      <c r="A408" s="31" t="s">
        <v>210</v>
      </c>
      <c r="B408" s="67">
        <f>B397+B398+B399+B400+B401+B402+B403+B404+B405+B406+B407</f>
        <v>0.14374402520069046</v>
      </c>
      <c r="C408" s="67">
        <f t="shared" ref="C408:AC408" si="365">C397+C398+C399+C400+C401+C402+C403+C404+C405+C406+C407</f>
        <v>0.14293278514148172</v>
      </c>
      <c r="D408" s="67">
        <f t="shared" si="365"/>
        <v>0.1418197433001</v>
      </c>
      <c r="E408" s="67">
        <f t="shared" si="365"/>
        <v>0.14032215554524718</v>
      </c>
      <c r="F408" s="67">
        <f t="shared" si="365"/>
        <v>0.13836095082081545</v>
      </c>
      <c r="G408" s="67">
        <f t="shared" si="365"/>
        <v>0.13588425382802455</v>
      </c>
      <c r="H408" s="67">
        <f t="shared" si="365"/>
        <v>0.13289962854215276</v>
      </c>
      <c r="I408" s="67">
        <f t="shared" si="365"/>
        <v>0.12950287232849789</v>
      </c>
      <c r="J408" s="67">
        <f t="shared" si="365"/>
        <v>0.12607111434229687</v>
      </c>
      <c r="K408" s="67">
        <f t="shared" si="365"/>
        <v>0.12264934272813477</v>
      </c>
      <c r="L408" s="67">
        <f t="shared" si="365"/>
        <v>0.11947506831713878</v>
      </c>
      <c r="M408" s="67">
        <f t="shared" si="365"/>
        <v>0.11671934623015348</v>
      </c>
      <c r="N408" s="67">
        <f t="shared" si="365"/>
        <v>0.11446259047840403</v>
      </c>
      <c r="O408" s="67">
        <f t="shared" si="365"/>
        <v>0.11246847696296426</v>
      </c>
      <c r="P408" s="67">
        <f t="shared" si="365"/>
        <v>0.11093201555037781</v>
      </c>
      <c r="Q408" s="67">
        <f t="shared" si="365"/>
        <v>0.10977780105575398</v>
      </c>
      <c r="R408" s="67">
        <f t="shared" si="365"/>
        <v>0.10892608887826881</v>
      </c>
      <c r="S408" s="67">
        <f t="shared" si="365"/>
        <v>0.1083038648990845</v>
      </c>
      <c r="T408" s="67">
        <f t="shared" si="365"/>
        <v>0.10785003024698461</v>
      </c>
      <c r="U408" s="67">
        <f t="shared" si="365"/>
        <v>0.10751661135990129</v>
      </c>
      <c r="V408" s="67">
        <f t="shared" si="365"/>
        <v>0.10726765578850755</v>
      </c>
      <c r="W408" s="67">
        <f t="shared" si="365"/>
        <v>0.10707711843821856</v>
      </c>
      <c r="X408" s="67">
        <f t="shared" si="365"/>
        <v>0.10692658362819311</v>
      </c>
      <c r="Y408" s="67">
        <f t="shared" si="365"/>
        <v>0.10680325041967223</v>
      </c>
      <c r="Z408" s="67">
        <f t="shared" si="365"/>
        <v>0.10669832536269983</v>
      </c>
      <c r="AA408" s="67">
        <f t="shared" si="365"/>
        <v>0.10660581673343607</v>
      </c>
      <c r="AB408" s="67">
        <f t="shared" si="365"/>
        <v>0.10652166437285177</v>
      </c>
      <c r="AC408" s="67">
        <f t="shared" si="365"/>
        <v>0.10644312729411544</v>
      </c>
    </row>
    <row r="410" spans="1:29" x14ac:dyDescent="0.25">
      <c r="B410" s="40"/>
    </row>
    <row r="429" spans="1:1" s="3" customFormat="1" ht="21" x14ac:dyDescent="0.35">
      <c r="A429" s="2" t="str">
        <f>'Parameter Input'!A128</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Input'!$L$89</f>
        <v>400000</v>
      </c>
      <c r="C439" s="42">
        <f>'Parameter Input'!$M$89</f>
        <v>145000</v>
      </c>
      <c r="D439" s="1" t="s">
        <v>15</v>
      </c>
      <c r="L439" s="51">
        <f>'Parameter Input'!$O$89</f>
        <v>8</v>
      </c>
      <c r="M439" s="52">
        <v>0</v>
      </c>
      <c r="N439" s="52">
        <v>1</v>
      </c>
      <c r="O439" s="52">
        <f>'Parameter Input'!$P$89</f>
        <v>0.9</v>
      </c>
      <c r="P439" s="53">
        <f>'Parameter Input'!$Q$89</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Input'!$L$90</f>
        <v>-60000</v>
      </c>
      <c r="C440" s="61">
        <f>'Parameter Input'!$M$90</f>
        <v>-36250</v>
      </c>
      <c r="D440" s="1" t="s">
        <v>15</v>
      </c>
      <c r="L440" s="54">
        <f>'Parameter Input'!$O$90</f>
        <v>8</v>
      </c>
      <c r="M440" s="37">
        <v>0</v>
      </c>
      <c r="N440" s="37">
        <v>1</v>
      </c>
      <c r="O440" s="37">
        <f>'Parameter Input'!$P$90</f>
        <v>0.9</v>
      </c>
      <c r="P440" s="55">
        <f>'Parameter Input'!$Q$90</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Input'!$L$96</f>
        <v>0.06</v>
      </c>
      <c r="C443" s="46">
        <f>'Parameter Input'!$M$96</f>
        <v>0.06</v>
      </c>
      <c r="D443" s="1" t="s">
        <v>57</v>
      </c>
      <c r="L443" s="54">
        <f>'Parameter Input'!$O$96</f>
        <v>12</v>
      </c>
      <c r="M443" s="37">
        <v>0</v>
      </c>
      <c r="N443" s="37">
        <v>1</v>
      </c>
      <c r="O443" s="37">
        <f>'Parameter Input'!$P$96</f>
        <v>0.9</v>
      </c>
      <c r="P443" s="55">
        <f>'Parameter Input'!$Q$96</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Input'!$L$92</f>
        <v>15000</v>
      </c>
      <c r="C445" s="44">
        <f>'Parameter Input'!$M$92</f>
        <v>15000</v>
      </c>
      <c r="D445" s="1" t="s">
        <v>38</v>
      </c>
      <c r="L445" s="54">
        <f>'Parameter Input'!$O$92</f>
        <v>8</v>
      </c>
      <c r="M445" s="37">
        <v>0</v>
      </c>
      <c r="N445" s="37">
        <v>1</v>
      </c>
      <c r="O445" s="37">
        <f>'Parameter Input'!$P$92</f>
        <v>0.9</v>
      </c>
      <c r="P445" s="55">
        <f>'Parameter Input'!$Q$92</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Input'!$L$93</f>
        <v>1.52</v>
      </c>
      <c r="C447" s="48">
        <f>'Parameter Input'!$M$93</f>
        <v>1.1499999999999999</v>
      </c>
      <c r="D447" s="1" t="s">
        <v>60</v>
      </c>
      <c r="L447" s="54">
        <f>'Parameter Input'!$O$93</f>
        <v>8</v>
      </c>
      <c r="M447" s="37">
        <v>0</v>
      </c>
      <c r="N447" s="37">
        <v>1</v>
      </c>
      <c r="O447" s="37">
        <f>'Parameter Input'!$P$93</f>
        <v>0.9</v>
      </c>
      <c r="P447" s="55">
        <f>'Parameter Input'!$Q$93</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Input'!$L$94</f>
        <v>0.13371034051801745</v>
      </c>
      <c r="C448" s="46">
        <f>'Parameter Input'!$M$94</f>
        <v>8.7585019329602734E-2</v>
      </c>
      <c r="D448" s="1" t="s">
        <v>68</v>
      </c>
      <c r="L448" s="54">
        <f>'Parameter Input'!$O$94</f>
        <v>12</v>
      </c>
      <c r="M448" s="37">
        <v>0</v>
      </c>
      <c r="N448" s="37">
        <v>1</v>
      </c>
      <c r="O448" s="37">
        <f>'Parameter Input'!$P$94</f>
        <v>0.9</v>
      </c>
      <c r="P448" s="55">
        <f>'Parameter Input'!$Q$94</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Input'!$L$97</f>
        <v>0</v>
      </c>
      <c r="C449" s="116">
        <f>'Parameter Input'!$M$97</f>
        <v>0</v>
      </c>
      <c r="D449" s="1" t="s">
        <v>76</v>
      </c>
      <c r="L449" s="54">
        <f>'Parameter Input'!$O$97</f>
        <v>17</v>
      </c>
      <c r="M449" s="37">
        <v>0</v>
      </c>
      <c r="N449" s="37">
        <v>1</v>
      </c>
      <c r="O449" s="37">
        <f>'Parameter Input'!$P$97</f>
        <v>0.9</v>
      </c>
      <c r="P449" s="55">
        <f>'Parameter Input'!$Q$97</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Input'!$L$91</f>
        <v>8</v>
      </c>
      <c r="C450" s="44">
        <f>'Parameter Input'!$M$91</f>
        <v>8</v>
      </c>
      <c r="D450" s="1" t="s">
        <v>42</v>
      </c>
      <c r="L450" s="54">
        <f>'Parameter Input'!$O$91</f>
        <v>8</v>
      </c>
      <c r="M450" s="37">
        <v>0</v>
      </c>
      <c r="N450" s="37">
        <v>1</v>
      </c>
      <c r="O450" s="37">
        <f>'Parameter Input'!$P$91</f>
        <v>0.9</v>
      </c>
      <c r="P450" s="55">
        <f>'Parameter Input'!$Q$91</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Input'!$L$95</f>
        <v>0.1</v>
      </c>
      <c r="C454" s="73">
        <f>'Parameter Input'!$M$95</f>
        <v>0.05</v>
      </c>
      <c r="D454" s="1" t="s">
        <v>57</v>
      </c>
      <c r="L454" s="54">
        <f>'Parameter Input'!$O$95</f>
        <v>12</v>
      </c>
      <c r="M454" s="37">
        <v>0</v>
      </c>
      <c r="N454" s="37">
        <v>1</v>
      </c>
      <c r="O454" s="37">
        <f>'Parameter Input'!$P$95</f>
        <v>0.9</v>
      </c>
      <c r="P454" s="55">
        <f>'Parameter Input'!$Q$95</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7" si="372">$B439+($C439-$B439)*(1-Q439)</f>
        <v>386191.20724655397</v>
      </c>
      <c r="C459" s="62">
        <f t="shared" ref="C459:C467" si="373">$B439+($C439-$B439)*(1-R439)</f>
        <v>380544.41838286084</v>
      </c>
      <c r="D459" s="62">
        <f t="shared" ref="D459:D467" si="374">$B439+($C439-$B439)*(1-S439)</f>
        <v>372802.88209752907</v>
      </c>
      <c r="E459" s="62">
        <f t="shared" ref="E459:E467" si="375">$B439+($C439-$B439)*(1-T439)</f>
        <v>362399.08687953383</v>
      </c>
      <c r="F459" s="62">
        <f t="shared" ref="F459:F467" si="376">$B439+($C439-$B439)*(1-U439)</f>
        <v>348799.3166641909</v>
      </c>
      <c r="G459" s="62">
        <f t="shared" ref="G459:G467" si="377">$B439+($C439-$B439)*(1-V439)</f>
        <v>331672.70473748312</v>
      </c>
      <c r="H459" s="62">
        <f t="shared" ref="H459:H467" si="378">$B439+($C439-$B439)*(1-W439)</f>
        <v>311121.26204490603</v>
      </c>
      <c r="I459" s="62">
        <f t="shared" ref="I459:I467" si="379">$B439+($C439-$B439)*(1-X439)</f>
        <v>287882.23209616641</v>
      </c>
      <c r="J459" s="62">
        <f t="shared" ref="J459:J467" si="380">$B439+($C439-$B439)*(1-Y439)</f>
        <v>263348.88352662267</v>
      </c>
      <c r="K459" s="62">
        <f t="shared" ref="K459:K467" si="381">$B439+($C439-$B439)*(1-Z439)</f>
        <v>239298.30536858604</v>
      </c>
      <c r="L459" s="62">
        <f t="shared" ref="L459:L467" si="382">$B439+($C439-$B439)*(1-AA439)</f>
        <v>217404.56902493956</v>
      </c>
      <c r="M459" s="62">
        <f t="shared" ref="M459:M467" si="383">$B439+($C439-$B439)*(1-AB439)</f>
        <v>198798.01086085022</v>
      </c>
      <c r="N459" s="62">
        <f t="shared" ref="N459:N467" si="384">$B439+($C439-$B439)*(1-AC439)</f>
        <v>183897.4900171854</v>
      </c>
      <c r="O459" s="62">
        <f t="shared" ref="O459:O467" si="385">$B439+($C439-$B439)*(1-AD439)</f>
        <v>172527.73128116049</v>
      </c>
      <c r="P459" s="62">
        <f t="shared" ref="P459:P467" si="386">$B439+($C439-$B439)*(1-AE439)</f>
        <v>164170.0467542134</v>
      </c>
      <c r="Q459" s="62">
        <f t="shared" ref="Q459:Q467" si="387">$B439+($C439-$B439)*(1-AF439)</f>
        <v>158194.42322526305</v>
      </c>
      <c r="R459" s="62">
        <f t="shared" ref="R459:R467" si="388">$B439+($C439-$B439)*(1-AG439)</f>
        <v>154006.39360946321</v>
      </c>
      <c r="S459" s="62">
        <f t="shared" ref="S459:S467" si="389">$B439+($C439-$B439)*(1-AH439)</f>
        <v>151112.20772852784</v>
      </c>
      <c r="T459" s="62">
        <f t="shared" ref="T459:T467" si="390">$B439+($C439-$B439)*(1-AI439)</f>
        <v>149131.57210738939</v>
      </c>
      <c r="U459" s="62">
        <f t="shared" ref="U459:U467" si="391">$B439+($C439-$B439)*(1-AJ439)</f>
        <v>147785.17134384764</v>
      </c>
      <c r="V459" s="62">
        <f t="shared" ref="V459:V467" si="392">$B439+($C439-$B439)*(1-AK439)</f>
        <v>146874.0769291053</v>
      </c>
      <c r="W459" s="62">
        <f t="shared" ref="W459:W467" si="393">$B439+($C439-$B439)*(1-AL439)</f>
        <v>146259.45168571896</v>
      </c>
      <c r="X459" s="62">
        <f t="shared" ref="X459:X467" si="394">$B439+($C439-$B439)*(1-AM439)</f>
        <v>145845.68902507037</v>
      </c>
      <c r="Y459" s="62">
        <f t="shared" ref="Y459:Y467" si="395">$B439+($C439-$B439)*(1-AN439)</f>
        <v>145567.53723474033</v>
      </c>
      <c r="Z459" s="62">
        <f t="shared" ref="Z459:Z467" si="396">$B439+($C439-$B439)*(1-AO439)</f>
        <v>145380.72644197271</v>
      </c>
      <c r="AA459" s="62">
        <f t="shared" ref="AA459:AA467" si="397">$B439+($C439-$B439)*(1-AP439)</f>
        <v>145255.34122836409</v>
      </c>
      <c r="AB459" s="62">
        <f t="shared" ref="AB459:AB467" si="398">$B439+($C439-$B439)*(1-AQ439)</f>
        <v>145171.22000562795</v>
      </c>
      <c r="AC459" s="62">
        <f t="shared" ref="AC459:AC467"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400">A449</f>
        <v>Emission Cost</v>
      </c>
      <c r="B469" s="66">
        <f>$B449+($C449-$B449)*(1-Q449)</f>
        <v>0</v>
      </c>
      <c r="C469" s="66">
        <f t="shared" ref="C469" si="401">$B449+($C449-$B449)*(1-R449)</f>
        <v>0</v>
      </c>
      <c r="D469" s="66">
        <f t="shared" ref="D469" si="402">$B449+($C449-$B449)*(1-S449)</f>
        <v>0</v>
      </c>
      <c r="E469" s="66">
        <f t="shared" ref="E469" si="403">$B449+($C449-$B449)*(1-T449)</f>
        <v>0</v>
      </c>
      <c r="F469" s="66">
        <f t="shared" ref="F469" si="404">$B449+($C449-$B449)*(1-U449)</f>
        <v>0</v>
      </c>
      <c r="G469" s="66">
        <f t="shared" ref="G469" si="405">$B449+($C449-$B449)*(1-V449)</f>
        <v>0</v>
      </c>
      <c r="H469" s="66">
        <f t="shared" ref="H469" si="406">$B449+($C449-$B449)*(1-W449)</f>
        <v>0</v>
      </c>
      <c r="I469" s="66">
        <f t="shared" ref="I469" si="407">$B449+($C449-$B449)*(1-X449)</f>
        <v>0</v>
      </c>
      <c r="J469" s="66">
        <f t="shared" ref="J469" si="408">$B449+($C449-$B449)*(1-Y449)</f>
        <v>0</v>
      </c>
      <c r="K469" s="66">
        <f t="shared" ref="K469" si="409">$B449+($C449-$B449)*(1-Z449)</f>
        <v>0</v>
      </c>
      <c r="L469" s="66">
        <f t="shared" ref="L469" si="410">$B449+($C449-$B449)*(1-AA449)</f>
        <v>0</v>
      </c>
      <c r="M469" s="66">
        <f t="shared" ref="M469" si="411">$B449+($C449-$B449)*(1-AB449)</f>
        <v>0</v>
      </c>
      <c r="N469" s="66">
        <f t="shared" ref="N469" si="412">$B449+($C449-$B449)*(1-AC449)</f>
        <v>0</v>
      </c>
      <c r="O469" s="66">
        <f t="shared" ref="O469" si="413">$B449+($C449-$B449)*(1-AD449)</f>
        <v>0</v>
      </c>
      <c r="P469" s="66">
        <f t="shared" ref="P469" si="414">$B449+($C449-$B449)*(1-AE449)</f>
        <v>0</v>
      </c>
      <c r="Q469" s="66">
        <f t="shared" ref="Q469" si="415">$B449+($C449-$B449)*(1-AF449)</f>
        <v>0</v>
      </c>
      <c r="R469" s="66">
        <f t="shared" ref="R469" si="416">$B449+($C449-$B449)*(1-AG449)</f>
        <v>0</v>
      </c>
      <c r="S469" s="66">
        <f t="shared" ref="S469" si="417">$B449+($C449-$B449)*(1-AH449)</f>
        <v>0</v>
      </c>
      <c r="T469" s="66">
        <f t="shared" ref="T469" si="418">$B449+($C449-$B449)*(1-AI449)</f>
        <v>0</v>
      </c>
      <c r="U469" s="66">
        <f t="shared" ref="U469" si="419">$B449+($C449-$B449)*(1-AJ449)</f>
        <v>0</v>
      </c>
      <c r="V469" s="66">
        <f t="shared" ref="V469" si="420">$B449+($C449-$B449)*(1-AK449)</f>
        <v>0</v>
      </c>
      <c r="W469" s="66">
        <f t="shared" ref="W469" si="421">$B449+($C449-$B449)*(1-AL449)</f>
        <v>0</v>
      </c>
      <c r="X469" s="66">
        <f t="shared" ref="X469" si="422">$B449+($C449-$B449)*(1-AM449)</f>
        <v>0</v>
      </c>
      <c r="Y469" s="66">
        <f t="shared" ref="Y469" si="423">$B449+($C449-$B449)*(1-AN449)</f>
        <v>0</v>
      </c>
      <c r="Z469" s="66">
        <f t="shared" ref="Z469" si="424">$B449+($C449-$B449)*(1-AO449)</f>
        <v>0</v>
      </c>
      <c r="AA469" s="66">
        <f t="shared" ref="AA469" si="425">$B449+($C449-$B449)*(1-AP449)</f>
        <v>0</v>
      </c>
      <c r="AB469" s="66">
        <f t="shared" ref="AB469" si="426">$B449+($C449-$B449)*(1-AQ449)</f>
        <v>0</v>
      </c>
      <c r="AC469" s="66">
        <f t="shared" ref="AC469" si="427">$B449+($C449-$B449)*(1-AR449)</f>
        <v>0</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10934.734910458996</v>
      </c>
      <c r="C485" s="62">
        <f t="shared" ref="C485:AC485" si="442">C467*C468*C475</f>
        <v>10875.005173866513</v>
      </c>
      <c r="D485" s="62">
        <f t="shared" si="442"/>
        <v>10793.117939492107</v>
      </c>
      <c r="E485" s="62">
        <f t="shared" si="442"/>
        <v>10683.070271174194</v>
      </c>
      <c r="F485" s="62">
        <f t="shared" si="442"/>
        <v>10539.216709036671</v>
      </c>
      <c r="G485" s="62">
        <f t="shared" si="442"/>
        <v>10358.057461932309</v>
      </c>
      <c r="H485" s="62">
        <f t="shared" si="442"/>
        <v>10140.671565584074</v>
      </c>
      <c r="I485" s="62">
        <f t="shared" si="442"/>
        <v>9894.8573212393258</v>
      </c>
      <c r="J485" s="62">
        <f t="shared" si="442"/>
        <v>9881.1924826051418</v>
      </c>
      <c r="K485" s="62">
        <f t="shared" si="442"/>
        <v>9859.6525667882343</v>
      </c>
      <c r="L485" s="62">
        <f t="shared" si="442"/>
        <v>9849.6915897999934</v>
      </c>
      <c r="M485" s="62">
        <f t="shared" si="442"/>
        <v>9866.232361849814</v>
      </c>
      <c r="N485" s="62">
        <f t="shared" si="442"/>
        <v>9916.9320941475708</v>
      </c>
      <c r="O485" s="62">
        <f t="shared" si="442"/>
        <v>9688.5088383272614</v>
      </c>
      <c r="P485" s="62">
        <f t="shared" si="442"/>
        <v>9497.9025530452273</v>
      </c>
      <c r="Q485" s="62">
        <f t="shared" si="442"/>
        <v>9336.790254407073</v>
      </c>
      <c r="R485" s="62">
        <f t="shared" si="442"/>
        <v>9197.5420379523966</v>
      </c>
      <c r="S485" s="62">
        <f t="shared" si="442"/>
        <v>9073.941380427239</v>
      </c>
      <c r="T485" s="62">
        <f t="shared" si="442"/>
        <v>8961.2714430948599</v>
      </c>
      <c r="U485" s="62">
        <f t="shared" si="442"/>
        <v>8856.1119212565209</v>
      </c>
      <c r="V485" s="62">
        <f t="shared" si="442"/>
        <v>8756.0549538470677</v>
      </c>
      <c r="W485" s="62">
        <f t="shared" si="442"/>
        <v>8659.4382403849741</v>
      </c>
      <c r="X485" s="62">
        <f t="shared" si="442"/>
        <v>8565.1290196865011</v>
      </c>
      <c r="Y485" s="62">
        <f t="shared" si="442"/>
        <v>8472.362066570784</v>
      </c>
      <c r="Z485" s="62">
        <f t="shared" si="442"/>
        <v>8380.6234515060205</v>
      </c>
      <c r="AA485" s="62">
        <f t="shared" si="442"/>
        <v>8289.5693729798822</v>
      </c>
      <c r="AB485" s="62">
        <f t="shared" si="442"/>
        <v>8198.9704522082029</v>
      </c>
      <c r="AC485" s="62">
        <f t="shared" si="442"/>
        <v>8108.6739296961896</v>
      </c>
    </row>
    <row r="486" spans="1:29" ht="15.75" thickBot="1" x14ac:dyDescent="0.3">
      <c r="A486" s="59" t="str">
        <f>A449</f>
        <v>Emission Cost</v>
      </c>
      <c r="B486" s="62">
        <f>B469*B475</f>
        <v>0</v>
      </c>
      <c r="C486" s="62">
        <f t="shared" ref="C486:AC486" si="443">C469*C475</f>
        <v>0</v>
      </c>
      <c r="D486" s="62">
        <f t="shared" si="443"/>
        <v>0</v>
      </c>
      <c r="E486" s="62">
        <f t="shared" si="443"/>
        <v>0</v>
      </c>
      <c r="F486" s="62">
        <f t="shared" si="443"/>
        <v>0</v>
      </c>
      <c r="G486" s="62">
        <f t="shared" si="443"/>
        <v>0</v>
      </c>
      <c r="H486" s="62">
        <f t="shared" si="443"/>
        <v>0</v>
      </c>
      <c r="I486" s="62">
        <f t="shared" si="443"/>
        <v>0</v>
      </c>
      <c r="J486" s="62">
        <f t="shared" si="443"/>
        <v>0</v>
      </c>
      <c r="K486" s="62">
        <f t="shared" si="443"/>
        <v>0</v>
      </c>
      <c r="L486" s="62">
        <f t="shared" si="443"/>
        <v>0</v>
      </c>
      <c r="M486" s="62">
        <f t="shared" si="443"/>
        <v>0</v>
      </c>
      <c r="N486" s="62">
        <f t="shared" si="443"/>
        <v>0</v>
      </c>
      <c r="O486" s="62">
        <f t="shared" si="443"/>
        <v>0</v>
      </c>
      <c r="P486" s="62">
        <f t="shared" si="443"/>
        <v>0</v>
      </c>
      <c r="Q486" s="62">
        <f t="shared" si="443"/>
        <v>0</v>
      </c>
      <c r="R486" s="62">
        <f t="shared" si="443"/>
        <v>0</v>
      </c>
      <c r="S486" s="62">
        <f t="shared" si="443"/>
        <v>0</v>
      </c>
      <c r="T486" s="62">
        <f t="shared" si="443"/>
        <v>0</v>
      </c>
      <c r="U486" s="62">
        <f t="shared" si="443"/>
        <v>0</v>
      </c>
      <c r="V486" s="62">
        <f t="shared" si="443"/>
        <v>0</v>
      </c>
      <c r="W486" s="62">
        <f t="shared" si="443"/>
        <v>0</v>
      </c>
      <c r="X486" s="62">
        <f t="shared" si="443"/>
        <v>0</v>
      </c>
      <c r="Y486" s="62">
        <f t="shared" si="443"/>
        <v>0</v>
      </c>
      <c r="Z486" s="62">
        <f t="shared" si="443"/>
        <v>0</v>
      </c>
      <c r="AA486" s="62">
        <f t="shared" si="443"/>
        <v>0</v>
      </c>
      <c r="AB486" s="62">
        <f t="shared" si="443"/>
        <v>0</v>
      </c>
      <c r="AC486" s="62">
        <f t="shared" si="443"/>
        <v>0</v>
      </c>
    </row>
    <row r="487" spans="1:29" ht="15.75" thickBot="1" x14ac:dyDescent="0.3">
      <c r="A487" s="31" t="s">
        <v>209</v>
      </c>
      <c r="B487" s="64">
        <f>B478+B479+B480+B481+B482+B483+B484+B485+B486</f>
        <v>162136.88778367403</v>
      </c>
      <c r="C487" s="64">
        <f t="shared" ref="C487:AC487" si="444">C478+C479+C480+C481+C482+C483+C484+C485+C486</f>
        <v>161252.51513528766</v>
      </c>
      <c r="D487" s="64">
        <f t="shared" si="444"/>
        <v>160040.07331879647</v>
      </c>
      <c r="E487" s="64">
        <f t="shared" si="444"/>
        <v>158410.68143744487</v>
      </c>
      <c r="F487" s="64">
        <f t="shared" si="444"/>
        <v>156280.75147315656</v>
      </c>
      <c r="G487" s="64">
        <f t="shared" si="444"/>
        <v>153598.46468802562</v>
      </c>
      <c r="H487" s="64">
        <f t="shared" si="444"/>
        <v>150379.79754092271</v>
      </c>
      <c r="I487" s="64">
        <f t="shared" si="444"/>
        <v>146740.21352993909</v>
      </c>
      <c r="J487" s="64">
        <f t="shared" si="444"/>
        <v>143143.75987295125</v>
      </c>
      <c r="K487" s="64">
        <f t="shared" si="444"/>
        <v>139609.93372130734</v>
      </c>
      <c r="L487" s="64">
        <f t="shared" si="444"/>
        <v>136402.66628851072</v>
      </c>
      <c r="M487" s="64">
        <f t="shared" si="444"/>
        <v>133701.95187831836</v>
      </c>
      <c r="N487" s="64">
        <f t="shared" si="444"/>
        <v>131576.61684247194</v>
      </c>
      <c r="O487" s="64">
        <f t="shared" si="444"/>
        <v>129687.78247924255</v>
      </c>
      <c r="P487" s="64">
        <f t="shared" si="444"/>
        <v>128276.64086485154</v>
      </c>
      <c r="Q487" s="64">
        <f t="shared" si="444"/>
        <v>127242.86346297538</v>
      </c>
      <c r="R487" s="64">
        <f t="shared" si="444"/>
        <v>126492.00588402836</v>
      </c>
      <c r="S487" s="64">
        <f t="shared" si="444"/>
        <v>125945.74556457163</v>
      </c>
      <c r="T487" s="64">
        <f t="shared" si="444"/>
        <v>125543.82855864067</v>
      </c>
      <c r="U487" s="64">
        <f t="shared" si="444"/>
        <v>125242.04403932326</v>
      </c>
      <c r="V487" s="64">
        <f t="shared" si="444"/>
        <v>125008.93312404564</v>
      </c>
      <c r="W487" s="64">
        <f t="shared" si="444"/>
        <v>124822.55807844065</v>
      </c>
      <c r="X487" s="64">
        <f t="shared" si="444"/>
        <v>124667.82399442514</v>
      </c>
      <c r="Y487" s="64">
        <f t="shared" si="444"/>
        <v>124534.43645006095</v>
      </c>
      <c r="Z487" s="64">
        <f t="shared" si="444"/>
        <v>124415.41645440608</v>
      </c>
      <c r="AA487" s="64">
        <f t="shared" si="444"/>
        <v>124306.05143312256</v>
      </c>
      <c r="AB487" s="64">
        <f t="shared" si="444"/>
        <v>124203.16765953712</v>
      </c>
      <c r="AC487" s="64">
        <f t="shared" si="444"/>
        <v>124104.63155833173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0.1214970545606555</v>
      </c>
      <c r="C497" s="66">
        <f t="shared" ref="C497:AC497" si="453">C467*C468*C475/C475</f>
        <v>0.12083339082073903</v>
      </c>
      <c r="D497" s="66">
        <f t="shared" si="453"/>
        <v>0.11992353266102342</v>
      </c>
      <c r="E497" s="66">
        <f t="shared" si="453"/>
        <v>0.11870078079082438</v>
      </c>
      <c r="F497" s="66">
        <f t="shared" si="453"/>
        <v>0.11710240787818524</v>
      </c>
      <c r="G497" s="66">
        <f t="shared" si="453"/>
        <v>0.11508952735480343</v>
      </c>
      <c r="H497" s="66">
        <f t="shared" si="453"/>
        <v>0.11267412850648971</v>
      </c>
      <c r="I497" s="66">
        <f t="shared" si="453"/>
        <v>0.1099428591248814</v>
      </c>
      <c r="J497" s="66">
        <f t="shared" si="453"/>
        <v>0.10979102758450157</v>
      </c>
      <c r="K497" s="66">
        <f t="shared" si="453"/>
        <v>0.10955169518653593</v>
      </c>
      <c r="L497" s="66">
        <f t="shared" si="453"/>
        <v>0.10944101766444438</v>
      </c>
      <c r="M497" s="66">
        <f t="shared" si="453"/>
        <v>0.10962480402055348</v>
      </c>
      <c r="N497" s="66">
        <f t="shared" si="453"/>
        <v>0.11018813437941745</v>
      </c>
      <c r="O497" s="66">
        <f t="shared" si="453"/>
        <v>0.10765009820363623</v>
      </c>
      <c r="P497" s="66">
        <f t="shared" si="453"/>
        <v>0.10553225058939142</v>
      </c>
      <c r="Q497" s="66">
        <f t="shared" si="453"/>
        <v>0.10374211393785637</v>
      </c>
      <c r="R497" s="66">
        <f t="shared" si="453"/>
        <v>0.10219491153280441</v>
      </c>
      <c r="S497" s="66">
        <f t="shared" si="453"/>
        <v>0.10082157089363598</v>
      </c>
      <c r="T497" s="66">
        <f t="shared" si="453"/>
        <v>9.9569682701053999E-2</v>
      </c>
      <c r="U497" s="66">
        <f t="shared" si="453"/>
        <v>9.8401243569516905E-2</v>
      </c>
      <c r="V497" s="66">
        <f t="shared" si="453"/>
        <v>9.7289499487189637E-2</v>
      </c>
      <c r="W497" s="66">
        <f t="shared" si="453"/>
        <v>9.6215980448721927E-2</v>
      </c>
      <c r="X497" s="66">
        <f t="shared" si="453"/>
        <v>9.5168100218738907E-2</v>
      </c>
      <c r="Y497" s="66">
        <f t="shared" si="453"/>
        <v>9.4137356295230928E-2</v>
      </c>
      <c r="Z497" s="66">
        <f t="shared" si="453"/>
        <v>9.3118038350066892E-2</v>
      </c>
      <c r="AA497" s="66">
        <f t="shared" si="453"/>
        <v>9.2106326366443142E-2</v>
      </c>
      <c r="AB497" s="66">
        <f t="shared" si="453"/>
        <v>9.1099671691202255E-2</v>
      </c>
      <c r="AC497" s="66">
        <f t="shared" si="453"/>
        <v>9.0096376996624331E-2</v>
      </c>
    </row>
    <row r="498" spans="1:29" ht="15.75" thickBot="1" x14ac:dyDescent="0.3">
      <c r="A498" s="59" t="str">
        <f t="shared" ref="A498" si="454">A486</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75" thickBot="1" x14ac:dyDescent="0.3">
      <c r="A499" s="31" t="s">
        <v>63</v>
      </c>
      <c r="B499" s="76">
        <f>B490+B491+B492-B493+B494+B495+B496+B497+B498</f>
        <v>1.8279397450281196</v>
      </c>
      <c r="C499" s="76">
        <f t="shared" ref="C499:AC499" si="456">C490+C491+C492-C493+C494+C495+C496+C497+C498</f>
        <v>1.8181133822682709</v>
      </c>
      <c r="D499" s="76">
        <f t="shared" si="456"/>
        <v>1.80464180652948</v>
      </c>
      <c r="E499" s="76">
        <f t="shared" si="456"/>
        <v>1.7865374522922399</v>
      </c>
      <c r="F499" s="76">
        <f t="shared" si="456"/>
        <v>1.7628715638001478</v>
      </c>
      <c r="G499" s="76">
        <f t="shared" si="456"/>
        <v>1.7330683772986928</v>
      </c>
      <c r="H499" s="76">
        <f t="shared" si="456"/>
        <v>1.6973054089975492</v>
      </c>
      <c r="I499" s="76">
        <f t="shared" si="456"/>
        <v>1.6568655866532869</v>
      </c>
      <c r="J499" s="76">
        <f t="shared" si="456"/>
        <v>1.6169049904645332</v>
      </c>
      <c r="K499" s="76">
        <f t="shared" si="456"/>
        <v>1.5776402554462676</v>
      </c>
      <c r="L499" s="76">
        <f t="shared" si="456"/>
        <v>1.5420039506374161</v>
      </c>
      <c r="M499" s="76">
        <f t="shared" si="456"/>
        <v>1.5119960127463901</v>
      </c>
      <c r="N499" s="76">
        <f t="shared" si="456"/>
        <v>1.488381179014763</v>
      </c>
      <c r="O499" s="76">
        <f t="shared" si="456"/>
        <v>1.4673941305344365</v>
      </c>
      <c r="P499" s="76">
        <f t="shared" si="456"/>
        <v>1.4517147792634251</v>
      </c>
      <c r="Q499" s="76">
        <f t="shared" si="456"/>
        <v>1.4402283636870234</v>
      </c>
      <c r="R499" s="76">
        <f t="shared" si="456"/>
        <v>1.4318855016987231</v>
      </c>
      <c r="S499" s="76">
        <f t="shared" si="456"/>
        <v>1.4258159425936485</v>
      </c>
      <c r="T499" s="76">
        <f t="shared" si="456"/>
        <v>1.4213501980833045</v>
      </c>
      <c r="U499" s="76">
        <f t="shared" si="456"/>
        <v>1.4179970367575554</v>
      </c>
      <c r="V499" s="76">
        <f t="shared" si="456"/>
        <v>1.4154069154766928</v>
      </c>
      <c r="W499" s="76">
        <f t="shared" si="456"/>
        <v>1.4133360816366376</v>
      </c>
      <c r="X499" s="76">
        <f t="shared" si="456"/>
        <v>1.4116168140364653</v>
      </c>
      <c r="Y499" s="76">
        <f t="shared" si="456"/>
        <v>1.4101347302101965</v>
      </c>
      <c r="Z499" s="76">
        <f t="shared" si="456"/>
        <v>1.4088122858140313</v>
      </c>
      <c r="AA499" s="76">
        <f t="shared" si="456"/>
        <v>1.4075971189108811</v>
      </c>
      <c r="AB499" s="76">
        <f t="shared" si="456"/>
        <v>1.4064539658710429</v>
      </c>
      <c r="AC499" s="76">
        <f t="shared" si="456"/>
        <v>1.4053591203020941</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4.8598821824262202E-3</v>
      </c>
      <c r="C509" s="66">
        <f t="shared" ref="C509:AC509" si="465">C467*C468*C475/C475/(C472)</f>
        <v>4.8333356328295616E-3</v>
      </c>
      <c r="D509" s="66">
        <f t="shared" si="465"/>
        <v>4.7969413064409367E-3</v>
      </c>
      <c r="E509" s="66">
        <f t="shared" si="465"/>
        <v>4.7480312316329756E-3</v>
      </c>
      <c r="F509" s="66">
        <f t="shared" si="465"/>
        <v>4.6840963151274098E-3</v>
      </c>
      <c r="G509" s="66">
        <f t="shared" si="465"/>
        <v>4.6035810941921374E-3</v>
      </c>
      <c r="H509" s="66">
        <f t="shared" si="465"/>
        <v>4.5069651402595886E-3</v>
      </c>
      <c r="I509" s="66">
        <f t="shared" si="465"/>
        <v>4.3977143649952559E-3</v>
      </c>
      <c r="J509" s="66">
        <f t="shared" si="465"/>
        <v>4.3916411033800631E-3</v>
      </c>
      <c r="K509" s="66">
        <f t="shared" si="465"/>
        <v>4.382067807461437E-3</v>
      </c>
      <c r="L509" s="66">
        <f t="shared" si="465"/>
        <v>4.3776407065777749E-3</v>
      </c>
      <c r="M509" s="66">
        <f t="shared" si="465"/>
        <v>4.3849921608221393E-3</v>
      </c>
      <c r="N509" s="66">
        <f t="shared" si="465"/>
        <v>4.4075253751766977E-3</v>
      </c>
      <c r="O509" s="66">
        <f t="shared" si="465"/>
        <v>4.3060039281454495E-3</v>
      </c>
      <c r="P509" s="66">
        <f t="shared" si="465"/>
        <v>4.221290023575657E-3</v>
      </c>
      <c r="Q509" s="66">
        <f t="shared" si="465"/>
        <v>4.1496845575142551E-3</v>
      </c>
      <c r="R509" s="66">
        <f t="shared" si="465"/>
        <v>4.0877964613121763E-3</v>
      </c>
      <c r="S509" s="66">
        <f t="shared" si="465"/>
        <v>4.0328628357454398E-3</v>
      </c>
      <c r="T509" s="66">
        <f t="shared" si="465"/>
        <v>3.9827873080421601E-3</v>
      </c>
      <c r="U509" s="66">
        <f t="shared" si="465"/>
        <v>3.936049742780676E-3</v>
      </c>
      <c r="V509" s="66">
        <f t="shared" si="465"/>
        <v>3.8915799794875857E-3</v>
      </c>
      <c r="W509" s="66">
        <f t="shared" si="465"/>
        <v>3.8486392179488769E-3</v>
      </c>
      <c r="X509" s="66">
        <f t="shared" si="465"/>
        <v>3.8067240087495562E-3</v>
      </c>
      <c r="Y509" s="66">
        <f t="shared" si="465"/>
        <v>3.765494251809237E-3</v>
      </c>
      <c r="Z509" s="66">
        <f t="shared" si="465"/>
        <v>3.7247215340026757E-3</v>
      </c>
      <c r="AA509" s="66">
        <f t="shared" si="465"/>
        <v>3.6842530546577256E-3</v>
      </c>
      <c r="AB509" s="66">
        <f t="shared" si="465"/>
        <v>3.6439868676480902E-3</v>
      </c>
      <c r="AC509" s="66">
        <f t="shared" si="465"/>
        <v>3.6038550798649731E-3</v>
      </c>
    </row>
    <row r="510" spans="1:29" x14ac:dyDescent="0.25">
      <c r="A510" s="59" t="str">
        <f>A473</f>
        <v>Market failure (av. utilization)</v>
      </c>
      <c r="B510" s="66">
        <f t="shared" ref="B510:AC510" si="466">B499/B473-B499/B472</f>
        <v>4.1128644263132688E-2</v>
      </c>
      <c r="C510" s="66">
        <f t="shared" si="466"/>
        <v>4.0907551101036096E-2</v>
      </c>
      <c r="D510" s="66">
        <f t="shared" si="466"/>
        <v>4.0604440646913306E-2</v>
      </c>
      <c r="E510" s="66">
        <f t="shared" si="466"/>
        <v>4.0197092676575397E-2</v>
      </c>
      <c r="F510" s="66">
        <f t="shared" si="466"/>
        <v>3.9664610185503324E-2</v>
      </c>
      <c r="G510" s="66">
        <f t="shared" si="466"/>
        <v>3.8994038489220589E-2</v>
      </c>
      <c r="H510" s="66">
        <f t="shared" si="466"/>
        <v>3.8189371702444852E-2</v>
      </c>
      <c r="I510" s="66">
        <f t="shared" si="466"/>
        <v>3.7279475699698958E-2</v>
      </c>
      <c r="J510" s="66">
        <f t="shared" si="466"/>
        <v>3.6380362285451995E-2</v>
      </c>
      <c r="K510" s="66">
        <f t="shared" si="466"/>
        <v>3.5496905747541024E-2</v>
      </c>
      <c r="L510" s="66">
        <f t="shared" si="466"/>
        <v>3.4695088889341863E-2</v>
      </c>
      <c r="M510" s="66">
        <f t="shared" si="466"/>
        <v>3.4019910286793777E-2</v>
      </c>
      <c r="N510" s="66">
        <f t="shared" si="466"/>
        <v>3.3488576527832166E-2</v>
      </c>
      <c r="O510" s="66">
        <f t="shared" si="466"/>
        <v>3.3016367937024824E-2</v>
      </c>
      <c r="P510" s="66">
        <f t="shared" si="466"/>
        <v>3.2663582533427063E-2</v>
      </c>
      <c r="Q510" s="66">
        <f t="shared" si="466"/>
        <v>3.2405138182958031E-2</v>
      </c>
      <c r="R510" s="66">
        <f t="shared" si="466"/>
        <v>3.2217423788221268E-2</v>
      </c>
      <c r="S510" s="66">
        <f t="shared" si="466"/>
        <v>3.2080858708357092E-2</v>
      </c>
      <c r="T510" s="66">
        <f t="shared" si="466"/>
        <v>3.1980379456874354E-2</v>
      </c>
      <c r="U510" s="66">
        <f t="shared" si="466"/>
        <v>3.1904933327044999E-2</v>
      </c>
      <c r="V510" s="66">
        <f t="shared" si="466"/>
        <v>3.1846655598225589E-2</v>
      </c>
      <c r="W510" s="66">
        <f t="shared" si="466"/>
        <v>3.1800061836824343E-2</v>
      </c>
      <c r="X510" s="66">
        <f t="shared" si="466"/>
        <v>3.1761378315820467E-2</v>
      </c>
      <c r="Y510" s="66">
        <f t="shared" si="466"/>
        <v>3.1728031429729422E-2</v>
      </c>
      <c r="Z510" s="66">
        <f t="shared" si="466"/>
        <v>3.1698276430815707E-2</v>
      </c>
      <c r="AA510" s="66">
        <f t="shared" si="466"/>
        <v>3.1670935175494824E-2</v>
      </c>
      <c r="AB510" s="66">
        <f t="shared" si="466"/>
        <v>3.1645214232098463E-2</v>
      </c>
      <c r="AC510" s="66">
        <f t="shared" si="466"/>
        <v>3.1620580206797116E-2</v>
      </c>
    </row>
    <row r="511" spans="1:29" x14ac:dyDescent="0.25">
      <c r="A511" s="59" t="str">
        <f>A474</f>
        <v>Payload loss (fuel)</v>
      </c>
      <c r="B511" s="66">
        <f>B499/(B472-B474)-B499/B472</f>
        <v>8.0646333696825639E-3</v>
      </c>
      <c r="C511" s="66">
        <f t="shared" ref="C511:AC511" si="467">C499/(C472-C474)-C499/C472</f>
        <v>7.9959496510284001E-3</v>
      </c>
      <c r="D511" s="66">
        <f t="shared" si="467"/>
        <v>7.9010295856251217E-3</v>
      </c>
      <c r="E511" s="66">
        <f t="shared" si="467"/>
        <v>7.7719048226483206E-3</v>
      </c>
      <c r="F511" s="66">
        <f t="shared" si="467"/>
        <v>7.5999800064629752E-3</v>
      </c>
      <c r="G511" s="66">
        <f t="shared" si="467"/>
        <v>7.3774180408650997E-3</v>
      </c>
      <c r="H511" s="66">
        <f t="shared" si="467"/>
        <v>7.0992329098222423E-3</v>
      </c>
      <c r="I511" s="66">
        <f t="shared" si="467"/>
        <v>6.7655081318526988E-3</v>
      </c>
      <c r="J511" s="66">
        <f t="shared" si="467"/>
        <v>6.3934740628613512E-3</v>
      </c>
      <c r="K511" s="66">
        <f t="shared" si="467"/>
        <v>5.9832690539741856E-3</v>
      </c>
      <c r="L511" s="66">
        <f t="shared" si="467"/>
        <v>5.5515065565000521E-3</v>
      </c>
      <c r="M511" s="66">
        <f t="shared" si="467"/>
        <v>5.1176629609617288E-3</v>
      </c>
      <c r="N511" s="66">
        <f t="shared" si="467"/>
        <v>4.702572182749172E-3</v>
      </c>
      <c r="O511" s="66">
        <f t="shared" si="467"/>
        <v>4.3156427496402194E-3</v>
      </c>
      <c r="P511" s="66">
        <f t="shared" si="467"/>
        <v>3.9835603794706881E-3</v>
      </c>
      <c r="Q511" s="66">
        <f t="shared" si="467"/>
        <v>3.7129693542462261E-3</v>
      </c>
      <c r="R511" s="66">
        <f t="shared" si="467"/>
        <v>3.5024434378346861E-3</v>
      </c>
      <c r="S511" s="66">
        <f t="shared" si="467"/>
        <v>3.3447627387598669E-3</v>
      </c>
      <c r="T511" s="66">
        <f t="shared" si="467"/>
        <v>3.2300487504787409E-3</v>
      </c>
      <c r="U511" s="66">
        <f t="shared" si="467"/>
        <v>3.1482963572568023E-3</v>
      </c>
      <c r="V511" s="66">
        <f t="shared" si="467"/>
        <v>3.0907937905550603E-3</v>
      </c>
      <c r="W511" s="66">
        <f t="shared" si="467"/>
        <v>3.0506126232391489E-3</v>
      </c>
      <c r="X511" s="66">
        <f t="shared" si="467"/>
        <v>3.0225525827293417E-3</v>
      </c>
      <c r="Y511" s="66">
        <f t="shared" si="467"/>
        <v>3.0028558079983406E-3</v>
      </c>
      <c r="Z511" s="66">
        <f t="shared" si="467"/>
        <v>2.9888742207669072E-3</v>
      </c>
      <c r="AA511" s="66">
        <f t="shared" si="467"/>
        <v>2.9787728082341994E-3</v>
      </c>
      <c r="AB511" s="66">
        <f t="shared" si="467"/>
        <v>2.9712941486201294E-3</v>
      </c>
      <c r="AC511" s="66">
        <f t="shared" si="467"/>
        <v>2.9655830445903045E-3</v>
      </c>
    </row>
    <row r="512" spans="1:29" ht="15.75" thickBot="1" x14ac:dyDescent="0.3">
      <c r="A512" s="59" t="str">
        <f>A449</f>
        <v>Emission Cost</v>
      </c>
      <c r="B512" s="68">
        <f>B469*B475/B475/(B472)</f>
        <v>0</v>
      </c>
      <c r="C512" s="68">
        <f t="shared" ref="C512:AC512" si="468">C469*C475/C475/(C472)</f>
        <v>0</v>
      </c>
      <c r="D512" s="68">
        <f t="shared" si="468"/>
        <v>0</v>
      </c>
      <c r="E512" s="68">
        <f t="shared" si="468"/>
        <v>0</v>
      </c>
      <c r="F512" s="68">
        <f t="shared" si="468"/>
        <v>0</v>
      </c>
      <c r="G512" s="68">
        <f t="shared" si="468"/>
        <v>0</v>
      </c>
      <c r="H512" s="68">
        <f t="shared" si="468"/>
        <v>0</v>
      </c>
      <c r="I512" s="68">
        <f t="shared" si="468"/>
        <v>0</v>
      </c>
      <c r="J512" s="68">
        <f t="shared" si="468"/>
        <v>0</v>
      </c>
      <c r="K512" s="68">
        <f t="shared" si="468"/>
        <v>0</v>
      </c>
      <c r="L512" s="68">
        <f t="shared" si="468"/>
        <v>0</v>
      </c>
      <c r="M512" s="68">
        <f t="shared" si="468"/>
        <v>0</v>
      </c>
      <c r="N512" s="68">
        <f t="shared" si="468"/>
        <v>0</v>
      </c>
      <c r="O512" s="68">
        <f t="shared" si="468"/>
        <v>0</v>
      </c>
      <c r="P512" s="68">
        <f t="shared" si="468"/>
        <v>0</v>
      </c>
      <c r="Q512" s="68">
        <f t="shared" si="468"/>
        <v>0</v>
      </c>
      <c r="R512" s="68">
        <f t="shared" si="468"/>
        <v>0</v>
      </c>
      <c r="S512" s="68">
        <f t="shared" si="468"/>
        <v>0</v>
      </c>
      <c r="T512" s="68">
        <f t="shared" si="468"/>
        <v>0</v>
      </c>
      <c r="U512" s="68">
        <f t="shared" si="468"/>
        <v>0</v>
      </c>
      <c r="V512" s="68">
        <f t="shared" si="468"/>
        <v>0</v>
      </c>
      <c r="W512" s="68">
        <f t="shared" si="468"/>
        <v>0</v>
      </c>
      <c r="X512" s="68">
        <f t="shared" si="468"/>
        <v>0</v>
      </c>
      <c r="Y512" s="68">
        <f t="shared" si="468"/>
        <v>0</v>
      </c>
      <c r="Z512" s="68">
        <f t="shared" si="468"/>
        <v>0</v>
      </c>
      <c r="AA512" s="68">
        <f t="shared" si="468"/>
        <v>0</v>
      </c>
      <c r="AB512" s="68">
        <f t="shared" si="468"/>
        <v>0</v>
      </c>
      <c r="AC512" s="68">
        <f t="shared" si="468"/>
        <v>0</v>
      </c>
    </row>
    <row r="513" spans="1:29" ht="15.75" thickBot="1" x14ac:dyDescent="0.3">
      <c r="A513" s="31" t="s">
        <v>210</v>
      </c>
      <c r="B513" s="67">
        <f>B502+B503+B504+B505+B506+B507+B508+B509+B510+B511+B512</f>
        <v>0.12125411664778149</v>
      </c>
      <c r="C513" s="67">
        <f t="shared" ref="C513:AC513" si="469">C502+C503+C504+C505+C506+C507+C508+C509+C510+C511+C512</f>
        <v>0.12057128525663678</v>
      </c>
      <c r="D513" s="67">
        <f t="shared" si="469"/>
        <v>0.11963439170755907</v>
      </c>
      <c r="E513" s="67">
        <f t="shared" si="469"/>
        <v>0.11837374480475477</v>
      </c>
      <c r="F513" s="67">
        <f t="shared" si="469"/>
        <v>0.11672270195781366</v>
      </c>
      <c r="G513" s="67">
        <f t="shared" si="469"/>
        <v>0.11463744083587485</v>
      </c>
      <c r="H513" s="67">
        <f t="shared" si="469"/>
        <v>0.11212407018601052</v>
      </c>
      <c r="I513" s="67">
        <f t="shared" si="469"/>
        <v>0.10926285651152459</v>
      </c>
      <c r="J513" s="67">
        <f t="shared" si="469"/>
        <v>0.10639328518073612</v>
      </c>
      <c r="K513" s="67">
        <f t="shared" si="469"/>
        <v>0.10352903423320736</v>
      </c>
      <c r="L513" s="67">
        <f t="shared" si="469"/>
        <v>0.10087000268518001</v>
      </c>
      <c r="M513" s="67">
        <f t="shared" si="469"/>
        <v>9.8560662971452551E-2</v>
      </c>
      <c r="N513" s="67">
        <f t="shared" si="469"/>
        <v>9.66696450850133E-2</v>
      </c>
      <c r="O513" s="67">
        <f t="shared" si="469"/>
        <v>9.4971025121883962E-2</v>
      </c>
      <c r="P513" s="67">
        <f t="shared" si="469"/>
        <v>9.3658983297276219E-2</v>
      </c>
      <c r="Q513" s="67">
        <f t="shared" si="469"/>
        <v>9.2670491298526655E-2</v>
      </c>
      <c r="R513" s="67">
        <f t="shared" si="469"/>
        <v>9.1938536507846336E-2</v>
      </c>
      <c r="S513" s="67">
        <f t="shared" si="469"/>
        <v>9.1401508364704342E-2</v>
      </c>
      <c r="T513" s="67">
        <f t="shared" si="469"/>
        <v>9.1007685344526745E-2</v>
      </c>
      <c r="U513" s="67">
        <f t="shared" si="469"/>
        <v>9.0716360368445464E-2</v>
      </c>
      <c r="V513" s="67">
        <f t="shared" si="469"/>
        <v>9.0496975221689827E-2</v>
      </c>
      <c r="W513" s="67">
        <f t="shared" si="469"/>
        <v>9.0327366939370449E-2</v>
      </c>
      <c r="X513" s="67">
        <f t="shared" si="469"/>
        <v>9.0191852673849882E-2</v>
      </c>
      <c r="Y513" s="67">
        <f t="shared" si="469"/>
        <v>9.0079525659977067E-2</v>
      </c>
      <c r="Z513" s="67">
        <f t="shared" si="469"/>
        <v>8.9982891297985312E-2</v>
      </c>
      <c r="AA513" s="67">
        <f t="shared" si="469"/>
        <v>8.9896841954005713E-2</v>
      </c>
      <c r="AB513" s="67">
        <f t="shared" si="469"/>
        <v>8.9817916229401759E-2</v>
      </c>
      <c r="AC513" s="67">
        <f t="shared" si="469"/>
        <v>8.9743777277312642E-2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Input'!$L$101</f>
        <v>390000</v>
      </c>
      <c r="C11" s="42">
        <f>'Parameter Input'!$M$101</f>
        <v>155000</v>
      </c>
      <c r="D11" s="1" t="s">
        <v>15</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Input'!$L$102</f>
        <v>-58500</v>
      </c>
      <c r="C12" s="61">
        <f>'Parameter Input'!$M$102</f>
        <v>-38750</v>
      </c>
      <c r="D12" s="1" t="s">
        <v>15</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Input'!$L$108</f>
        <v>0.06</v>
      </c>
      <c r="C15" s="46">
        <f>'Parameter Input'!$M$108</f>
        <v>0.06</v>
      </c>
      <c r="D15" s="1" t="s">
        <v>57</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Input'!$L$104</f>
        <v>26000</v>
      </c>
      <c r="C17" s="44">
        <f>'Parameter Input'!$M$104</f>
        <v>18000</v>
      </c>
      <c r="D17" s="1" t="s">
        <v>38</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Input'!$L$105</f>
        <v>2.5299999999999998</v>
      </c>
      <c r="C19" s="48">
        <f>'Parameter Input'!$M$105</f>
        <v>1.79</v>
      </c>
      <c r="D19" s="1" t="s">
        <v>60</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Input'!$L$106</f>
        <v>0.2544561408768215</v>
      </c>
      <c r="C20" s="46">
        <f>'Parameter Input'!$M$106</f>
        <v>0.10949010032952979</v>
      </c>
      <c r="D20" s="1" t="s">
        <v>68</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Input'!$L$109</f>
        <v>0</v>
      </c>
      <c r="C21" s="116">
        <f>'Parameter Input'!$M$109</f>
        <v>0</v>
      </c>
      <c r="D21" s="1" t="s">
        <v>76</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Input'!$L$103</f>
        <v>8</v>
      </c>
      <c r="C22" s="44">
        <f>'Parameter Input'!$M$103</f>
        <v>8</v>
      </c>
      <c r="D22" s="1" t="s">
        <v>42</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Input'!$L$107</f>
        <v>0.05</v>
      </c>
      <c r="C26" s="73">
        <f>'Parameter Input'!$M$107</f>
        <v>0.02</v>
      </c>
      <c r="D26" s="1" t="s">
        <v>57</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25">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24286.426498969904</v>
      </c>
      <c r="C57" s="62">
        <f t="shared" ref="C57:AC57" si="49">C39*C40*C47</f>
        <v>23474.19418037108</v>
      </c>
      <c r="D57" s="62">
        <f t="shared" si="49"/>
        <v>22626.482607448575</v>
      </c>
      <c r="E57" s="62">
        <f t="shared" si="49"/>
        <v>21948.857322390053</v>
      </c>
      <c r="F57" s="62">
        <f t="shared" si="49"/>
        <v>21212.192128369927</v>
      </c>
      <c r="G57" s="62">
        <f t="shared" si="49"/>
        <v>20407.678692502952</v>
      </c>
      <c r="H57" s="62">
        <f t="shared" si="49"/>
        <v>19532.633183200771</v>
      </c>
      <c r="I57" s="62">
        <f t="shared" si="49"/>
        <v>18595.392634728101</v>
      </c>
      <c r="J57" s="62">
        <f t="shared" si="49"/>
        <v>18078.888855454883</v>
      </c>
      <c r="K57" s="62">
        <f t="shared" si="49"/>
        <v>17529.355600933657</v>
      </c>
      <c r="L57" s="62">
        <f t="shared" si="49"/>
        <v>16989.067278604522</v>
      </c>
      <c r="M57" s="62">
        <f t="shared" si="49"/>
        <v>16498.163914517765</v>
      </c>
      <c r="N57" s="62">
        <f t="shared" si="49"/>
        <v>16084.057058949553</v>
      </c>
      <c r="O57" s="62">
        <f t="shared" si="49"/>
        <v>15369.144115332421</v>
      </c>
      <c r="P57" s="62">
        <f t="shared" si="49"/>
        <v>14751.311248752889</v>
      </c>
      <c r="Q57" s="62">
        <f t="shared" si="49"/>
        <v>14213.191227877498</v>
      </c>
      <c r="R57" s="62">
        <f t="shared" si="49"/>
        <v>13736.120916460768</v>
      </c>
      <c r="S57" s="62">
        <f t="shared" si="49"/>
        <v>13303.566894999276</v>
      </c>
      <c r="T57" s="62">
        <f t="shared" si="49"/>
        <v>12928.321697023273</v>
      </c>
      <c r="U57" s="62">
        <f t="shared" si="49"/>
        <v>12574.491218813862</v>
      </c>
      <c r="V57" s="62">
        <f t="shared" si="49"/>
        <v>12235.1796897531</v>
      </c>
      <c r="W57" s="62">
        <f t="shared" si="49"/>
        <v>11905.600895883135</v>
      </c>
      <c r="X57" s="62">
        <f t="shared" si="49"/>
        <v>11582.495432513253</v>
      </c>
      <c r="Y57" s="62">
        <f t="shared" si="49"/>
        <v>11320.797606111764</v>
      </c>
      <c r="Z57" s="62">
        <f t="shared" si="49"/>
        <v>11061.869755305272</v>
      </c>
      <c r="AA57" s="62">
        <f t="shared" si="49"/>
        <v>10804.769631195331</v>
      </c>
      <c r="AB57" s="62">
        <f t="shared" si="49"/>
        <v>10548.873174991033</v>
      </c>
      <c r="AC57" s="62">
        <f t="shared" si="49"/>
        <v>10293.768254667668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182165.08081141085</v>
      </c>
      <c r="C59" s="64">
        <f t="shared" ref="C59:AC59" si="51">C50+C51+C52+C53+C54+C55+C56+C57+C58</f>
        <v>180673.35638165276</v>
      </c>
      <c r="D59" s="64">
        <f t="shared" si="51"/>
        <v>178880.90411094442</v>
      </c>
      <c r="E59" s="64">
        <f t="shared" si="51"/>
        <v>176908.07467204123</v>
      </c>
      <c r="F59" s="64">
        <f t="shared" si="51"/>
        <v>174430.79388372001</v>
      </c>
      <c r="G59" s="64">
        <f t="shared" si="51"/>
        <v>171350.95960389861</v>
      </c>
      <c r="H59" s="64">
        <f t="shared" si="51"/>
        <v>167610.53207077424</v>
      </c>
      <c r="I59" s="64">
        <f t="shared" si="51"/>
        <v>163234.91534451875</v>
      </c>
      <c r="J59" s="64">
        <f t="shared" si="51"/>
        <v>158830.38637082023</v>
      </c>
      <c r="K59" s="64">
        <f t="shared" si="51"/>
        <v>154176.28087071018</v>
      </c>
      <c r="L59" s="64">
        <f t="shared" si="51"/>
        <v>149612.19060719837</v>
      </c>
      <c r="M59" s="64">
        <f t="shared" si="51"/>
        <v>145458.33751190655</v>
      </c>
      <c r="N59" s="64">
        <f t="shared" si="51"/>
        <v>141931.24499888654</v>
      </c>
      <c r="O59" s="64">
        <f t="shared" si="51"/>
        <v>138723.38804779504</v>
      </c>
      <c r="P59" s="64">
        <f t="shared" si="51"/>
        <v>136203.32825876173</v>
      </c>
      <c r="Q59" s="64">
        <f t="shared" si="51"/>
        <v>134266.91889106308</v>
      </c>
      <c r="R59" s="64">
        <f t="shared" si="51"/>
        <v>132790.0919252504</v>
      </c>
      <c r="S59" s="64">
        <f t="shared" si="51"/>
        <v>131656.85613277066</v>
      </c>
      <c r="T59" s="64">
        <f t="shared" si="51"/>
        <v>130797.39676375363</v>
      </c>
      <c r="U59" s="64">
        <f t="shared" si="51"/>
        <v>130112.19439898318</v>
      </c>
      <c r="V59" s="64">
        <f t="shared" si="51"/>
        <v>129547.62217263898</v>
      </c>
      <c r="W59" s="64">
        <f t="shared" si="51"/>
        <v>129065.61197148428</v>
      </c>
      <c r="X59" s="64">
        <f t="shared" si="51"/>
        <v>128639.67612161861</v>
      </c>
      <c r="Y59" s="64">
        <f t="shared" si="51"/>
        <v>128308.75338984618</v>
      </c>
      <c r="Z59" s="64">
        <f t="shared" si="51"/>
        <v>128003.28912288706</v>
      </c>
      <c r="AA59" s="64">
        <f t="shared" si="51"/>
        <v>127714.93446403652</v>
      </c>
      <c r="AB59" s="64">
        <f t="shared" si="51"/>
        <v>127438.06033059723</v>
      </c>
      <c r="AC59" s="64">
        <f t="shared" si="51"/>
        <v>127168.88143928173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25">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0.4415713908903619</v>
      </c>
      <c r="C69" s="66">
        <f t="shared" ref="C69:AC69" si="60">C39*C40*C47/C47</f>
        <v>0.42680353055220144</v>
      </c>
      <c r="D69" s="66">
        <f t="shared" si="60"/>
        <v>0.41139059286270135</v>
      </c>
      <c r="E69" s="66">
        <f t="shared" si="60"/>
        <v>0.39907013313436462</v>
      </c>
      <c r="F69" s="66">
        <f t="shared" si="60"/>
        <v>0.38567622051581685</v>
      </c>
      <c r="G69" s="66">
        <f t="shared" si="60"/>
        <v>0.37104870350005364</v>
      </c>
      <c r="H69" s="66">
        <f t="shared" si="60"/>
        <v>0.35513878514910491</v>
      </c>
      <c r="I69" s="66">
        <f t="shared" si="60"/>
        <v>0.33809804790414727</v>
      </c>
      <c r="J69" s="66">
        <f t="shared" si="60"/>
        <v>0.32870707009917971</v>
      </c>
      <c r="K69" s="66">
        <f t="shared" si="60"/>
        <v>0.31871555638061194</v>
      </c>
      <c r="L69" s="66">
        <f t="shared" si="60"/>
        <v>0.30889213233826401</v>
      </c>
      <c r="M69" s="66">
        <f t="shared" si="60"/>
        <v>0.29996661662759572</v>
      </c>
      <c r="N69" s="66">
        <f t="shared" si="60"/>
        <v>0.29243740107181004</v>
      </c>
      <c r="O69" s="66">
        <f t="shared" si="60"/>
        <v>0.27943898391513494</v>
      </c>
      <c r="P69" s="66">
        <f t="shared" si="60"/>
        <v>0.26820565906823435</v>
      </c>
      <c r="Q69" s="66">
        <f t="shared" si="60"/>
        <v>0.25842165868868178</v>
      </c>
      <c r="R69" s="66">
        <f t="shared" si="60"/>
        <v>0.24974765302655941</v>
      </c>
      <c r="S69" s="66">
        <f t="shared" si="60"/>
        <v>0.2418830344545323</v>
      </c>
      <c r="T69" s="66">
        <f t="shared" si="60"/>
        <v>0.23506039449133223</v>
      </c>
      <c r="U69" s="66">
        <f t="shared" si="60"/>
        <v>0.22862711306934294</v>
      </c>
      <c r="V69" s="66">
        <f t="shared" si="60"/>
        <v>0.22245781254096547</v>
      </c>
      <c r="W69" s="66">
        <f t="shared" si="60"/>
        <v>0.21646547083423881</v>
      </c>
      <c r="X69" s="66">
        <f t="shared" si="60"/>
        <v>0.21059082604569551</v>
      </c>
      <c r="Y69" s="66">
        <f t="shared" si="60"/>
        <v>0.20583268374748662</v>
      </c>
      <c r="Z69" s="66">
        <f t="shared" si="60"/>
        <v>0.20112490464191404</v>
      </c>
      <c r="AA69" s="66">
        <f t="shared" si="60"/>
        <v>0.19645035693082422</v>
      </c>
      <c r="AB69" s="66">
        <f t="shared" si="60"/>
        <v>0.19179769409074607</v>
      </c>
      <c r="AC69" s="66">
        <f t="shared" si="60"/>
        <v>0.1871594228121394</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3.3614989086512455</v>
      </c>
      <c r="C71" s="76">
        <f t="shared" ref="C71:AC71" si="63">C62+C63+C64-C65+C66+C67+C68+C69+C70</f>
        <v>3.3343766462920081</v>
      </c>
      <c r="D71" s="76">
        <f t="shared" si="63"/>
        <v>3.3017866050064018</v>
      </c>
      <c r="E71" s="76">
        <f t="shared" si="63"/>
        <v>3.2659169788445257</v>
      </c>
      <c r="F71" s="76">
        <f t="shared" si="63"/>
        <v>3.2208755099659578</v>
      </c>
      <c r="G71" s="76">
        <f t="shared" si="63"/>
        <v>3.1648785230601142</v>
      </c>
      <c r="H71" s="76">
        <f t="shared" si="63"/>
        <v>3.0968707497305799</v>
      </c>
      <c r="I71" s="76">
        <f t="shared" si="63"/>
        <v>3.0173140819804805</v>
      </c>
      <c r="J71" s="76">
        <f t="shared" si="63"/>
        <v>2.9372317370041436</v>
      </c>
      <c r="K71" s="76">
        <f t="shared" si="63"/>
        <v>2.8526116370021426</v>
      </c>
      <c r="L71" s="76">
        <f t="shared" si="63"/>
        <v>2.769628177665564</v>
      </c>
      <c r="M71" s="76">
        <f t="shared" si="63"/>
        <v>2.6941035759329854</v>
      </c>
      <c r="N71" s="76">
        <f t="shared" si="63"/>
        <v>2.6299746211508039</v>
      </c>
      <c r="O71" s="76">
        <f t="shared" si="63"/>
        <v>2.5716499493127762</v>
      </c>
      <c r="P71" s="76">
        <f t="shared" si="63"/>
        <v>2.5258306804212616</v>
      </c>
      <c r="Q71" s="76">
        <f t="shared" si="63"/>
        <v>2.4906232373721955</v>
      </c>
      <c r="R71" s="76">
        <f t="shared" si="63"/>
        <v>2.4637718379937827</v>
      </c>
      <c r="S71" s="76">
        <f t="shared" si="63"/>
        <v>2.4431675508577877</v>
      </c>
      <c r="T71" s="76">
        <f t="shared" si="63"/>
        <v>2.4275410168756597</v>
      </c>
      <c r="U71" s="76">
        <f t="shared" si="63"/>
        <v>2.4150827920616518</v>
      </c>
      <c r="V71" s="76">
        <f t="shared" si="63"/>
        <v>2.4048178424917568</v>
      </c>
      <c r="W71" s="76">
        <f t="shared" si="63"/>
        <v>2.3960540206525804</v>
      </c>
      <c r="X71" s="76">
        <f t="shared" si="63"/>
        <v>2.3883097324732052</v>
      </c>
      <c r="Y71" s="76">
        <f t="shared" si="63"/>
        <v>2.3822929555318879</v>
      </c>
      <c r="Z71" s="76">
        <f t="shared" si="63"/>
        <v>2.3767390597689948</v>
      </c>
      <c r="AA71" s="76">
        <f t="shared" si="63"/>
        <v>2.371496247789894</v>
      </c>
      <c r="AB71" s="76">
        <f t="shared" si="63"/>
        <v>2.3664621726364525</v>
      </c>
      <c r="AC71" s="76">
        <f t="shared" si="63"/>
        <v>2.3615680109761708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25">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1.7662855635614476E-2</v>
      </c>
      <c r="C81" s="66">
        <f t="shared" ref="C81:AC81" si="72">C39*C40*C47/C47/(C44)</f>
        <v>1.7072141222088059E-2</v>
      </c>
      <c r="D81" s="66">
        <f t="shared" si="72"/>
        <v>1.6455623714508053E-2</v>
      </c>
      <c r="E81" s="66">
        <f t="shared" si="72"/>
        <v>1.5962805325374585E-2</v>
      </c>
      <c r="F81" s="66">
        <f t="shared" si="72"/>
        <v>1.5427048820632673E-2</v>
      </c>
      <c r="G81" s="66">
        <f t="shared" si="72"/>
        <v>1.4841948140002146E-2</v>
      </c>
      <c r="H81" s="66">
        <f t="shared" si="72"/>
        <v>1.4205551405964197E-2</v>
      </c>
      <c r="I81" s="66">
        <f t="shared" si="72"/>
        <v>1.3523921916165891E-2</v>
      </c>
      <c r="J81" s="66">
        <f t="shared" si="72"/>
        <v>1.3148282803967189E-2</v>
      </c>
      <c r="K81" s="66">
        <f t="shared" si="72"/>
        <v>1.2748622255224478E-2</v>
      </c>
      <c r="L81" s="66">
        <f t="shared" si="72"/>
        <v>1.2355685293530561E-2</v>
      </c>
      <c r="M81" s="66">
        <f t="shared" si="72"/>
        <v>1.1998664665103829E-2</v>
      </c>
      <c r="N81" s="66">
        <f t="shared" si="72"/>
        <v>1.1697496042872402E-2</v>
      </c>
      <c r="O81" s="66">
        <f t="shared" si="72"/>
        <v>1.1177559356605398E-2</v>
      </c>
      <c r="P81" s="66">
        <f t="shared" si="72"/>
        <v>1.0728226362729375E-2</v>
      </c>
      <c r="Q81" s="66">
        <f t="shared" si="72"/>
        <v>1.0336866347547271E-2</v>
      </c>
      <c r="R81" s="66">
        <f t="shared" si="72"/>
        <v>9.9899061210623769E-3</v>
      </c>
      <c r="S81" s="66">
        <f t="shared" si="72"/>
        <v>9.6753213781812925E-3</v>
      </c>
      <c r="T81" s="66">
        <f t="shared" si="72"/>
        <v>9.4024157796532889E-3</v>
      </c>
      <c r="U81" s="66">
        <f t="shared" si="72"/>
        <v>9.1450845227737179E-3</v>
      </c>
      <c r="V81" s="66">
        <f t="shared" si="72"/>
        <v>8.898312501638618E-3</v>
      </c>
      <c r="W81" s="66">
        <f t="shared" si="72"/>
        <v>8.6586188333695521E-3</v>
      </c>
      <c r="X81" s="66">
        <f t="shared" si="72"/>
        <v>8.4236330418278205E-3</v>
      </c>
      <c r="Y81" s="66">
        <f t="shared" si="72"/>
        <v>8.233307349899464E-3</v>
      </c>
      <c r="Z81" s="66">
        <f t="shared" si="72"/>
        <v>8.0449961856765614E-3</v>
      </c>
      <c r="AA81" s="66">
        <f t="shared" si="72"/>
        <v>7.8580142772329692E-3</v>
      </c>
      <c r="AB81" s="66">
        <f t="shared" si="72"/>
        <v>7.6719077636298429E-3</v>
      </c>
      <c r="AC81" s="66">
        <f t="shared" si="72"/>
        <v>7.4863769124855761E-3</v>
      </c>
    </row>
    <row r="82" spans="1:29" x14ac:dyDescent="0.25">
      <c r="A82" s="59" t="str">
        <f>A45</f>
        <v>Market failure (av. utilization)</v>
      </c>
      <c r="B82" s="66">
        <f t="shared" ref="B82:AC82" si="73">B71/B45-B71/B44</f>
        <v>0.10564710855761061</v>
      </c>
      <c r="C82" s="66">
        <f t="shared" si="73"/>
        <v>0.10479469459774887</v>
      </c>
      <c r="D82" s="66">
        <f t="shared" si="73"/>
        <v>0.1037704361573441</v>
      </c>
      <c r="E82" s="66">
        <f t="shared" si="73"/>
        <v>0.10264310504939941</v>
      </c>
      <c r="F82" s="66">
        <f t="shared" si="73"/>
        <v>0.10122751602750157</v>
      </c>
      <c r="G82" s="66">
        <f t="shared" si="73"/>
        <v>9.9467610724746469E-2</v>
      </c>
      <c r="H82" s="66">
        <f t="shared" si="73"/>
        <v>9.7330223562961116E-2</v>
      </c>
      <c r="I82" s="66">
        <f t="shared" si="73"/>
        <v>9.4829871147957975E-2</v>
      </c>
      <c r="J82" s="66">
        <f t="shared" si="73"/>
        <v>9.2312997448701695E-2</v>
      </c>
      <c r="K82" s="66">
        <f t="shared" si="73"/>
        <v>8.9653508591495928E-2</v>
      </c>
      <c r="L82" s="66">
        <f t="shared" si="73"/>
        <v>8.7045457012346339E-2</v>
      </c>
      <c r="M82" s="66">
        <f t="shared" si="73"/>
        <v>8.4671826672179554E-2</v>
      </c>
      <c r="N82" s="66">
        <f t="shared" si="73"/>
        <v>8.2656345236168161E-2</v>
      </c>
      <c r="O82" s="66">
        <f t="shared" si="73"/>
        <v>8.0823284121258707E-2</v>
      </c>
      <c r="P82" s="66">
        <f t="shared" si="73"/>
        <v>7.938324995609683E-2</v>
      </c>
      <c r="Q82" s="66">
        <f t="shared" si="73"/>
        <v>7.8276730317411863E-2</v>
      </c>
      <c r="R82" s="66">
        <f t="shared" si="73"/>
        <v>7.7432829194090336E-2</v>
      </c>
      <c r="S82" s="66">
        <f t="shared" si="73"/>
        <v>7.6785265884101908E-2</v>
      </c>
      <c r="T82" s="66">
        <f t="shared" si="73"/>
        <v>7.629414624466363E-2</v>
      </c>
      <c r="U82" s="66">
        <f t="shared" si="73"/>
        <v>7.5902602036223357E-2</v>
      </c>
      <c r="V82" s="66">
        <f t="shared" si="73"/>
        <v>7.5579989335455247E-2</v>
      </c>
      <c r="W82" s="66">
        <f t="shared" si="73"/>
        <v>7.5304554934795404E-2</v>
      </c>
      <c r="X82" s="66">
        <f t="shared" si="73"/>
        <v>7.5061163020586463E-2</v>
      </c>
      <c r="Y82" s="66">
        <f t="shared" si="73"/>
        <v>7.4872064316716502E-2</v>
      </c>
      <c r="Z82" s="66">
        <f t="shared" si="73"/>
        <v>7.4697513307025579E-2</v>
      </c>
      <c r="AA82" s="66">
        <f t="shared" si="73"/>
        <v>7.4532739216253849E-2</v>
      </c>
      <c r="AB82" s="66">
        <f t="shared" si="73"/>
        <v>7.4374525425717111E-2</v>
      </c>
      <c r="AC82" s="66">
        <f t="shared" si="73"/>
        <v>7.4220708916393957E-2</v>
      </c>
    </row>
    <row r="83" spans="1:29" x14ac:dyDescent="0.25">
      <c r="A83" s="59" t="str">
        <f>A46</f>
        <v>Payload loss (fuel)</v>
      </c>
      <c r="B83" s="66">
        <f>B71/(B44-B46)-B71/B44</f>
        <v>7.0178563445111586E-3</v>
      </c>
      <c r="C83" s="66">
        <f t="shared" ref="C83:AC83" si="74">C71/(C44-C46)-C71/C44</f>
        <v>6.9361964610615834E-3</v>
      </c>
      <c r="D83" s="66">
        <f t="shared" si="74"/>
        <v>6.8332170923137703E-3</v>
      </c>
      <c r="E83" s="66">
        <f t="shared" si="74"/>
        <v>6.709822320545733E-3</v>
      </c>
      <c r="F83" s="66">
        <f t="shared" si="74"/>
        <v>6.5492743036292544E-3</v>
      </c>
      <c r="G83" s="66">
        <f t="shared" si="74"/>
        <v>6.3426072671358136E-3</v>
      </c>
      <c r="H83" s="66">
        <f t="shared" si="74"/>
        <v>6.0820248720153958E-3</v>
      </c>
      <c r="I83" s="66">
        <f t="shared" si="74"/>
        <v>5.7634030452430179E-3</v>
      </c>
      <c r="J83" s="66">
        <f t="shared" si="74"/>
        <v>5.4044208798733201E-3</v>
      </c>
      <c r="K83" s="66">
        <f t="shared" si="74"/>
        <v>4.997705096427052E-3</v>
      </c>
      <c r="L83" s="66">
        <f t="shared" si="74"/>
        <v>4.5612187459083547E-3</v>
      </c>
      <c r="M83" s="66">
        <f t="shared" si="74"/>
        <v>4.118358446684442E-3</v>
      </c>
      <c r="N83" s="66">
        <f t="shared" si="74"/>
        <v>3.6940207758747179E-3</v>
      </c>
      <c r="O83" s="66">
        <f t="shared" si="74"/>
        <v>3.301152707110025E-3</v>
      </c>
      <c r="P83" s="66">
        <f t="shared" si="74"/>
        <v>2.9658653182295242E-3</v>
      </c>
      <c r="Q83" s="66">
        <f t="shared" si="74"/>
        <v>2.6939725591964836E-3</v>
      </c>
      <c r="R83" s="66">
        <f t="shared" si="74"/>
        <v>2.4830268462474742E-3</v>
      </c>
      <c r="S83" s="66">
        <f t="shared" si="74"/>
        <v>2.3250585022918935E-3</v>
      </c>
      <c r="T83" s="66">
        <f t="shared" si="74"/>
        <v>2.2102151060414549E-3</v>
      </c>
      <c r="U83" s="66">
        <f t="shared" si="74"/>
        <v>2.1278828514087605E-3</v>
      </c>
      <c r="V83" s="66">
        <f t="shared" si="74"/>
        <v>2.0693575293293381E-3</v>
      </c>
      <c r="W83" s="66">
        <f t="shared" si="74"/>
        <v>2.0277753566343565E-3</v>
      </c>
      <c r="X83" s="66">
        <f t="shared" si="74"/>
        <v>1.9980144149369106E-3</v>
      </c>
      <c r="Y83" s="66">
        <f t="shared" si="74"/>
        <v>1.9772512417780136E-3</v>
      </c>
      <c r="Z83" s="66">
        <f t="shared" si="74"/>
        <v>1.9620252420415596E-3</v>
      </c>
      <c r="AA83" s="66">
        <f t="shared" si="74"/>
        <v>1.9505525221502479E-3</v>
      </c>
      <c r="AB83" s="66">
        <f t="shared" si="74"/>
        <v>1.9416130153963596E-3</v>
      </c>
      <c r="AC83" s="66">
        <f t="shared" si="74"/>
        <v>1.9343783214292448E-3</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0.24514866003769331</v>
      </c>
      <c r="C85" s="67">
        <f t="shared" ref="C85:AC85" si="76">C74+C75+C76+C77+C78+C79+C80+C81+C82+C83+C84</f>
        <v>0.24312969570001247</v>
      </c>
      <c r="D85" s="67">
        <f t="shared" si="76"/>
        <v>0.2406988562394356</v>
      </c>
      <c r="E85" s="67">
        <f t="shared" si="76"/>
        <v>0.23801334531324786</v>
      </c>
      <c r="F85" s="67">
        <f t="shared" si="76"/>
        <v>0.23463554951929083</v>
      </c>
      <c r="G85" s="67">
        <f t="shared" si="76"/>
        <v>0.23042909770380854</v>
      </c>
      <c r="H85" s="67">
        <f t="shared" si="76"/>
        <v>0.2253108172137214</v>
      </c>
      <c r="I85" s="67">
        <f t="shared" si="76"/>
        <v>0.21930957626194192</v>
      </c>
      <c r="J85" s="67">
        <f t="shared" si="76"/>
        <v>0.21323042659826247</v>
      </c>
      <c r="K85" s="67">
        <f t="shared" si="76"/>
        <v>0.20677941795753038</v>
      </c>
      <c r="L85" s="67">
        <f t="shared" si="76"/>
        <v>0.20041554165439895</v>
      </c>
      <c r="M85" s="67">
        <f t="shared" si="76"/>
        <v>0.19457806694570512</v>
      </c>
      <c r="N85" s="67">
        <f t="shared" si="76"/>
        <v>0.18957308964759673</v>
      </c>
      <c r="O85" s="67">
        <f t="shared" si="76"/>
        <v>0.18501417359040145</v>
      </c>
      <c r="P85" s="67">
        <f t="shared" si="76"/>
        <v>0.18140608128069852</v>
      </c>
      <c r="Q85" s="67">
        <f t="shared" si="76"/>
        <v>0.17861937116101786</v>
      </c>
      <c r="R85" s="67">
        <f t="shared" si="76"/>
        <v>0.1764904683496108</v>
      </c>
      <c r="S85" s="67">
        <f t="shared" si="76"/>
        <v>0.174860765210227</v>
      </c>
      <c r="T85" s="67">
        <f t="shared" si="76"/>
        <v>0.17362974081525318</v>
      </c>
      <c r="U85" s="67">
        <f t="shared" si="76"/>
        <v>0.17265753535961986</v>
      </c>
      <c r="V85" s="67">
        <f t="shared" si="76"/>
        <v>0.17186579935397661</v>
      </c>
      <c r="W85" s="67">
        <f t="shared" si="76"/>
        <v>0.17119822990705469</v>
      </c>
      <c r="X85" s="67">
        <f t="shared" si="76"/>
        <v>0.17061530552397328</v>
      </c>
      <c r="Y85" s="67">
        <f t="shared" si="76"/>
        <v>0.17016477256929174</v>
      </c>
      <c r="Z85" s="67">
        <f t="shared" si="76"/>
        <v>0.16975283972934863</v>
      </c>
      <c r="AA85" s="67">
        <f t="shared" si="76"/>
        <v>0.16936688043952158</v>
      </c>
      <c r="AB85" s="67">
        <f t="shared" si="76"/>
        <v>0.16899836413609329</v>
      </c>
      <c r="AC85" s="67">
        <f t="shared" si="76"/>
        <v>0.16864154646639173</v>
      </c>
    </row>
    <row r="87" spans="1:29" x14ac:dyDescent="0.25">
      <c r="B87" s="40"/>
    </row>
    <row r="107" spans="1:2" s="3" customFormat="1" ht="21" x14ac:dyDescent="0.35">
      <c r="A107" s="2" t="str">
        <f>'Parameter Input'!A88</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Input'!$L$101</f>
        <v>390000</v>
      </c>
      <c r="C117" s="42">
        <f>'Parameter Input'!$M$101</f>
        <v>155000</v>
      </c>
      <c r="D117" s="1" t="s">
        <v>15</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25">
      <c r="A118" s="24" t="s">
        <v>28</v>
      </c>
      <c r="B118" s="60">
        <f>'Parameter Input'!$L$102</f>
        <v>-58500</v>
      </c>
      <c r="C118" s="61">
        <f>'Parameter Input'!$M$102</f>
        <v>-38750</v>
      </c>
      <c r="D118" s="1" t="s">
        <v>15</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45">
        <f>'Parameter Input'!$L$108</f>
        <v>0.06</v>
      </c>
      <c r="C121" s="46">
        <f>'Parameter Input'!$M$108</f>
        <v>0.06</v>
      </c>
      <c r="D121" s="1" t="s">
        <v>57</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43">
        <f>'Parameter Input'!$L$104</f>
        <v>26000</v>
      </c>
      <c r="C123" s="44">
        <f>'Parameter Input'!$M$104</f>
        <v>18000</v>
      </c>
      <c r="D123" s="1" t="s">
        <v>38</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47">
        <f>'Parameter Input'!$L$105</f>
        <v>2.5299999999999998</v>
      </c>
      <c r="C125" s="48">
        <f>'Parameter Input'!$M$105</f>
        <v>1.79</v>
      </c>
      <c r="D125" s="1" t="s">
        <v>60</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25">
      <c r="A126" s="24" t="s">
        <v>67</v>
      </c>
      <c r="B126" s="45">
        <f>'Parameter Input'!$L$106</f>
        <v>0.2544561408768215</v>
      </c>
      <c r="C126" s="46">
        <f>'Parameter Input'!$M$106</f>
        <v>0.10949010032952979</v>
      </c>
      <c r="D126" s="1" t="s">
        <v>68</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Input'!$L$109</f>
        <v>0</v>
      </c>
      <c r="C127" s="116">
        <f>'Parameter Input'!$M$109</f>
        <v>0</v>
      </c>
      <c r="D127" s="1" t="s">
        <v>76</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43">
        <f>'Parameter Input'!$L$103</f>
        <v>8</v>
      </c>
      <c r="C128" s="44">
        <f>'Parameter Input'!$M$103</f>
        <v>8</v>
      </c>
      <c r="D128" s="1" t="s">
        <v>42</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73</v>
      </c>
      <c r="B132" s="72">
        <f>'Parameter Input'!$L$107</f>
        <v>0.05</v>
      </c>
      <c r="C132" s="73">
        <f>'Parameter Input'!$M$107</f>
        <v>0.02</v>
      </c>
      <c r="D132" s="1" t="s">
        <v>57</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25">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25">
      <c r="A146" s="30" t="str">
        <f t="shared" si="82"/>
        <v>Fuel Cost</v>
      </c>
      <c r="B146" s="66">
        <f>'Parameter Input'!J5</f>
        <v>0.17650758633144634</v>
      </c>
      <c r="C146" s="66">
        <f>'Parameter Input'!K5</f>
        <v>0.17141203646151962</v>
      </c>
      <c r="D146" s="66">
        <f>'Parameter Input'!L5</f>
        <v>0.16631648659159295</v>
      </c>
      <c r="E146" s="66">
        <f>'Parameter Input'!M5</f>
        <v>0.16281432766630949</v>
      </c>
      <c r="F146" s="66">
        <f>'Parameter Input'!N5</f>
        <v>0.15931216874102602</v>
      </c>
      <c r="G146" s="66">
        <f>'Parameter Input'!O5</f>
        <v>0.15581000981574256</v>
      </c>
      <c r="H146" s="66">
        <f>'Parameter Input'!P5</f>
        <v>0.15230785089045909</v>
      </c>
      <c r="I146" s="66">
        <f>'Parameter Input'!Q5</f>
        <v>0.1488056919651756</v>
      </c>
      <c r="J146" s="66">
        <f>'Parameter Input'!R5</f>
        <v>0.14909793604375518</v>
      </c>
      <c r="K146" s="66">
        <f>'Parameter Input'!S5</f>
        <v>0.14939018012233476</v>
      </c>
      <c r="L146" s="66">
        <f>'Parameter Input'!T5</f>
        <v>0.14968242420091435</v>
      </c>
      <c r="M146" s="66">
        <f>'Parameter Input'!U5</f>
        <v>0.14997466827949391</v>
      </c>
      <c r="N146" s="66">
        <f>'Parameter Input'!V5</f>
        <v>0.15026691235807355</v>
      </c>
      <c r="O146" s="66">
        <f>'Parameter Input'!W5</f>
        <v>0.14685063279900346</v>
      </c>
      <c r="P146" s="66">
        <f>'Parameter Input'!X5</f>
        <v>0.14343435323993334</v>
      </c>
      <c r="Q146" s="66">
        <f>'Parameter Input'!Y5</f>
        <v>0.14001807368086325</v>
      </c>
      <c r="R146" s="66">
        <f>'Parameter Input'!Z5</f>
        <v>0.13660179412179316</v>
      </c>
      <c r="S146" s="66">
        <f>'Parameter Input'!AA5</f>
        <v>0.1331855145627231</v>
      </c>
      <c r="T146" s="66">
        <f>'Parameter Input'!AB5</f>
        <v>0.13003016708307891</v>
      </c>
      <c r="U146" s="66">
        <f>'Parameter Input'!AC5</f>
        <v>0.12687481960343472</v>
      </c>
      <c r="V146" s="66">
        <f>'Parameter Input'!AD5</f>
        <v>0.12371947212379053</v>
      </c>
      <c r="W146" s="66">
        <f>'Parameter Input'!AE5</f>
        <v>0.12056412464414634</v>
      </c>
      <c r="X146" s="66">
        <f>'Parameter Input'!AF5</f>
        <v>0.11740877716450215</v>
      </c>
      <c r="Y146" s="66">
        <f>'Parameter Input'!AG5</f>
        <v>0.11483288597039364</v>
      </c>
      <c r="Z146" s="66">
        <f>'Parameter Input'!AH5</f>
        <v>0.11225699477628512</v>
      </c>
      <c r="AA146" s="66">
        <f>'Parameter Input'!AI5</f>
        <v>0.10968110358217659</v>
      </c>
      <c r="AB146" s="66">
        <f>'Parameter Input'!AJ5</f>
        <v>0.10710521238806807</v>
      </c>
      <c r="AC146" s="66">
        <f>'Parameter Input'!AK5</f>
        <v>0.10452932119395957</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25">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25">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25">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25">
      <c r="A152" s="30" t="s">
        <v>73</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25">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25">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25">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25">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25">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25">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25">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25">
      <c r="A163" s="30" t="str">
        <f>A146</f>
        <v>Fuel Cost</v>
      </c>
      <c r="B163" s="62">
        <f>B145*B146*B153</f>
        <v>48572.852997939808</v>
      </c>
      <c r="C163" s="62">
        <f t="shared" ref="C163:AC163" si="127">C145*C146*C153</f>
        <v>46948.388360742159</v>
      </c>
      <c r="D163" s="62">
        <f t="shared" si="127"/>
        <v>45252.965214897151</v>
      </c>
      <c r="E163" s="62">
        <f t="shared" si="127"/>
        <v>43897.714644780106</v>
      </c>
      <c r="F163" s="62">
        <f t="shared" si="127"/>
        <v>42424.384256739853</v>
      </c>
      <c r="G163" s="62">
        <f t="shared" si="127"/>
        <v>40815.357385005904</v>
      </c>
      <c r="H163" s="62">
        <f t="shared" si="127"/>
        <v>39065.266366401542</v>
      </c>
      <c r="I163" s="62">
        <f t="shared" si="127"/>
        <v>37190.785269456203</v>
      </c>
      <c r="J163" s="62">
        <f t="shared" si="127"/>
        <v>36157.777710909766</v>
      </c>
      <c r="K163" s="62">
        <f t="shared" si="127"/>
        <v>35058.711201867314</v>
      </c>
      <c r="L163" s="62">
        <f t="shared" si="127"/>
        <v>33978.134557209043</v>
      </c>
      <c r="M163" s="62">
        <f t="shared" si="127"/>
        <v>32996.32782903553</v>
      </c>
      <c r="N163" s="62">
        <f t="shared" si="127"/>
        <v>32168.114117899106</v>
      </c>
      <c r="O163" s="62">
        <f t="shared" si="127"/>
        <v>30738.288230664843</v>
      </c>
      <c r="P163" s="62">
        <f t="shared" si="127"/>
        <v>29502.622497505778</v>
      </c>
      <c r="Q163" s="62">
        <f t="shared" si="127"/>
        <v>28426.382455754996</v>
      </c>
      <c r="R163" s="62">
        <f t="shared" si="127"/>
        <v>27472.241832921536</v>
      </c>
      <c r="S163" s="62">
        <f t="shared" si="127"/>
        <v>26607.133789998552</v>
      </c>
      <c r="T163" s="62">
        <f t="shared" si="127"/>
        <v>25856.643394046547</v>
      </c>
      <c r="U163" s="62">
        <f t="shared" si="127"/>
        <v>25148.982437627725</v>
      </c>
      <c r="V163" s="62">
        <f t="shared" si="127"/>
        <v>24470.359379506201</v>
      </c>
      <c r="W163" s="62">
        <f t="shared" si="127"/>
        <v>23811.201791766271</v>
      </c>
      <c r="X163" s="62">
        <f t="shared" si="127"/>
        <v>23164.990865026506</v>
      </c>
      <c r="Y163" s="62">
        <f t="shared" si="127"/>
        <v>22641.595212223529</v>
      </c>
      <c r="Z163" s="62">
        <f t="shared" si="127"/>
        <v>22123.739510610543</v>
      </c>
      <c r="AA163" s="62">
        <f t="shared" si="127"/>
        <v>21609.539262390663</v>
      </c>
      <c r="AB163" s="62">
        <f t="shared" si="127"/>
        <v>21097.746349982066</v>
      </c>
      <c r="AC163" s="62">
        <f t="shared" si="127"/>
        <v>20587.536509335336</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214539.5266836865</v>
      </c>
      <c r="C165" s="64">
        <f t="shared" ref="C165:AC165" si="129">C156+C157+C158+C159+C160+C161+C162+C163+C164</f>
        <v>212235.56993532961</v>
      </c>
      <c r="D165" s="64">
        <f t="shared" si="129"/>
        <v>209595.40609169874</v>
      </c>
      <c r="E165" s="64">
        <f t="shared" si="129"/>
        <v>206944.95136773703</v>
      </c>
      <c r="F165" s="64">
        <f t="shared" si="129"/>
        <v>203731.00538539566</v>
      </c>
      <c r="G165" s="64">
        <f t="shared" si="129"/>
        <v>199846.65766970732</v>
      </c>
      <c r="H165" s="64">
        <f t="shared" si="129"/>
        <v>195231.18462728075</v>
      </c>
      <c r="I165" s="64">
        <f t="shared" si="129"/>
        <v>189918.32735255262</v>
      </c>
      <c r="J165" s="64">
        <f t="shared" si="129"/>
        <v>184997.29459958087</v>
      </c>
      <c r="K165" s="64">
        <f t="shared" si="129"/>
        <v>179793.65584494959</v>
      </c>
      <c r="L165" s="64">
        <f t="shared" si="129"/>
        <v>174689.27725910864</v>
      </c>
      <c r="M165" s="64">
        <f t="shared" si="129"/>
        <v>170044.52079973006</v>
      </c>
      <c r="N165" s="64">
        <f t="shared" si="129"/>
        <v>166103.32143114184</v>
      </c>
      <c r="O165" s="64">
        <f t="shared" si="129"/>
        <v>162180.55153643322</v>
      </c>
      <c r="P165" s="64">
        <f t="shared" si="129"/>
        <v>159042.65888082035</v>
      </c>
      <c r="Q165" s="64">
        <f t="shared" si="129"/>
        <v>156568.12949224634</v>
      </c>
      <c r="R165" s="64">
        <f t="shared" si="129"/>
        <v>154614.23221501693</v>
      </c>
      <c r="S165" s="64">
        <f t="shared" si="129"/>
        <v>153048.44240107568</v>
      </c>
      <c r="T165" s="64">
        <f t="shared" si="129"/>
        <v>151813.73783408265</v>
      </c>
      <c r="U165" s="64">
        <f t="shared" si="129"/>
        <v>150774.7049911028</v>
      </c>
      <c r="V165" s="64">
        <f t="shared" si="129"/>
        <v>149870.82123569783</v>
      </c>
      <c r="W165" s="64">
        <f t="shared" si="129"/>
        <v>149059.23224067315</v>
      </c>
      <c r="X165" s="64">
        <f t="shared" si="129"/>
        <v>148310.19092743762</v>
      </c>
      <c r="Y165" s="64">
        <f t="shared" si="129"/>
        <v>147717.5703692637</v>
      </c>
      <c r="Z165" s="64">
        <f t="shared" si="129"/>
        <v>147153.17825149809</v>
      </c>
      <c r="AA165" s="64">
        <f t="shared" si="129"/>
        <v>146607.72346853759</v>
      </c>
      <c r="AB165" s="64">
        <f t="shared" si="129"/>
        <v>146074.95287889402</v>
      </c>
      <c r="AC165" s="64">
        <f t="shared" si="129"/>
        <v>145550.66906725516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25">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25">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25">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25">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25">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25">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25">
      <c r="A175" s="30" t="str">
        <f t="shared" si="130"/>
        <v>Fuel Cost</v>
      </c>
      <c r="B175" s="66">
        <f>B145*B146*B153/B153</f>
        <v>0.4415713908903619</v>
      </c>
      <c r="C175" s="66">
        <f t="shared" ref="C175:AC175" si="138">C145*C146*C153/C153</f>
        <v>0.42680353055220144</v>
      </c>
      <c r="D175" s="66">
        <f t="shared" si="138"/>
        <v>0.41139059286270135</v>
      </c>
      <c r="E175" s="66">
        <f t="shared" si="138"/>
        <v>0.39907013313436462</v>
      </c>
      <c r="F175" s="66">
        <f t="shared" si="138"/>
        <v>0.38567622051581685</v>
      </c>
      <c r="G175" s="66">
        <f t="shared" si="138"/>
        <v>0.37104870350005364</v>
      </c>
      <c r="H175" s="66">
        <f t="shared" si="138"/>
        <v>0.35513878514910491</v>
      </c>
      <c r="I175" s="66">
        <f t="shared" si="138"/>
        <v>0.33809804790414727</v>
      </c>
      <c r="J175" s="66">
        <f t="shared" si="138"/>
        <v>0.32870707009917971</v>
      </c>
      <c r="K175" s="66">
        <f t="shared" si="138"/>
        <v>0.31871555638061194</v>
      </c>
      <c r="L175" s="66">
        <f t="shared" si="138"/>
        <v>0.30889213233826401</v>
      </c>
      <c r="M175" s="66">
        <f t="shared" si="138"/>
        <v>0.29996661662759572</v>
      </c>
      <c r="N175" s="66">
        <f t="shared" si="138"/>
        <v>0.29243740107181004</v>
      </c>
      <c r="O175" s="66">
        <f t="shared" si="138"/>
        <v>0.27943898391513494</v>
      </c>
      <c r="P175" s="66">
        <f t="shared" si="138"/>
        <v>0.26820565906823435</v>
      </c>
      <c r="Q175" s="66">
        <f t="shared" si="138"/>
        <v>0.25842165868868178</v>
      </c>
      <c r="R175" s="66">
        <f t="shared" si="138"/>
        <v>0.24974765302655941</v>
      </c>
      <c r="S175" s="66">
        <f t="shared" si="138"/>
        <v>0.2418830344545323</v>
      </c>
      <c r="T175" s="66">
        <f t="shared" si="138"/>
        <v>0.23506039449133223</v>
      </c>
      <c r="U175" s="66">
        <f t="shared" si="138"/>
        <v>0.22862711306934294</v>
      </c>
      <c r="V175" s="66">
        <f t="shared" si="138"/>
        <v>0.22245781254096547</v>
      </c>
      <c r="W175" s="66">
        <f t="shared" si="138"/>
        <v>0.21646547083423881</v>
      </c>
      <c r="X175" s="66">
        <f t="shared" si="138"/>
        <v>0.21059082604569551</v>
      </c>
      <c r="Y175" s="66">
        <f t="shared" si="138"/>
        <v>0.20583268374748662</v>
      </c>
      <c r="Z175" s="66">
        <f t="shared" si="138"/>
        <v>0.20112490464191404</v>
      </c>
      <c r="AA175" s="66">
        <f t="shared" si="138"/>
        <v>0.19645035693082422</v>
      </c>
      <c r="AB175" s="66">
        <f t="shared" si="138"/>
        <v>0.19179769409074607</v>
      </c>
      <c r="AC175" s="66">
        <f t="shared" si="138"/>
        <v>0.1871594228121394</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1.9874142311845273</v>
      </c>
      <c r="C177" s="76">
        <f t="shared" ref="C177:AC177" si="141">C168+C169+C170-C171+C172+C173+C174+C175+C176</f>
        <v>1.9664691698358285</v>
      </c>
      <c r="D177" s="76">
        <f t="shared" si="141"/>
        <v>1.942467680348275</v>
      </c>
      <c r="E177" s="76">
        <f t="shared" si="141"/>
        <v>1.9183726374031689</v>
      </c>
      <c r="F177" s="76">
        <f t="shared" si="141"/>
        <v>1.8891549466546111</v>
      </c>
      <c r="G177" s="76">
        <f t="shared" si="141"/>
        <v>1.8538426946938076</v>
      </c>
      <c r="H177" s="76">
        <f t="shared" si="141"/>
        <v>1.811883848853566</v>
      </c>
      <c r="I177" s="76">
        <f t="shared" si="141"/>
        <v>1.7635851463560377</v>
      </c>
      <c r="J177" s="76">
        <f t="shared" si="141"/>
        <v>1.7188484849653853</v>
      </c>
      <c r="K177" s="76">
        <f t="shared" si="141"/>
        <v>1.6715426781051008</v>
      </c>
      <c r="L177" s="76">
        <f t="shared" si="141"/>
        <v>1.6251392364156378</v>
      </c>
      <c r="M177" s="76">
        <f t="shared" si="141"/>
        <v>1.5829141776940143</v>
      </c>
      <c r="N177" s="76">
        <f t="shared" si="141"/>
        <v>1.5470850925250306</v>
      </c>
      <c r="O177" s="76">
        <f t="shared" si="141"/>
        <v>1.5114235480276794</v>
      </c>
      <c r="P177" s="76">
        <f t="shared" si="141"/>
        <v>1.4828972511584717</v>
      </c>
      <c r="Q177" s="76">
        <f t="shared" si="141"/>
        <v>1.4604015294441626</v>
      </c>
      <c r="R177" s="76">
        <f t="shared" si="141"/>
        <v>1.442638826923895</v>
      </c>
      <c r="S177" s="76">
        <f t="shared" si="141"/>
        <v>1.428404374069884</v>
      </c>
      <c r="T177" s="76">
        <f t="shared" si="141"/>
        <v>1.4171797870972198</v>
      </c>
      <c r="U177" s="76">
        <f t="shared" si="141"/>
        <v>1.4077340339792208</v>
      </c>
      <c r="V177" s="76">
        <f t="shared" si="141"/>
        <v>1.399516908930085</v>
      </c>
      <c r="W177" s="76">
        <f t="shared" si="141"/>
        <v>1.3921388271571336</v>
      </c>
      <c r="X177" s="76">
        <f t="shared" si="141"/>
        <v>1.3853293606731738</v>
      </c>
      <c r="Y177" s="76">
        <f t="shared" si="141"/>
        <v>1.3799419010534111</v>
      </c>
      <c r="Z177" s="76">
        <f t="shared" si="141"/>
        <v>1.3748110636191784</v>
      </c>
      <c r="AA177" s="76">
        <f t="shared" si="141"/>
        <v>1.369852383774083</v>
      </c>
      <c r="AB177" s="76">
        <f t="shared" si="141"/>
        <v>1.3650090147773231</v>
      </c>
      <c r="AC177" s="76">
        <f t="shared" si="141"/>
        <v>1.3602427983078786</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25">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25">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25">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25">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25">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25">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25">
      <c r="A187" s="30" t="str">
        <f t="shared" si="142"/>
        <v>Fuel Cost</v>
      </c>
      <c r="B187" s="66">
        <f>B145*B146*B153/B153/(B150)</f>
        <v>1.7662855635614476E-2</v>
      </c>
      <c r="C187" s="66">
        <f t="shared" ref="C187:AC187" si="150">C145*C146*C153/C153/(C150)</f>
        <v>1.7072141222088059E-2</v>
      </c>
      <c r="D187" s="66">
        <f t="shared" si="150"/>
        <v>1.6455623714508053E-2</v>
      </c>
      <c r="E187" s="66">
        <f t="shared" si="150"/>
        <v>1.5962805325374585E-2</v>
      </c>
      <c r="F187" s="66">
        <f t="shared" si="150"/>
        <v>1.5427048820632673E-2</v>
      </c>
      <c r="G187" s="66">
        <f t="shared" si="150"/>
        <v>1.4841948140002146E-2</v>
      </c>
      <c r="H187" s="66">
        <f t="shared" si="150"/>
        <v>1.4205551405964197E-2</v>
      </c>
      <c r="I187" s="66">
        <f t="shared" si="150"/>
        <v>1.3523921916165891E-2</v>
      </c>
      <c r="J187" s="66">
        <f t="shared" si="150"/>
        <v>1.3148282803967189E-2</v>
      </c>
      <c r="K187" s="66">
        <f t="shared" si="150"/>
        <v>1.2748622255224478E-2</v>
      </c>
      <c r="L187" s="66">
        <f t="shared" si="150"/>
        <v>1.2355685293530561E-2</v>
      </c>
      <c r="M187" s="66">
        <f t="shared" si="150"/>
        <v>1.1998664665103829E-2</v>
      </c>
      <c r="N187" s="66">
        <f t="shared" si="150"/>
        <v>1.1697496042872402E-2</v>
      </c>
      <c r="O187" s="66">
        <f t="shared" si="150"/>
        <v>1.1177559356605398E-2</v>
      </c>
      <c r="P187" s="66">
        <f t="shared" si="150"/>
        <v>1.0728226362729375E-2</v>
      </c>
      <c r="Q187" s="66">
        <f t="shared" si="150"/>
        <v>1.0336866347547271E-2</v>
      </c>
      <c r="R187" s="66">
        <f t="shared" si="150"/>
        <v>9.9899061210623769E-3</v>
      </c>
      <c r="S187" s="66">
        <f t="shared" si="150"/>
        <v>9.6753213781812925E-3</v>
      </c>
      <c r="T187" s="66">
        <f t="shared" si="150"/>
        <v>9.4024157796532889E-3</v>
      </c>
      <c r="U187" s="66">
        <f t="shared" si="150"/>
        <v>9.1450845227737179E-3</v>
      </c>
      <c r="V187" s="66">
        <f t="shared" si="150"/>
        <v>8.898312501638618E-3</v>
      </c>
      <c r="W187" s="66">
        <f t="shared" si="150"/>
        <v>8.6586188333695521E-3</v>
      </c>
      <c r="X187" s="66">
        <f t="shared" si="150"/>
        <v>8.4236330418278205E-3</v>
      </c>
      <c r="Y187" s="66">
        <f t="shared" si="150"/>
        <v>8.233307349899464E-3</v>
      </c>
      <c r="Z187" s="66">
        <f t="shared" si="150"/>
        <v>8.0449961856765614E-3</v>
      </c>
      <c r="AA187" s="66">
        <f t="shared" si="150"/>
        <v>7.8580142772329692E-3</v>
      </c>
      <c r="AB187" s="66">
        <f t="shared" si="150"/>
        <v>7.6719077636298429E-3</v>
      </c>
      <c r="AC187" s="66">
        <f t="shared" si="150"/>
        <v>7.4863769124855761E-3</v>
      </c>
    </row>
    <row r="188" spans="1:29" x14ac:dyDescent="0.25">
      <c r="A188" s="59" t="str">
        <f>A151</f>
        <v>Market failure (av. utilization)</v>
      </c>
      <c r="B188" s="66">
        <f t="shared" ref="B188:AC188" si="151">B177/B151-B177/B150</f>
        <v>4.4716820201651866E-2</v>
      </c>
      <c r="C188" s="66">
        <f t="shared" si="151"/>
        <v>4.424555632130614E-2</v>
      </c>
      <c r="D188" s="66">
        <f t="shared" si="151"/>
        <v>4.3705522807836183E-2</v>
      </c>
      <c r="E188" s="66">
        <f t="shared" si="151"/>
        <v>4.3163384341571298E-2</v>
      </c>
      <c r="F188" s="66">
        <f t="shared" si="151"/>
        <v>4.2505986299728751E-2</v>
      </c>
      <c r="G188" s="66">
        <f t="shared" si="151"/>
        <v>4.1711460630610667E-2</v>
      </c>
      <c r="H188" s="66">
        <f t="shared" si="151"/>
        <v>4.076738659920523E-2</v>
      </c>
      <c r="I188" s="66">
        <f t="shared" si="151"/>
        <v>3.9680665793010841E-2</v>
      </c>
      <c r="J188" s="66">
        <f t="shared" si="151"/>
        <v>3.8674090911721165E-2</v>
      </c>
      <c r="K188" s="66">
        <f t="shared" si="151"/>
        <v>3.7609710257364773E-2</v>
      </c>
      <c r="L188" s="66">
        <f t="shared" si="151"/>
        <v>3.6565632819351851E-2</v>
      </c>
      <c r="M188" s="66">
        <f t="shared" si="151"/>
        <v>3.5615568998115327E-2</v>
      </c>
      <c r="N188" s="66">
        <f t="shared" si="151"/>
        <v>3.4809414581813185E-2</v>
      </c>
      <c r="O188" s="66">
        <f t="shared" si="151"/>
        <v>3.4007029830622787E-2</v>
      </c>
      <c r="P188" s="66">
        <f t="shared" si="151"/>
        <v>3.3365188151065615E-2</v>
      </c>
      <c r="Q188" s="66">
        <f t="shared" si="151"/>
        <v>3.285903441249366E-2</v>
      </c>
      <c r="R188" s="66">
        <f t="shared" si="151"/>
        <v>3.2459373605787635E-2</v>
      </c>
      <c r="S188" s="66">
        <f t="shared" si="151"/>
        <v>3.2139098416572393E-2</v>
      </c>
      <c r="T188" s="66">
        <f t="shared" si="151"/>
        <v>3.1886545209687443E-2</v>
      </c>
      <c r="U188" s="66">
        <f t="shared" si="151"/>
        <v>3.1674015764532465E-2</v>
      </c>
      <c r="V188" s="66">
        <f t="shared" si="151"/>
        <v>3.1489130450926911E-2</v>
      </c>
      <c r="W188" s="66">
        <f t="shared" si="151"/>
        <v>3.1323123611035508E-2</v>
      </c>
      <c r="X188" s="66">
        <f t="shared" si="151"/>
        <v>3.1169910615146408E-2</v>
      </c>
      <c r="Y188" s="66">
        <f t="shared" si="151"/>
        <v>3.1048692773701751E-2</v>
      </c>
      <c r="Z188" s="66">
        <f t="shared" si="151"/>
        <v>3.0933248931431512E-2</v>
      </c>
      <c r="AA188" s="66">
        <f t="shared" si="151"/>
        <v>3.0821678634916867E-2</v>
      </c>
      <c r="AB188" s="66">
        <f t="shared" si="151"/>
        <v>3.0712702832489766E-2</v>
      </c>
      <c r="AC188" s="66">
        <f t="shared" si="151"/>
        <v>3.0605462961927267E-2</v>
      </c>
    </row>
    <row r="189" spans="1:29" x14ac:dyDescent="0.25">
      <c r="A189" s="59" t="str">
        <f>A152</f>
        <v>Payload loss (fuel)</v>
      </c>
      <c r="B189" s="66">
        <f>B177/(B150-B152)-B177/B150</f>
        <v>4.1491572511282715E-3</v>
      </c>
      <c r="C189" s="66">
        <f t="shared" ref="C189:AC189" si="152">C177/(C150-C152)-C177/C150</f>
        <v>4.0906645959658261E-3</v>
      </c>
      <c r="D189" s="66">
        <f t="shared" si="152"/>
        <v>4.0200367081558025E-3</v>
      </c>
      <c r="E189" s="66">
        <f t="shared" si="152"/>
        <v>3.9412941679019681E-3</v>
      </c>
      <c r="F189" s="66">
        <f t="shared" si="152"/>
        <v>3.8413760200964459E-3</v>
      </c>
      <c r="G189" s="66">
        <f t="shared" si="152"/>
        <v>3.7152124676566034E-3</v>
      </c>
      <c r="H189" s="66">
        <f t="shared" si="152"/>
        <v>3.5584057342041425E-3</v>
      </c>
      <c r="I189" s="66">
        <f t="shared" si="152"/>
        <v>3.3686423510747715E-3</v>
      </c>
      <c r="J189" s="66">
        <f t="shared" si="152"/>
        <v>3.1626311688162378E-3</v>
      </c>
      <c r="K189" s="66">
        <f t="shared" si="152"/>
        <v>2.9285014661303288E-3</v>
      </c>
      <c r="L189" s="66">
        <f t="shared" si="152"/>
        <v>2.6763937519216213E-3</v>
      </c>
      <c r="M189" s="66">
        <f t="shared" si="152"/>
        <v>2.4197317550514602E-3</v>
      </c>
      <c r="N189" s="66">
        <f t="shared" si="152"/>
        <v>2.1730112632542473E-3</v>
      </c>
      <c r="O189" s="66">
        <f t="shared" si="152"/>
        <v>1.9401707213280509E-3</v>
      </c>
      <c r="P189" s="66">
        <f t="shared" si="152"/>
        <v>1.7412384613901682E-3</v>
      </c>
      <c r="Q189" s="66">
        <f t="shared" si="152"/>
        <v>1.5796374123137752E-3</v>
      </c>
      <c r="R189" s="66">
        <f t="shared" si="152"/>
        <v>1.4539134190314704E-3</v>
      </c>
      <c r="S189" s="66">
        <f t="shared" si="152"/>
        <v>1.3593516062687175E-3</v>
      </c>
      <c r="T189" s="66">
        <f t="shared" si="152"/>
        <v>1.290306590761639E-3</v>
      </c>
      <c r="U189" s="66">
        <f t="shared" si="152"/>
        <v>1.2403272964781956E-3</v>
      </c>
      <c r="V189" s="66">
        <f t="shared" si="152"/>
        <v>1.2042911532614831E-3</v>
      </c>
      <c r="W189" s="66">
        <f t="shared" si="152"/>
        <v>1.1781640907888441E-3</v>
      </c>
      <c r="X189" s="66">
        <f t="shared" si="152"/>
        <v>1.1589401468435345E-3</v>
      </c>
      <c r="Y189" s="66">
        <f t="shared" si="152"/>
        <v>1.1453217082742079E-3</v>
      </c>
      <c r="Z189" s="66">
        <f t="shared" si="152"/>
        <v>1.1349222367393608E-3</v>
      </c>
      <c r="AA189" s="66">
        <f t="shared" si="152"/>
        <v>1.1267017709322494E-3</v>
      </c>
      <c r="AB189" s="66">
        <f t="shared" si="152"/>
        <v>1.1199499826664433E-3</v>
      </c>
      <c r="AC189" s="66">
        <f t="shared" si="152"/>
        <v>1.1141852229948485E-3</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0.12688035079230253</v>
      </c>
      <c r="C191" s="67">
        <f t="shared" ref="C191:AC191" si="154">C180+C181+C182+C183+C184+C185+C186+C187+C188+C189+C190</f>
        <v>0.12551279180284636</v>
      </c>
      <c r="D191" s="67">
        <f t="shared" si="154"/>
        <v>0.12394207082206425</v>
      </c>
      <c r="E191" s="67">
        <f t="shared" si="154"/>
        <v>0.12235738809774128</v>
      </c>
      <c r="F191" s="67">
        <f t="shared" si="154"/>
        <v>0.1204313642781509</v>
      </c>
      <c r="G191" s="67">
        <f t="shared" si="154"/>
        <v>0.11809818497816084</v>
      </c>
      <c r="H191" s="67">
        <f t="shared" si="154"/>
        <v>0.11531895037969327</v>
      </c>
      <c r="I191" s="67">
        <f t="shared" si="154"/>
        <v>0.11211051809046838</v>
      </c>
      <c r="J191" s="67">
        <f t="shared" si="154"/>
        <v>0.10910846557129408</v>
      </c>
      <c r="K191" s="67">
        <f t="shared" si="154"/>
        <v>0.10591772293984041</v>
      </c>
      <c r="L191" s="67">
        <f t="shared" si="154"/>
        <v>0.10276540012004025</v>
      </c>
      <c r="M191" s="67">
        <f t="shared" si="154"/>
        <v>9.9869671953068617E-2</v>
      </c>
      <c r="N191" s="67">
        <f t="shared" si="154"/>
        <v>9.7383633638209927E-2</v>
      </c>
      <c r="O191" s="67">
        <f t="shared" si="154"/>
        <v>9.4921946565199283E-2</v>
      </c>
      <c r="P191" s="67">
        <f t="shared" si="154"/>
        <v>9.2940120750935926E-2</v>
      </c>
      <c r="Q191" s="67">
        <f t="shared" si="154"/>
        <v>9.1372537094715198E-2</v>
      </c>
      <c r="R191" s="67">
        <f t="shared" si="154"/>
        <v>9.0136644193916177E-2</v>
      </c>
      <c r="S191" s="67">
        <f t="shared" si="154"/>
        <v>8.9152429077777734E-2</v>
      </c>
      <c r="T191" s="67">
        <f t="shared" si="154"/>
        <v>8.8381847376479139E-2</v>
      </c>
      <c r="U191" s="67">
        <f t="shared" si="154"/>
        <v>8.7741508512320765E-2</v>
      </c>
      <c r="V191" s="67">
        <f t="shared" si="154"/>
        <v>8.7191902053533055E-2</v>
      </c>
      <c r="W191" s="67">
        <f t="shared" si="154"/>
        <v>8.6704644880250967E-2</v>
      </c>
      <c r="X191" s="67">
        <f t="shared" si="154"/>
        <v>8.6259829281058159E-2</v>
      </c>
      <c r="Y191" s="67">
        <f t="shared" si="154"/>
        <v>8.5909494616253676E-2</v>
      </c>
      <c r="Z191" s="67">
        <f t="shared" si="154"/>
        <v>8.5578417805079271E-2</v>
      </c>
      <c r="AA191" s="67">
        <f t="shared" si="154"/>
        <v>8.526027984895368E-2</v>
      </c>
      <c r="AB191" s="67">
        <f t="shared" si="154"/>
        <v>8.495081749839041E-2</v>
      </c>
      <c r="AC191" s="67">
        <f t="shared" si="154"/>
        <v>8.4647164209378539E-2</v>
      </c>
    </row>
    <row r="193" spans="2:2" x14ac:dyDescent="0.25">
      <c r="B193" s="40"/>
    </row>
    <row r="215" spans="1:44" s="3" customFormat="1" ht="21" x14ac:dyDescent="0.35">
      <c r="A215" s="2" t="str">
        <f>'Parameter Input'!A101</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Input'!$L$101</f>
        <v>390000</v>
      </c>
      <c r="C225" s="42">
        <f>'Parameter Input'!$M$101</f>
        <v>155000</v>
      </c>
      <c r="D225" s="1" t="s">
        <v>15</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25">
      <c r="A226" s="24" t="s">
        <v>28</v>
      </c>
      <c r="B226" s="60">
        <f>'Parameter Input'!$L$102</f>
        <v>-58500</v>
      </c>
      <c r="C226" s="61">
        <f>'Parameter Input'!$M$102</f>
        <v>-38750</v>
      </c>
      <c r="D226" s="1" t="s">
        <v>15</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25">
      <c r="A229" s="24" t="s">
        <v>79</v>
      </c>
      <c r="B229" s="45">
        <f>'Parameter Input'!$L$108</f>
        <v>0.06</v>
      </c>
      <c r="C229" s="46">
        <f>'Parameter Input'!$M$108</f>
        <v>0.06</v>
      </c>
      <c r="D229" s="1" t="s">
        <v>57</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25">
      <c r="A231" s="24" t="s">
        <v>52</v>
      </c>
      <c r="B231" s="43">
        <f>'Parameter Input'!$L$104</f>
        <v>26000</v>
      </c>
      <c r="C231" s="44">
        <f>'Parameter Input'!$M$104</f>
        <v>18000</v>
      </c>
      <c r="D231" s="1" t="s">
        <v>38</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25">
      <c r="A233" s="24" t="s">
        <v>59</v>
      </c>
      <c r="B233" s="47">
        <f>'Parameter Input'!$L$105</f>
        <v>2.5299999999999998</v>
      </c>
      <c r="C233" s="48">
        <f>'Parameter Input'!$M$105</f>
        <v>1.79</v>
      </c>
      <c r="D233" s="1" t="s">
        <v>60</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25">
      <c r="A234" s="24" t="s">
        <v>67</v>
      </c>
      <c r="B234" s="45">
        <f>'Parameter Input'!$L$106</f>
        <v>0.2544561408768215</v>
      </c>
      <c r="C234" s="46">
        <f>'Parameter Input'!$M$106</f>
        <v>0.10949010032952979</v>
      </c>
      <c r="D234" s="1" t="s">
        <v>68</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Input'!$L$109</f>
        <v>0</v>
      </c>
      <c r="C235" s="116">
        <f>'Parameter Input'!$M$109</f>
        <v>0</v>
      </c>
      <c r="D235" s="1" t="s">
        <v>76</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43">
        <f>'Parameter Input'!$L$103</f>
        <v>8</v>
      </c>
      <c r="C236" s="44">
        <f>'Parameter Input'!$M$103</f>
        <v>8</v>
      </c>
      <c r="D236" s="1" t="s">
        <v>42</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25">
      <c r="A240" s="24" t="s">
        <v>73</v>
      </c>
      <c r="B240" s="72">
        <f>'Parameter Input'!$L$107</f>
        <v>0.05</v>
      </c>
      <c r="C240" s="73">
        <f>'Parameter Input'!$M$107</f>
        <v>0.02</v>
      </c>
      <c r="D240" s="1" t="s">
        <v>57</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25">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25">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25">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25">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25">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25">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25">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25">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25">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25">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25">
      <c r="A260" s="30" t="s">
        <v>73</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25">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25">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25">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25">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25">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25">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25">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25">
      <c r="A271" s="30" t="str">
        <f>A254</f>
        <v>Fuel Cost</v>
      </c>
      <c r="B271" s="62">
        <f>B253*B254*B261</f>
        <v>46364.996043487998</v>
      </c>
      <c r="C271" s="62">
        <f t="shared" ref="C271:AC271" si="205">C253*C254*C261</f>
        <v>44814.37070798115</v>
      </c>
      <c r="D271" s="62">
        <f t="shared" si="205"/>
        <v>43196.012250583641</v>
      </c>
      <c r="E271" s="62">
        <f t="shared" si="205"/>
        <v>41902.363979108282</v>
      </c>
      <c r="F271" s="62">
        <f t="shared" si="205"/>
        <v>40496.003154160768</v>
      </c>
      <c r="G271" s="62">
        <f t="shared" si="205"/>
        <v>38960.113867505635</v>
      </c>
      <c r="H271" s="62">
        <f t="shared" si="205"/>
        <v>37289.572440656018</v>
      </c>
      <c r="I271" s="62">
        <f t="shared" si="205"/>
        <v>35500.295029935471</v>
      </c>
      <c r="J271" s="62">
        <f t="shared" si="205"/>
        <v>34514.242360413868</v>
      </c>
      <c r="K271" s="62">
        <f t="shared" si="205"/>
        <v>33465.133419964252</v>
      </c>
      <c r="L271" s="62">
        <f t="shared" si="205"/>
        <v>32433.673895517721</v>
      </c>
      <c r="M271" s="62">
        <f t="shared" si="205"/>
        <v>31496.494745897551</v>
      </c>
      <c r="N271" s="62">
        <f t="shared" si="205"/>
        <v>30705.927112540056</v>
      </c>
      <c r="O271" s="62">
        <f t="shared" si="205"/>
        <v>29341.093311089167</v>
      </c>
      <c r="P271" s="62">
        <f t="shared" si="205"/>
        <v>28161.594202164608</v>
      </c>
      <c r="Q271" s="62">
        <f t="shared" si="205"/>
        <v>27134.274162311587</v>
      </c>
      <c r="R271" s="62">
        <f t="shared" si="205"/>
        <v>26223.503567788739</v>
      </c>
      <c r="S271" s="62">
        <f t="shared" si="205"/>
        <v>25397.718617725892</v>
      </c>
      <c r="T271" s="62">
        <f t="shared" si="205"/>
        <v>24681.341421589888</v>
      </c>
      <c r="U271" s="62">
        <f t="shared" si="205"/>
        <v>24005.84687228101</v>
      </c>
      <c r="V271" s="62">
        <f t="shared" si="205"/>
        <v>23358.070316801375</v>
      </c>
      <c r="W271" s="62">
        <f t="shared" si="205"/>
        <v>22728.874437595074</v>
      </c>
      <c r="X271" s="62">
        <f t="shared" si="205"/>
        <v>22112.036734798028</v>
      </c>
      <c r="Y271" s="62">
        <f t="shared" si="205"/>
        <v>21612.431793486096</v>
      </c>
      <c r="Z271" s="62">
        <f t="shared" si="205"/>
        <v>21118.114987400975</v>
      </c>
      <c r="AA271" s="62">
        <f t="shared" si="205"/>
        <v>20627.287477736543</v>
      </c>
      <c r="AB271" s="62">
        <f t="shared" si="205"/>
        <v>20138.757879528333</v>
      </c>
      <c r="AC271" s="62">
        <f t="shared" si="205"/>
        <v>19651.739395274639</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208724.64066927606</v>
      </c>
      <c r="C273" s="64">
        <f t="shared" ref="C273:AC273" si="207">C264+C265+C266+C267+C268+C269+C270+C271+C272</f>
        <v>206494.52322260998</v>
      </c>
      <c r="D273" s="64">
        <f t="shared" si="207"/>
        <v>203931.42406742659</v>
      </c>
      <c r="E273" s="64">
        <f t="shared" si="207"/>
        <v>201342.5716421066</v>
      </c>
      <c r="F273" s="64">
        <f t="shared" si="207"/>
        <v>198195.59522285796</v>
      </c>
      <c r="G273" s="64">
        <f t="shared" si="207"/>
        <v>194384.38509224841</v>
      </c>
      <c r="H273" s="64">
        <f t="shared" si="207"/>
        <v>189848.46164157661</v>
      </c>
      <c r="I273" s="64">
        <f t="shared" si="207"/>
        <v>184620.80805307324</v>
      </c>
      <c r="J273" s="64">
        <f t="shared" si="207"/>
        <v>179746.73018912633</v>
      </c>
      <c r="K273" s="64">
        <f t="shared" si="207"/>
        <v>174593.04900308792</v>
      </c>
      <c r="L273" s="64">
        <f t="shared" si="207"/>
        <v>169537.78753745867</v>
      </c>
      <c r="M273" s="64">
        <f t="shared" si="207"/>
        <v>164937.65865663346</v>
      </c>
      <c r="N273" s="64">
        <f t="shared" si="207"/>
        <v>161034.10536582419</v>
      </c>
      <c r="O273" s="64">
        <f t="shared" si="207"/>
        <v>157176.3275568989</v>
      </c>
      <c r="P273" s="64">
        <f t="shared" si="207"/>
        <v>154094.60152552056</v>
      </c>
      <c r="Q273" s="64">
        <f t="shared" si="207"/>
        <v>151668.9921388443</v>
      </c>
      <c r="R273" s="64">
        <f t="shared" si="207"/>
        <v>149758.4648899255</v>
      </c>
      <c r="S273" s="64">
        <f t="shared" si="207"/>
        <v>148231.99816884438</v>
      </c>
      <c r="T273" s="64">
        <f t="shared" si="207"/>
        <v>147031.40680166738</v>
      </c>
      <c r="U273" s="64">
        <f t="shared" si="207"/>
        <v>146024.54036579744</v>
      </c>
      <c r="V273" s="64">
        <f t="shared" si="207"/>
        <v>145151.50311303436</v>
      </c>
      <c r="W273" s="64">
        <f t="shared" si="207"/>
        <v>144369.87582654331</v>
      </c>
      <c r="X273" s="64">
        <f t="shared" si="207"/>
        <v>143650.20773725052</v>
      </c>
      <c r="Y273" s="64">
        <f t="shared" si="207"/>
        <v>143081.37789056762</v>
      </c>
      <c r="Z273" s="64">
        <f t="shared" si="207"/>
        <v>142540.52466832989</v>
      </c>
      <c r="AA273" s="64">
        <f t="shared" si="207"/>
        <v>142018.44262392484</v>
      </c>
      <c r="AB273" s="64">
        <f t="shared" si="207"/>
        <v>141508.93534848164</v>
      </c>
      <c r="AC273" s="64">
        <f t="shared" si="207"/>
        <v>141007.84289323582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25">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25">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25">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25">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25">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25">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25">
      <c r="A283" s="30" t="str">
        <f t="shared" si="208"/>
        <v>Fuel Cost</v>
      </c>
      <c r="B283" s="66">
        <f>B253*B254*B261/B261</f>
        <v>0.4415713908903619</v>
      </c>
      <c r="C283" s="66">
        <f t="shared" ref="C283:AC283" si="216">C253*C254*C261/C261</f>
        <v>0.42680353055220144</v>
      </c>
      <c r="D283" s="66">
        <f t="shared" si="216"/>
        <v>0.41139059286270135</v>
      </c>
      <c r="E283" s="66">
        <f t="shared" si="216"/>
        <v>0.39907013313436457</v>
      </c>
      <c r="F283" s="66">
        <f t="shared" si="216"/>
        <v>0.38567622051581685</v>
      </c>
      <c r="G283" s="66">
        <f t="shared" si="216"/>
        <v>0.37104870350005364</v>
      </c>
      <c r="H283" s="66">
        <f t="shared" si="216"/>
        <v>0.35513878514910496</v>
      </c>
      <c r="I283" s="66">
        <f t="shared" si="216"/>
        <v>0.33809804790414733</v>
      </c>
      <c r="J283" s="66">
        <f t="shared" si="216"/>
        <v>0.32870707009917971</v>
      </c>
      <c r="K283" s="66">
        <f t="shared" si="216"/>
        <v>0.31871555638061194</v>
      </c>
      <c r="L283" s="66">
        <f t="shared" si="216"/>
        <v>0.30889213233826401</v>
      </c>
      <c r="M283" s="66">
        <f t="shared" si="216"/>
        <v>0.29996661662759572</v>
      </c>
      <c r="N283" s="66">
        <f t="shared" si="216"/>
        <v>0.29243740107181004</v>
      </c>
      <c r="O283" s="66">
        <f t="shared" si="216"/>
        <v>0.27943898391513494</v>
      </c>
      <c r="P283" s="66">
        <f t="shared" si="216"/>
        <v>0.26820565906823435</v>
      </c>
      <c r="Q283" s="66">
        <f t="shared" si="216"/>
        <v>0.25842165868868178</v>
      </c>
      <c r="R283" s="66">
        <f t="shared" si="216"/>
        <v>0.24974765302655941</v>
      </c>
      <c r="S283" s="66">
        <f t="shared" si="216"/>
        <v>0.2418830344545323</v>
      </c>
      <c r="T283" s="66">
        <f t="shared" si="216"/>
        <v>0.23506039449133226</v>
      </c>
      <c r="U283" s="66">
        <f t="shared" si="216"/>
        <v>0.22862711306934297</v>
      </c>
      <c r="V283" s="66">
        <f t="shared" si="216"/>
        <v>0.22245781254096547</v>
      </c>
      <c r="W283" s="66">
        <f t="shared" si="216"/>
        <v>0.21646547083423881</v>
      </c>
      <c r="X283" s="66">
        <f t="shared" si="216"/>
        <v>0.21059082604569551</v>
      </c>
      <c r="Y283" s="66">
        <f t="shared" si="216"/>
        <v>0.20583268374748662</v>
      </c>
      <c r="Z283" s="66">
        <f t="shared" si="216"/>
        <v>0.20112490464191404</v>
      </c>
      <c r="AA283" s="66">
        <f t="shared" si="216"/>
        <v>0.19645035693082422</v>
      </c>
      <c r="AB283" s="66">
        <f t="shared" si="216"/>
        <v>0.19179769409074604</v>
      </c>
      <c r="AC283" s="66">
        <f t="shared" si="216"/>
        <v>0.18715942281213943</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2.00726342897697</v>
      </c>
      <c r="C285" s="76">
        <f t="shared" ref="C285:AC285" si="219">C276+C277+C278-C279+C280+C281+C282+C283+C284</f>
        <v>1.9860242151991976</v>
      </c>
      <c r="D285" s="76">
        <f t="shared" si="219"/>
        <v>1.9616137470545938</v>
      </c>
      <c r="E285" s="76">
        <f t="shared" si="219"/>
        <v>1.9369580096705934</v>
      </c>
      <c r="F285" s="76">
        <f t="shared" si="219"/>
        <v>1.9069868056777497</v>
      </c>
      <c r="G285" s="76">
        <f t="shared" si="219"/>
        <v>1.8706895663386112</v>
      </c>
      <c r="H285" s="76">
        <f t="shared" si="219"/>
        <v>1.827490295379832</v>
      </c>
      <c r="I285" s="76">
        <f t="shared" si="219"/>
        <v>1.7777031183464667</v>
      </c>
      <c r="J285" s="76">
        <f t="shared" si="219"/>
        <v>1.7312833291660201</v>
      </c>
      <c r="K285" s="76">
        <f t="shared" si="219"/>
        <v>1.6822006512037491</v>
      </c>
      <c r="L285" s="76">
        <f t="shared" si="219"/>
        <v>1.6340553039120425</v>
      </c>
      <c r="M285" s="76">
        <f t="shared" si="219"/>
        <v>1.5902445526660878</v>
      </c>
      <c r="N285" s="76">
        <f t="shared" si="219"/>
        <v>1.5530678546583803</v>
      </c>
      <c r="O285" s="76">
        <f t="shared" si="219"/>
        <v>1.5163271136209968</v>
      </c>
      <c r="P285" s="76">
        <f t="shared" si="219"/>
        <v>1.4869773418935841</v>
      </c>
      <c r="Q285" s="76">
        <f t="shared" si="219"/>
        <v>1.4638763001157149</v>
      </c>
      <c r="R285" s="76">
        <f t="shared" si="219"/>
        <v>1.4456808025069643</v>
      </c>
      <c r="S285" s="76">
        <f t="shared" si="219"/>
        <v>1.4311430242109542</v>
      </c>
      <c r="T285" s="76">
        <f t="shared" si="219"/>
        <v>1.4197088207140298</v>
      </c>
      <c r="U285" s="76">
        <f t="shared" si="219"/>
        <v>1.4101196165628875</v>
      </c>
      <c r="V285" s="76">
        <f t="shared" si="219"/>
        <v>1.4018049760603823</v>
      </c>
      <c r="W285" s="76">
        <f t="shared" si="219"/>
        <v>1.3943609066652296</v>
      </c>
      <c r="X285" s="76">
        <f t="shared" si="219"/>
        <v>1.3875069248624405</v>
      </c>
      <c r="Y285" s="76">
        <f t="shared" si="219"/>
        <v>1.3820894977511751</v>
      </c>
      <c r="Z285" s="76">
        <f t="shared" si="219"/>
        <v>1.3769385146822444</v>
      </c>
      <c r="AA285" s="76">
        <f t="shared" si="219"/>
        <v>1.3719663047355297</v>
      </c>
      <c r="AB285" s="76">
        <f t="shared" si="219"/>
        <v>1.3671138544932133</v>
      </c>
      <c r="AC285" s="76">
        <f t="shared" si="219"/>
        <v>1.362341545395634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25">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25">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25">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25">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25">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25">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25">
      <c r="A295" s="30" t="str">
        <f t="shared" si="220"/>
        <v>Fuel Cost</v>
      </c>
      <c r="B295" s="66">
        <f>B253*B254*B261/B261/(B258)</f>
        <v>1.7662855635614476E-2</v>
      </c>
      <c r="C295" s="66">
        <f t="shared" ref="C295:AC295" si="228">C253*C254*C261/C261/(C258)</f>
        <v>1.7072141222088059E-2</v>
      </c>
      <c r="D295" s="66">
        <f t="shared" si="228"/>
        <v>1.6455623714508053E-2</v>
      </c>
      <c r="E295" s="66">
        <f t="shared" si="228"/>
        <v>1.5962805325374581E-2</v>
      </c>
      <c r="F295" s="66">
        <f t="shared" si="228"/>
        <v>1.5427048820632673E-2</v>
      </c>
      <c r="G295" s="66">
        <f t="shared" si="228"/>
        <v>1.4841948140002146E-2</v>
      </c>
      <c r="H295" s="66">
        <f t="shared" si="228"/>
        <v>1.4205551405964198E-2</v>
      </c>
      <c r="I295" s="66">
        <f t="shared" si="228"/>
        <v>1.3523921916165893E-2</v>
      </c>
      <c r="J295" s="66">
        <f t="shared" si="228"/>
        <v>1.3148282803967189E-2</v>
      </c>
      <c r="K295" s="66">
        <f t="shared" si="228"/>
        <v>1.2748622255224478E-2</v>
      </c>
      <c r="L295" s="66">
        <f t="shared" si="228"/>
        <v>1.2355685293530561E-2</v>
      </c>
      <c r="M295" s="66">
        <f t="shared" si="228"/>
        <v>1.1998664665103829E-2</v>
      </c>
      <c r="N295" s="66">
        <f t="shared" si="228"/>
        <v>1.1697496042872402E-2</v>
      </c>
      <c r="O295" s="66">
        <f t="shared" si="228"/>
        <v>1.1177559356605398E-2</v>
      </c>
      <c r="P295" s="66">
        <f t="shared" si="228"/>
        <v>1.0728226362729375E-2</v>
      </c>
      <c r="Q295" s="66">
        <f t="shared" si="228"/>
        <v>1.0336866347547271E-2</v>
      </c>
      <c r="R295" s="66">
        <f t="shared" si="228"/>
        <v>9.9899061210623769E-3</v>
      </c>
      <c r="S295" s="66">
        <f t="shared" si="228"/>
        <v>9.6753213781812925E-3</v>
      </c>
      <c r="T295" s="66">
        <f t="shared" si="228"/>
        <v>9.4024157796532906E-3</v>
      </c>
      <c r="U295" s="66">
        <f t="shared" si="228"/>
        <v>9.1450845227737179E-3</v>
      </c>
      <c r="V295" s="66">
        <f t="shared" si="228"/>
        <v>8.898312501638618E-3</v>
      </c>
      <c r="W295" s="66">
        <f t="shared" si="228"/>
        <v>8.6586188333695521E-3</v>
      </c>
      <c r="X295" s="66">
        <f t="shared" si="228"/>
        <v>8.4236330418278205E-3</v>
      </c>
      <c r="Y295" s="66">
        <f t="shared" si="228"/>
        <v>8.233307349899464E-3</v>
      </c>
      <c r="Z295" s="66">
        <f t="shared" si="228"/>
        <v>8.0449961856765614E-3</v>
      </c>
      <c r="AA295" s="66">
        <f t="shared" si="228"/>
        <v>7.8580142772329692E-3</v>
      </c>
      <c r="AB295" s="66">
        <f t="shared" si="228"/>
        <v>7.671907763629842E-3</v>
      </c>
      <c r="AC295" s="66">
        <f t="shared" si="228"/>
        <v>7.486376912485577E-3</v>
      </c>
    </row>
    <row r="296" spans="1:29" x14ac:dyDescent="0.25">
      <c r="A296" s="59" t="str">
        <f>A259</f>
        <v>Market failure (av. utilization)</v>
      </c>
      <c r="B296" s="66">
        <f t="shared" ref="B296:AC296" si="229">B285/B259-B285/B258</f>
        <v>5.0617947339419211E-2</v>
      </c>
      <c r="C296" s="66">
        <f t="shared" si="229"/>
        <v>5.0082349774588447E-2</v>
      </c>
      <c r="D296" s="66">
        <f t="shared" si="229"/>
        <v>4.9466781447463651E-2</v>
      </c>
      <c r="E296" s="66">
        <f t="shared" si="229"/>
        <v>4.8845028069954083E-2</v>
      </c>
      <c r="F296" s="66">
        <f t="shared" si="229"/>
        <v>4.8089232491004108E-2</v>
      </c>
      <c r="G296" s="66">
        <f t="shared" si="229"/>
        <v>4.7173910803321478E-2</v>
      </c>
      <c r="H296" s="66">
        <f t="shared" si="229"/>
        <v>4.60845378834914E-2</v>
      </c>
      <c r="I296" s="66">
        <f t="shared" si="229"/>
        <v>4.4829035158302194E-2</v>
      </c>
      <c r="J296" s="66">
        <f t="shared" si="229"/>
        <v>4.3658449170273533E-2</v>
      </c>
      <c r="K296" s="66">
        <f t="shared" si="229"/>
        <v>4.2420712073833661E-2</v>
      </c>
      <c r="L296" s="66">
        <f t="shared" si="229"/>
        <v>4.1206612011694968E-2</v>
      </c>
      <c r="M296" s="66">
        <f t="shared" si="229"/>
        <v>4.0101819154188284E-2</v>
      </c>
      <c r="N296" s="66">
        <f t="shared" si="229"/>
        <v>3.9164319813124356E-2</v>
      </c>
      <c r="O296" s="66">
        <f t="shared" si="229"/>
        <v>3.8237814169572955E-2</v>
      </c>
      <c r="P296" s="66">
        <f t="shared" si="229"/>
        <v>3.7497689491229502E-2</v>
      </c>
      <c r="Q296" s="66">
        <f t="shared" si="229"/>
        <v>3.6915141481178873E-2</v>
      </c>
      <c r="R296" s="66">
        <f t="shared" si="229"/>
        <v>3.6456298498001694E-2</v>
      </c>
      <c r="S296" s="66">
        <f t="shared" si="229"/>
        <v>3.6089693654015355E-2</v>
      </c>
      <c r="T296" s="66">
        <f t="shared" si="229"/>
        <v>3.5801352870179867E-2</v>
      </c>
      <c r="U296" s="66">
        <f t="shared" si="229"/>
        <v>3.5559538156803239E-2</v>
      </c>
      <c r="V296" s="66">
        <f t="shared" si="229"/>
        <v>3.5349864613696588E-2</v>
      </c>
      <c r="W296" s="66">
        <f t="shared" si="229"/>
        <v>3.5162144602862301E-2</v>
      </c>
      <c r="X296" s="66">
        <f t="shared" si="229"/>
        <v>3.498930506174848E-2</v>
      </c>
      <c r="Y296" s="66">
        <f t="shared" si="229"/>
        <v>3.4852691682420923E-2</v>
      </c>
      <c r="Z296" s="66">
        <f t="shared" si="229"/>
        <v>3.4722797326769632E-2</v>
      </c>
      <c r="AA296" s="66">
        <f t="shared" si="229"/>
        <v>3.4597411162895955E-2</v>
      </c>
      <c r="AB296" s="66">
        <f t="shared" si="229"/>
        <v>3.4475045026350584E-2</v>
      </c>
      <c r="AC296" s="66">
        <f t="shared" si="229"/>
        <v>3.4354699840411625E-2</v>
      </c>
    </row>
    <row r="297" spans="1:29" x14ac:dyDescent="0.25">
      <c r="A297" s="59" t="str">
        <f>A260</f>
        <v>Payload loss (fuel)</v>
      </c>
      <c r="B297" s="66">
        <f>B285/(B258-B260)-B285/B258</f>
        <v>4.1905967465577232E-3</v>
      </c>
      <c r="C297" s="66">
        <f t="shared" ref="C297:AC297" si="230">C285/(C258-C260)-C285/C258</f>
        <v>4.1313431547591595E-3</v>
      </c>
      <c r="D297" s="66">
        <f t="shared" si="230"/>
        <v>4.0596604773206063E-3</v>
      </c>
      <c r="E297" s="66">
        <f t="shared" si="230"/>
        <v>3.9794777918224222E-3</v>
      </c>
      <c r="F297" s="66">
        <f t="shared" si="230"/>
        <v>3.8776350235024543E-3</v>
      </c>
      <c r="G297" s="66">
        <f t="shared" si="230"/>
        <v>3.7489746135792035E-3</v>
      </c>
      <c r="H297" s="66">
        <f t="shared" si="230"/>
        <v>3.5890556397401713E-3</v>
      </c>
      <c r="I297" s="66">
        <f t="shared" si="230"/>
        <v>3.3956092363745943E-3</v>
      </c>
      <c r="J297" s="66">
        <f t="shared" si="230"/>
        <v>3.1855109201103654E-3</v>
      </c>
      <c r="K297" s="66">
        <f t="shared" si="230"/>
        <v>2.9471739716273176E-3</v>
      </c>
      <c r="L297" s="66">
        <f t="shared" si="230"/>
        <v>2.6910773598269599E-3</v>
      </c>
      <c r="M297" s="66">
        <f t="shared" si="230"/>
        <v>2.4309373790494526E-3</v>
      </c>
      <c r="N297" s="66">
        <f t="shared" si="230"/>
        <v>2.1814145563658835E-3</v>
      </c>
      <c r="O297" s="66">
        <f t="shared" si="230"/>
        <v>1.9464652867440049E-3</v>
      </c>
      <c r="P297" s="66">
        <f t="shared" si="230"/>
        <v>1.746029360360675E-3</v>
      </c>
      <c r="Q297" s="66">
        <f t="shared" si="230"/>
        <v>1.5833958839678516E-3</v>
      </c>
      <c r="R297" s="66">
        <f t="shared" si="230"/>
        <v>1.4569791684332298E-3</v>
      </c>
      <c r="S297" s="66">
        <f t="shared" si="230"/>
        <v>1.3619578629673404E-3</v>
      </c>
      <c r="T297" s="66">
        <f t="shared" si="230"/>
        <v>1.2926092123300079E-3</v>
      </c>
      <c r="U297" s="66">
        <f t="shared" si="230"/>
        <v>1.2424291872651719E-3</v>
      </c>
      <c r="V297" s="66">
        <f t="shared" si="230"/>
        <v>1.2062600462312625E-3</v>
      </c>
      <c r="W297" s="66">
        <f t="shared" si="230"/>
        <v>1.1800446318902397E-3</v>
      </c>
      <c r="X297" s="66">
        <f t="shared" si="230"/>
        <v>1.1607618555526042E-3</v>
      </c>
      <c r="Y297" s="66">
        <f t="shared" si="230"/>
        <v>1.1471041667361764E-3</v>
      </c>
      <c r="Z297" s="66">
        <f t="shared" si="230"/>
        <v>1.1366784718926451E-3</v>
      </c>
      <c r="AA297" s="66">
        <f t="shared" si="230"/>
        <v>1.1284404681226115E-3</v>
      </c>
      <c r="AB297" s="66">
        <f t="shared" si="230"/>
        <v>1.1216769421061312E-3</v>
      </c>
      <c r="AC297" s="66">
        <f t="shared" si="230"/>
        <v>1.1159043226988893E-3</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0.13432269291236781</v>
      </c>
      <c r="C299" s="67">
        <f t="shared" ref="C299:AC299" si="232">C288+C289+C290+C291+C292+C293+C294+C295+C296+C297+C298</f>
        <v>0.13287827320462758</v>
      </c>
      <c r="D299" s="67">
        <f t="shared" si="232"/>
        <v>0.1312146034742801</v>
      </c>
      <c r="E299" s="67">
        <f t="shared" si="232"/>
        <v>0.12952643791591234</v>
      </c>
      <c r="F299" s="67">
        <f t="shared" si="232"/>
        <v>0.12746995140892864</v>
      </c>
      <c r="G299" s="67">
        <f t="shared" si="232"/>
        <v>0.12497407973775722</v>
      </c>
      <c r="H299" s="67">
        <f t="shared" si="232"/>
        <v>0.12199681700573693</v>
      </c>
      <c r="I299" s="67">
        <f t="shared" si="232"/>
        <v>0.11855638079584754</v>
      </c>
      <c r="J299" s="67">
        <f t="shared" si="232"/>
        <v>0.11531890492433679</v>
      </c>
      <c r="K299" s="67">
        <f t="shared" si="232"/>
        <v>0.11187952376092304</v>
      </c>
      <c r="L299" s="67">
        <f t="shared" si="232"/>
        <v>0.10848351319531571</v>
      </c>
      <c r="M299" s="67">
        <f t="shared" si="232"/>
        <v>0.10536615030719333</v>
      </c>
      <c r="N299" s="67">
        <f t="shared" si="232"/>
        <v>0.10269206022313754</v>
      </c>
      <c r="O299" s="67">
        <f t="shared" si="232"/>
        <v>0.10006097566846892</v>
      </c>
      <c r="P299" s="67">
        <f t="shared" si="232"/>
        <v>9.7946424194645609E-2</v>
      </c>
      <c r="Q299" s="67">
        <f t="shared" si="232"/>
        <v>9.6277201037087423E-2</v>
      </c>
      <c r="R299" s="67">
        <f t="shared" si="232"/>
        <v>9.4964121434025578E-2</v>
      </c>
      <c r="S299" s="67">
        <f t="shared" si="232"/>
        <v>9.392098415273295E-2</v>
      </c>
      <c r="T299" s="67">
        <f t="shared" si="232"/>
        <v>9.3105926578383152E-2</v>
      </c>
      <c r="U299" s="67">
        <f t="shared" si="232"/>
        <v>9.2430363673895982E-2</v>
      </c>
      <c r="V299" s="67">
        <f t="shared" si="232"/>
        <v>9.1851935369655219E-2</v>
      </c>
      <c r="W299" s="67">
        <f t="shared" si="232"/>
        <v>9.1340237168673802E-2</v>
      </c>
      <c r="X299" s="67">
        <f t="shared" si="232"/>
        <v>9.0873955579110793E-2</v>
      </c>
      <c r="Y299" s="67">
        <f t="shared" si="232"/>
        <v>9.0506987426516194E-2</v>
      </c>
      <c r="Z299" s="67">
        <f t="shared" si="232"/>
        <v>9.0160628053264136E-2</v>
      </c>
      <c r="AA299" s="67">
        <f t="shared" si="232"/>
        <v>8.9828115487751825E-2</v>
      </c>
      <c r="AB299" s="67">
        <f t="shared" si="232"/>
        <v>8.9504887815497342E-2</v>
      </c>
      <c r="AC299" s="67">
        <f t="shared" si="232"/>
        <v>8.9187877646247971E-2</v>
      </c>
    </row>
    <row r="301" spans="1:29" x14ac:dyDescent="0.25">
      <c r="B301" s="40"/>
    </row>
    <row r="324" spans="1:44" s="3" customFormat="1" ht="21" x14ac:dyDescent="0.35">
      <c r="A324" s="2" t="str">
        <f>'Parameter Input'!A114</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Input'!$L$101</f>
        <v>390000</v>
      </c>
      <c r="C334" s="42">
        <f>'Parameter Input'!$M$101</f>
        <v>155000</v>
      </c>
      <c r="D334" s="1" t="s">
        <v>15</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25">
      <c r="A335" s="24" t="s">
        <v>28</v>
      </c>
      <c r="B335" s="60">
        <f>'Parameter Input'!$L$102</f>
        <v>-58500</v>
      </c>
      <c r="C335" s="61">
        <f>'Parameter Input'!$M$102</f>
        <v>-38750</v>
      </c>
      <c r="D335" s="1" t="s">
        <v>15</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25">
      <c r="A338" s="24" t="s">
        <v>79</v>
      </c>
      <c r="B338" s="45">
        <f>'Parameter Input'!$L$108</f>
        <v>0.06</v>
      </c>
      <c r="C338" s="46">
        <f>'Parameter Input'!$M$108</f>
        <v>0.06</v>
      </c>
      <c r="D338" s="1" t="s">
        <v>57</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25">
      <c r="A340" s="24" t="s">
        <v>52</v>
      </c>
      <c r="B340" s="43">
        <f>'Parameter Input'!$L$104</f>
        <v>26000</v>
      </c>
      <c r="C340" s="44">
        <f>'Parameter Input'!$M$104</f>
        <v>18000</v>
      </c>
      <c r="D340" s="1" t="s">
        <v>38</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25">
      <c r="A342" s="24" t="s">
        <v>59</v>
      </c>
      <c r="B342" s="47">
        <f>'Parameter Input'!$L$105</f>
        <v>2.5299999999999998</v>
      </c>
      <c r="C342" s="48">
        <f>'Parameter Input'!$M$105</f>
        <v>1.79</v>
      </c>
      <c r="D342" s="1" t="s">
        <v>60</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25">
      <c r="A343" s="24" t="s">
        <v>67</v>
      </c>
      <c r="B343" s="45">
        <f>'Parameter Input'!$L$106</f>
        <v>0.2544561408768215</v>
      </c>
      <c r="C343" s="46">
        <f>'Parameter Input'!$M$106</f>
        <v>0.10949010032952979</v>
      </c>
      <c r="D343" s="1" t="s">
        <v>68</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Input'!$L$109</f>
        <v>0</v>
      </c>
      <c r="C344" s="116">
        <f>'Parameter Input'!$M$109</f>
        <v>0</v>
      </c>
      <c r="D344" s="1" t="s">
        <v>76</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43">
        <f>'Parameter Input'!$L$103</f>
        <v>8</v>
      </c>
      <c r="C345" s="44">
        <f>'Parameter Input'!$M$103</f>
        <v>8</v>
      </c>
      <c r="D345" s="1" t="s">
        <v>42</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25">
      <c r="A349" s="24" t="s">
        <v>73</v>
      </c>
      <c r="B349" s="72">
        <f>'Parameter Input'!$L$107</f>
        <v>0.05</v>
      </c>
      <c r="C349" s="73">
        <f>'Parameter Input'!$M$107</f>
        <v>0.02</v>
      </c>
      <c r="D349" s="1" t="s">
        <v>57</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25">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25">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25">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25">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25">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25">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25">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25">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25">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25">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25">
      <c r="A369" s="30" t="s">
        <v>73</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25">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25">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25">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25">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25">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25">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25">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25">
      <c r="A380" s="30" t="str">
        <f>A363</f>
        <v>Fuel Cost</v>
      </c>
      <c r="B380" s="62">
        <f>B362*B363*B370</f>
        <v>34442.568489448226</v>
      </c>
      <c r="C380" s="62">
        <f t="shared" ref="C380:AC380" si="283">C362*C363*C370</f>
        <v>33290.675383071713</v>
      </c>
      <c r="D380" s="62">
        <f t="shared" si="283"/>
        <v>32088.466243290706</v>
      </c>
      <c r="E380" s="62">
        <f t="shared" si="283"/>
        <v>31127.470384480435</v>
      </c>
      <c r="F380" s="62">
        <f t="shared" si="283"/>
        <v>30082.745200233716</v>
      </c>
      <c r="G380" s="62">
        <f t="shared" si="283"/>
        <v>28941.798873004187</v>
      </c>
      <c r="H380" s="62">
        <f t="shared" si="283"/>
        <v>27700.825241630184</v>
      </c>
      <c r="I380" s="62">
        <f t="shared" si="283"/>
        <v>26371.64773652349</v>
      </c>
      <c r="J380" s="62">
        <f t="shared" si="283"/>
        <v>25639.151467736017</v>
      </c>
      <c r="K380" s="62">
        <f t="shared" si="283"/>
        <v>24859.813397687733</v>
      </c>
      <c r="L380" s="62">
        <f t="shared" si="283"/>
        <v>24093.586322384592</v>
      </c>
      <c r="M380" s="62">
        <f t="shared" si="283"/>
        <v>23397.396096952467</v>
      </c>
      <c r="N380" s="62">
        <f t="shared" si="283"/>
        <v>22810.117283601183</v>
      </c>
      <c r="O380" s="62">
        <f t="shared" si="283"/>
        <v>21796.240745380524</v>
      </c>
      <c r="P380" s="62">
        <f t="shared" si="283"/>
        <v>20920.041407322278</v>
      </c>
      <c r="Q380" s="62">
        <f t="shared" si="283"/>
        <v>20156.88937771718</v>
      </c>
      <c r="R380" s="62">
        <f t="shared" si="283"/>
        <v>19480.316936071635</v>
      </c>
      <c r="S380" s="62">
        <f t="shared" si="283"/>
        <v>18866.876687453518</v>
      </c>
      <c r="T380" s="62">
        <f t="shared" si="283"/>
        <v>18334.710770323916</v>
      </c>
      <c r="U380" s="62">
        <f t="shared" si="283"/>
        <v>17832.91481940875</v>
      </c>
      <c r="V380" s="62">
        <f t="shared" si="283"/>
        <v>17351.709378195308</v>
      </c>
      <c r="W380" s="62">
        <f t="shared" si="283"/>
        <v>16884.306725070626</v>
      </c>
      <c r="X380" s="62">
        <f t="shared" si="283"/>
        <v>16426.08443156425</v>
      </c>
      <c r="Y380" s="62">
        <f t="shared" si="283"/>
        <v>16054.949332303957</v>
      </c>
      <c r="Z380" s="62">
        <f t="shared" si="283"/>
        <v>15687.742562069296</v>
      </c>
      <c r="AA380" s="62">
        <f t="shared" si="283"/>
        <v>15323.127840604289</v>
      </c>
      <c r="AB380" s="62">
        <f t="shared" si="283"/>
        <v>14960.220139078192</v>
      </c>
      <c r="AC380" s="62">
        <f t="shared" si="283"/>
        <v>14598.434979346874</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194851.22280188918</v>
      </c>
      <c r="C382" s="64">
        <f t="shared" ref="C382:AC382" si="285">C373+C374+C375+C376+C377+C378+C379+C380+C381</f>
        <v>193019.8375843534</v>
      </c>
      <c r="D382" s="64">
        <f t="shared" si="285"/>
        <v>190872.88774678652</v>
      </c>
      <c r="E382" s="64">
        <f t="shared" si="285"/>
        <v>188616.68773413161</v>
      </c>
      <c r="F382" s="64">
        <f t="shared" si="285"/>
        <v>185831.34695558378</v>
      </c>
      <c r="G382" s="64">
        <f t="shared" si="285"/>
        <v>182415.07978439983</v>
      </c>
      <c r="H382" s="64">
        <f t="shared" si="285"/>
        <v>178308.72412920365</v>
      </c>
      <c r="I382" s="64">
        <f t="shared" si="285"/>
        <v>173541.17044631415</v>
      </c>
      <c r="J382" s="64">
        <f t="shared" si="285"/>
        <v>168920.64898310136</v>
      </c>
      <c r="K382" s="64">
        <f t="shared" si="285"/>
        <v>164036.73866746426</v>
      </c>
      <c r="L382" s="64">
        <f t="shared" si="285"/>
        <v>159246.70965097845</v>
      </c>
      <c r="M382" s="64">
        <f t="shared" si="285"/>
        <v>154887.56969434125</v>
      </c>
      <c r="N382" s="64">
        <f t="shared" si="285"/>
        <v>151187.30522353819</v>
      </c>
      <c r="O382" s="64">
        <f t="shared" si="285"/>
        <v>147680.48467784314</v>
      </c>
      <c r="P382" s="64">
        <f t="shared" si="285"/>
        <v>144902.05841733111</v>
      </c>
      <c r="Q382" s="64">
        <f t="shared" si="285"/>
        <v>142740.61704090278</v>
      </c>
      <c r="R382" s="64">
        <f t="shared" si="285"/>
        <v>141064.28794486128</v>
      </c>
      <c r="S382" s="64">
        <f t="shared" si="285"/>
        <v>139750.16592522489</v>
      </c>
      <c r="T382" s="64">
        <f t="shared" si="285"/>
        <v>138733.78583705425</v>
      </c>
      <c r="U382" s="64">
        <f t="shared" si="285"/>
        <v>137900.61799957807</v>
      </c>
      <c r="V382" s="64">
        <f t="shared" si="285"/>
        <v>137194.15186108119</v>
      </c>
      <c r="W382" s="64">
        <f t="shared" si="285"/>
        <v>136574.31780067176</v>
      </c>
      <c r="X382" s="64">
        <f t="shared" si="285"/>
        <v>136013.26512066962</v>
      </c>
      <c r="Y382" s="64">
        <f t="shared" si="285"/>
        <v>135572.90511603837</v>
      </c>
      <c r="Z382" s="64">
        <f t="shared" si="285"/>
        <v>135159.16192965108</v>
      </c>
      <c r="AA382" s="64">
        <f t="shared" si="285"/>
        <v>134763.29267344548</v>
      </c>
      <c r="AB382" s="64">
        <f t="shared" si="285"/>
        <v>134379.40729468438</v>
      </c>
      <c r="AC382" s="64">
        <f t="shared" si="285"/>
        <v>134003.54816396095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25">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25">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25">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25">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25">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25">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25">
      <c r="A392" s="30" t="str">
        <f t="shared" si="286"/>
        <v>Fuel Cost</v>
      </c>
      <c r="B392" s="66">
        <f>B362*B363*B370/B370</f>
        <v>0.44157139089036185</v>
      </c>
      <c r="C392" s="66">
        <f t="shared" ref="C392:AC392" si="294">C362*C363*C370/C370</f>
        <v>0.42680353055220144</v>
      </c>
      <c r="D392" s="66">
        <f t="shared" si="294"/>
        <v>0.41139059286270135</v>
      </c>
      <c r="E392" s="66">
        <f t="shared" si="294"/>
        <v>0.39907013313436457</v>
      </c>
      <c r="F392" s="66">
        <f t="shared" si="294"/>
        <v>0.38567622051581685</v>
      </c>
      <c r="G392" s="66">
        <f t="shared" si="294"/>
        <v>0.3710487035000537</v>
      </c>
      <c r="H392" s="66">
        <f t="shared" si="294"/>
        <v>0.35513878514910491</v>
      </c>
      <c r="I392" s="66">
        <f t="shared" si="294"/>
        <v>0.33809804790414733</v>
      </c>
      <c r="J392" s="66">
        <f t="shared" si="294"/>
        <v>0.32870707009917971</v>
      </c>
      <c r="K392" s="66">
        <f t="shared" si="294"/>
        <v>0.31871555638061194</v>
      </c>
      <c r="L392" s="66">
        <f t="shared" si="294"/>
        <v>0.30889213233826401</v>
      </c>
      <c r="M392" s="66">
        <f t="shared" si="294"/>
        <v>0.29996661662759572</v>
      </c>
      <c r="N392" s="66">
        <f t="shared" si="294"/>
        <v>0.29243740107181004</v>
      </c>
      <c r="O392" s="66">
        <f t="shared" si="294"/>
        <v>0.27943898391513494</v>
      </c>
      <c r="P392" s="66">
        <f t="shared" si="294"/>
        <v>0.26820565906823435</v>
      </c>
      <c r="Q392" s="66">
        <f t="shared" si="294"/>
        <v>0.25842165868868178</v>
      </c>
      <c r="R392" s="66">
        <f t="shared" si="294"/>
        <v>0.24974765302655941</v>
      </c>
      <c r="S392" s="66">
        <f t="shared" si="294"/>
        <v>0.24188303445453227</v>
      </c>
      <c r="T392" s="66">
        <f t="shared" si="294"/>
        <v>0.23506039449133226</v>
      </c>
      <c r="U392" s="66">
        <f t="shared" si="294"/>
        <v>0.22862711306934294</v>
      </c>
      <c r="V392" s="66">
        <f t="shared" si="294"/>
        <v>0.2224578125409655</v>
      </c>
      <c r="W392" s="66">
        <f t="shared" si="294"/>
        <v>0.21646547083423881</v>
      </c>
      <c r="X392" s="66">
        <f t="shared" si="294"/>
        <v>0.21059082604569551</v>
      </c>
      <c r="Y392" s="66">
        <f t="shared" si="294"/>
        <v>0.20583268374748662</v>
      </c>
      <c r="Z392" s="66">
        <f t="shared" si="294"/>
        <v>0.20112490464191404</v>
      </c>
      <c r="AA392" s="66">
        <f t="shared" si="294"/>
        <v>0.19645035693082422</v>
      </c>
      <c r="AB392" s="66">
        <f t="shared" si="294"/>
        <v>0.19179769409074604</v>
      </c>
      <c r="AC392" s="66">
        <f t="shared" si="294"/>
        <v>0.1871594228121394</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2.5329305380294471</v>
      </c>
      <c r="C394" s="76">
        <f t="shared" ref="C394:AC394" si="297">C385+C386+C387-C388+C389+C390+C391+C392+C393</f>
        <v>2.5094512403687315</v>
      </c>
      <c r="D394" s="76">
        <f t="shared" si="297"/>
        <v>2.4819262424512081</v>
      </c>
      <c r="E394" s="76">
        <f t="shared" si="297"/>
        <v>2.4530006012633243</v>
      </c>
      <c r="F394" s="76">
        <f t="shared" si="297"/>
        <v>2.4172911041024547</v>
      </c>
      <c r="G394" s="76">
        <f t="shared" si="297"/>
        <v>2.3734928070359937</v>
      </c>
      <c r="H394" s="76">
        <f t="shared" si="297"/>
        <v>2.3208472217129654</v>
      </c>
      <c r="I394" s="76">
        <f t="shared" si="297"/>
        <v>2.2597247385989983</v>
      </c>
      <c r="J394" s="76">
        <f t="shared" si="297"/>
        <v>2.2004872839424237</v>
      </c>
      <c r="K394" s="76">
        <f t="shared" si="297"/>
        <v>2.1378730491265632</v>
      </c>
      <c r="L394" s="76">
        <f t="shared" si="297"/>
        <v>2.0764624207100786</v>
      </c>
      <c r="M394" s="76">
        <f t="shared" si="297"/>
        <v>2.0205760110096018</v>
      </c>
      <c r="N394" s="76">
        <f t="shared" si="297"/>
        <v>1.9731367229223828</v>
      </c>
      <c r="O394" s="76">
        <f t="shared" si="297"/>
        <v>1.9281774851570617</v>
      </c>
      <c r="P394" s="76">
        <f t="shared" si="297"/>
        <v>1.8925566356633179</v>
      </c>
      <c r="Q394" s="76">
        <f t="shared" si="297"/>
        <v>1.8648458487860315</v>
      </c>
      <c r="R394" s="76">
        <f t="shared" si="297"/>
        <v>1.8433544501188328</v>
      </c>
      <c r="S394" s="76">
        <f t="shared" si="297"/>
        <v>1.8265067319183663</v>
      </c>
      <c r="T394" s="76">
        <f t="shared" si="297"/>
        <v>1.8134762179674608</v>
      </c>
      <c r="U394" s="76">
        <f t="shared" si="297"/>
        <v>1.8027945790254583</v>
      </c>
      <c r="V394" s="76">
        <f t="shared" si="297"/>
        <v>1.7937373208396008</v>
      </c>
      <c r="W394" s="76">
        <f t="shared" si="297"/>
        <v>1.7857907303215312</v>
      </c>
      <c r="X394" s="76">
        <f t="shared" si="297"/>
        <v>1.7785977472445806</v>
      </c>
      <c r="Y394" s="76">
        <f t="shared" si="297"/>
        <v>1.7729521061595648</v>
      </c>
      <c r="Z394" s="76">
        <f t="shared" si="297"/>
        <v>1.7676477063340867</v>
      </c>
      <c r="AA394" s="76">
        <f t="shared" si="297"/>
        <v>1.7625724594596557</v>
      </c>
      <c r="AB394" s="76">
        <f t="shared" si="297"/>
        <v>1.7576508520396419</v>
      </c>
      <c r="AC394" s="76">
        <f t="shared" si="297"/>
        <v>1.7528321452354949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25">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25">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25">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25">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25">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25">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25">
      <c r="A404" s="30" t="str">
        <f t="shared" si="298"/>
        <v>Fuel Cost</v>
      </c>
      <c r="B404" s="66">
        <f>B362*B363*B370/B370/(B367)</f>
        <v>1.7662855635614472E-2</v>
      </c>
      <c r="C404" s="66">
        <f t="shared" ref="C404:AC404" si="306">C362*C363*C370/C370/(C367)</f>
        <v>1.7072141222088059E-2</v>
      </c>
      <c r="D404" s="66">
        <f t="shared" si="306"/>
        <v>1.6455623714508053E-2</v>
      </c>
      <c r="E404" s="66">
        <f t="shared" si="306"/>
        <v>1.5962805325374581E-2</v>
      </c>
      <c r="F404" s="66">
        <f t="shared" si="306"/>
        <v>1.5427048820632673E-2</v>
      </c>
      <c r="G404" s="66">
        <f t="shared" si="306"/>
        <v>1.4841948140002148E-2</v>
      </c>
      <c r="H404" s="66">
        <f t="shared" si="306"/>
        <v>1.4205551405964197E-2</v>
      </c>
      <c r="I404" s="66">
        <f t="shared" si="306"/>
        <v>1.3523921916165893E-2</v>
      </c>
      <c r="J404" s="66">
        <f t="shared" si="306"/>
        <v>1.3148282803967189E-2</v>
      </c>
      <c r="K404" s="66">
        <f t="shared" si="306"/>
        <v>1.2748622255224478E-2</v>
      </c>
      <c r="L404" s="66">
        <f t="shared" si="306"/>
        <v>1.2355685293530561E-2</v>
      </c>
      <c r="M404" s="66">
        <f t="shared" si="306"/>
        <v>1.1998664665103829E-2</v>
      </c>
      <c r="N404" s="66">
        <f t="shared" si="306"/>
        <v>1.1697496042872402E-2</v>
      </c>
      <c r="O404" s="66">
        <f t="shared" si="306"/>
        <v>1.1177559356605398E-2</v>
      </c>
      <c r="P404" s="66">
        <f t="shared" si="306"/>
        <v>1.0728226362729375E-2</v>
      </c>
      <c r="Q404" s="66">
        <f t="shared" si="306"/>
        <v>1.0336866347547271E-2</v>
      </c>
      <c r="R404" s="66">
        <f t="shared" si="306"/>
        <v>9.9899061210623769E-3</v>
      </c>
      <c r="S404" s="66">
        <f t="shared" si="306"/>
        <v>9.6753213781812907E-3</v>
      </c>
      <c r="T404" s="66">
        <f t="shared" si="306"/>
        <v>9.4024157796532906E-3</v>
      </c>
      <c r="U404" s="66">
        <f t="shared" si="306"/>
        <v>9.1450845227737179E-3</v>
      </c>
      <c r="V404" s="66">
        <f t="shared" si="306"/>
        <v>8.8983125016386198E-3</v>
      </c>
      <c r="W404" s="66">
        <f t="shared" si="306"/>
        <v>8.6586188333695521E-3</v>
      </c>
      <c r="X404" s="66">
        <f t="shared" si="306"/>
        <v>8.4236330418278205E-3</v>
      </c>
      <c r="Y404" s="66">
        <f t="shared" si="306"/>
        <v>8.233307349899464E-3</v>
      </c>
      <c r="Z404" s="66">
        <f t="shared" si="306"/>
        <v>8.0449961856765614E-3</v>
      </c>
      <c r="AA404" s="66">
        <f t="shared" si="306"/>
        <v>7.8580142772329692E-3</v>
      </c>
      <c r="AB404" s="66">
        <f t="shared" si="306"/>
        <v>7.671907763629842E-3</v>
      </c>
      <c r="AC404" s="66">
        <f t="shared" si="306"/>
        <v>7.4863769124855761E-3</v>
      </c>
    </row>
    <row r="405" spans="1:29" x14ac:dyDescent="0.25">
      <c r="A405" s="59" t="str">
        <f>A368</f>
        <v>Market failure (av. utilization)</v>
      </c>
      <c r="B405" s="66">
        <f t="shared" ref="B405:AC405" si="307">B394/B368-B394/B367</f>
        <v>6.3873900524220817E-2</v>
      </c>
      <c r="C405" s="66">
        <f t="shared" si="307"/>
        <v>6.3281813887559282E-2</v>
      </c>
      <c r="D405" s="66">
        <f t="shared" si="307"/>
        <v>6.2587705244421754E-2</v>
      </c>
      <c r="E405" s="66">
        <f t="shared" si="307"/>
        <v>6.1858276031857728E-2</v>
      </c>
      <c r="F405" s="66">
        <f t="shared" si="307"/>
        <v>6.0957775668670569E-2</v>
      </c>
      <c r="G405" s="66">
        <f t="shared" si="307"/>
        <v>5.9853296873081538E-2</v>
      </c>
      <c r="H405" s="66">
        <f t="shared" si="307"/>
        <v>5.8525712547544323E-2</v>
      </c>
      <c r="I405" s="66">
        <f t="shared" si="307"/>
        <v>5.698436297336601E-2</v>
      </c>
      <c r="J405" s="66">
        <f t="shared" si="307"/>
        <v>5.549054889941761E-2</v>
      </c>
      <c r="K405" s="66">
        <f t="shared" si="307"/>
        <v>5.3911581238843737E-2</v>
      </c>
      <c r="L405" s="66">
        <f t="shared" si="307"/>
        <v>5.2362965391819352E-2</v>
      </c>
      <c r="M405" s="66">
        <f t="shared" si="307"/>
        <v>5.0953655929807329E-2</v>
      </c>
      <c r="N405" s="66">
        <f t="shared" si="307"/>
        <v>4.9757360838912246E-2</v>
      </c>
      <c r="O405" s="66">
        <f t="shared" si="307"/>
        <v>4.8623606147438922E-2</v>
      </c>
      <c r="P405" s="66">
        <f t="shared" si="307"/>
        <v>4.7725341247161907E-2</v>
      </c>
      <c r="Q405" s="66">
        <f t="shared" si="307"/>
        <v>4.7026547491126003E-2</v>
      </c>
      <c r="R405" s="66">
        <f t="shared" si="307"/>
        <v>4.6484590481257512E-2</v>
      </c>
      <c r="S405" s="66">
        <f t="shared" si="307"/>
        <v>4.6059734978810968E-2</v>
      </c>
      <c r="T405" s="66">
        <f t="shared" si="307"/>
        <v>4.5731139409614222E-2</v>
      </c>
      <c r="U405" s="66">
        <f t="shared" si="307"/>
        <v>4.5461776340641968E-2</v>
      </c>
      <c r="V405" s="66">
        <f t="shared" si="307"/>
        <v>4.5233375916824692E-2</v>
      </c>
      <c r="W405" s="66">
        <f t="shared" si="307"/>
        <v>4.5032983634195112E-2</v>
      </c>
      <c r="X405" s="66">
        <f t="shared" si="307"/>
        <v>4.4851595365298105E-2</v>
      </c>
      <c r="Y405" s="66">
        <f t="shared" si="307"/>
        <v>4.4709227024893355E-2</v>
      </c>
      <c r="Z405" s="66">
        <f t="shared" si="307"/>
        <v>4.4575463898859566E-2</v>
      </c>
      <c r="AA405" s="66">
        <f t="shared" si="307"/>
        <v>4.4447479412460855E-2</v>
      </c>
      <c r="AB405" s="66">
        <f t="shared" si="307"/>
        <v>4.4323369312304003E-2</v>
      </c>
      <c r="AC405" s="66">
        <f t="shared" si="307"/>
        <v>4.4201854097242907E-2</v>
      </c>
    </row>
    <row r="406" spans="1:29" x14ac:dyDescent="0.25">
      <c r="A406" s="59" t="str">
        <f>A369</f>
        <v>Payload loss (fuel)</v>
      </c>
      <c r="B406" s="66">
        <f>B394/(B367-B369)-B394/B367</f>
        <v>5.2880405823627769E-3</v>
      </c>
      <c r="C406" s="66">
        <f t="shared" ref="C406:AC406" si="308">C394/(C367-C369)-C394/C367</f>
        <v>5.2201801593136088E-3</v>
      </c>
      <c r="D406" s="66">
        <f t="shared" si="308"/>
        <v>5.1364739308301793E-3</v>
      </c>
      <c r="E406" s="66">
        <f t="shared" si="308"/>
        <v>5.0396866464413187E-3</v>
      </c>
      <c r="F406" s="66">
        <f t="shared" si="308"/>
        <v>4.9152792349484858E-3</v>
      </c>
      <c r="G406" s="66">
        <f t="shared" si="308"/>
        <v>4.7566226054847893E-3</v>
      </c>
      <c r="H406" s="66">
        <f t="shared" si="308"/>
        <v>4.5579721168002019E-3</v>
      </c>
      <c r="I406" s="66">
        <f t="shared" si="308"/>
        <v>4.3163237521842701E-3</v>
      </c>
      <c r="J406" s="66">
        <f t="shared" si="308"/>
        <v>4.0488325362315197E-3</v>
      </c>
      <c r="K406" s="66">
        <f t="shared" si="308"/>
        <v>3.745500752553324E-3</v>
      </c>
      <c r="L406" s="66">
        <f t="shared" si="308"/>
        <v>3.4196645581862917E-3</v>
      </c>
      <c r="M406" s="66">
        <f t="shared" si="308"/>
        <v>3.0887662807201344E-3</v>
      </c>
      <c r="N406" s="66">
        <f t="shared" si="308"/>
        <v>2.7714366479047181E-3</v>
      </c>
      <c r="O406" s="66">
        <f t="shared" si="308"/>
        <v>2.4751457042650055E-3</v>
      </c>
      <c r="P406" s="66">
        <f t="shared" si="308"/>
        <v>2.2222661764338125E-3</v>
      </c>
      <c r="Q406" s="66">
        <f t="shared" si="308"/>
        <v>2.0171029758244835E-3</v>
      </c>
      <c r="R406" s="66">
        <f t="shared" si="308"/>
        <v>1.8577607375047794E-3</v>
      </c>
      <c r="S406" s="66">
        <f t="shared" si="308"/>
        <v>1.7382086648331518E-3</v>
      </c>
      <c r="T406" s="66">
        <f t="shared" si="308"/>
        <v>1.6511245344712211E-3</v>
      </c>
      <c r="U406" s="66">
        <f t="shared" si="308"/>
        <v>1.5884075204089243E-3</v>
      </c>
      <c r="V406" s="66">
        <f t="shared" si="308"/>
        <v>1.5435197481204616E-3</v>
      </c>
      <c r="W406" s="66">
        <f t="shared" si="308"/>
        <v>1.5113108485199506E-3</v>
      </c>
      <c r="X406" s="66">
        <f t="shared" si="308"/>
        <v>1.4879409856480424E-3</v>
      </c>
      <c r="Y406" s="66">
        <f t="shared" si="308"/>
        <v>1.4715116146302443E-3</v>
      </c>
      <c r="Z406" s="66">
        <f t="shared" si="308"/>
        <v>1.4592133724606049E-3</v>
      </c>
      <c r="AA406" s="66">
        <f t="shared" si="308"/>
        <v>1.4497135129248467E-3</v>
      </c>
      <c r="AB406" s="66">
        <f t="shared" si="308"/>
        <v>1.4421011289779545E-3</v>
      </c>
      <c r="AC406" s="66">
        <f t="shared" si="308"/>
        <v>1.4357581433559058E-3</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0.16908564510755242</v>
      </c>
      <c r="C408" s="67">
        <f t="shared" ref="C408:AC408" si="310">C397+C398+C399+C400+C401+C402+C403+C404+C405+C406+C407</f>
        <v>0.1674865261414131</v>
      </c>
      <c r="D408" s="67">
        <f t="shared" si="310"/>
        <v>0.16560771135309116</v>
      </c>
      <c r="E408" s="67">
        <f t="shared" si="310"/>
        <v>0.16362446920862295</v>
      </c>
      <c r="F408" s="67">
        <f t="shared" si="310"/>
        <v>0.1611711815475082</v>
      </c>
      <c r="G408" s="67">
        <f t="shared" si="310"/>
        <v>0.158156114239797</v>
      </c>
      <c r="H408" s="67">
        <f t="shared" si="310"/>
        <v>0.15452405601265407</v>
      </c>
      <c r="I408" s="67">
        <f t="shared" si="310"/>
        <v>0.15029615874930113</v>
      </c>
      <c r="J408" s="67">
        <f t="shared" si="310"/>
        <v>0.14616535527313701</v>
      </c>
      <c r="K408" s="67">
        <f t="shared" si="310"/>
        <v>0.14177848643625052</v>
      </c>
      <c r="L408" s="67">
        <f t="shared" si="310"/>
        <v>0.13744760925819974</v>
      </c>
      <c r="M408" s="67">
        <f t="shared" si="310"/>
        <v>0.13347194513070246</v>
      </c>
      <c r="N408" s="67">
        <f t="shared" si="310"/>
        <v>0.13006074888350319</v>
      </c>
      <c r="O408" s="67">
        <f t="shared" si="310"/>
        <v>0.12683233373777733</v>
      </c>
      <c r="P408" s="67">
        <f t="shared" si="310"/>
        <v>0.12425635532991935</v>
      </c>
      <c r="Q408" s="67">
        <f t="shared" si="310"/>
        <v>0.12224396689818268</v>
      </c>
      <c r="R408" s="67">
        <f t="shared" si="310"/>
        <v>0.12068301170330653</v>
      </c>
      <c r="S408" s="67">
        <f t="shared" si="310"/>
        <v>0.11946469540016971</v>
      </c>
      <c r="T408" s="67">
        <f t="shared" si="310"/>
        <v>0.11852779514257482</v>
      </c>
      <c r="U408" s="67">
        <f t="shared" si="310"/>
        <v>0.11776844950186016</v>
      </c>
      <c r="V408" s="67">
        <f t="shared" si="310"/>
        <v>0.11713287097832012</v>
      </c>
      <c r="W408" s="67">
        <f t="shared" si="310"/>
        <v>0.11658240617536725</v>
      </c>
      <c r="X408" s="67">
        <f t="shared" si="310"/>
        <v>0.11608992872052032</v>
      </c>
      <c r="Y408" s="67">
        <f t="shared" si="310"/>
        <v>0.11570530536569712</v>
      </c>
      <c r="Z408" s="67">
        <f t="shared" si="310"/>
        <v>0.11534706800447457</v>
      </c>
      <c r="AA408" s="67">
        <f t="shared" si="310"/>
        <v>0.11500657378356287</v>
      </c>
      <c r="AB408" s="67">
        <f t="shared" si="310"/>
        <v>0.11467798700265858</v>
      </c>
      <c r="AC408" s="67">
        <f t="shared" si="310"/>
        <v>0.11435738052980955</v>
      </c>
    </row>
    <row r="410" spans="1:29" x14ac:dyDescent="0.25">
      <c r="B410" s="40"/>
    </row>
    <row r="429" spans="1:1" s="3" customFormat="1" ht="21" x14ac:dyDescent="0.35">
      <c r="A429" s="2" t="str">
        <f>'Parameter Input'!A128</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Input'!$L$101</f>
        <v>390000</v>
      </c>
      <c r="C439" s="42">
        <f>'Parameter Input'!$M$101</f>
        <v>155000</v>
      </c>
      <c r="D439" s="1" t="s">
        <v>15</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25">
      <c r="A440" s="24" t="s">
        <v>28</v>
      </c>
      <c r="B440" s="60">
        <f>'Parameter Input'!$L$102</f>
        <v>-58500</v>
      </c>
      <c r="C440" s="61">
        <f>'Parameter Input'!$M$102</f>
        <v>-38750</v>
      </c>
      <c r="D440" s="1" t="s">
        <v>15</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25">
      <c r="A443" s="24" t="s">
        <v>79</v>
      </c>
      <c r="B443" s="45">
        <f>'Parameter Input'!$L$108</f>
        <v>0.06</v>
      </c>
      <c r="C443" s="46">
        <f>'Parameter Input'!$M$108</f>
        <v>0.06</v>
      </c>
      <c r="D443" s="1" t="s">
        <v>57</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25">
      <c r="A445" s="24" t="s">
        <v>52</v>
      </c>
      <c r="B445" s="43">
        <f>'Parameter Input'!$L$104</f>
        <v>26000</v>
      </c>
      <c r="C445" s="44">
        <f>'Parameter Input'!$M$104</f>
        <v>18000</v>
      </c>
      <c r="D445" s="1" t="s">
        <v>38</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25">
      <c r="A447" s="24" t="s">
        <v>59</v>
      </c>
      <c r="B447" s="47">
        <f>'Parameter Input'!$L$105</f>
        <v>2.5299999999999998</v>
      </c>
      <c r="C447" s="48">
        <f>'Parameter Input'!$M$105</f>
        <v>1.79</v>
      </c>
      <c r="D447" s="1" t="s">
        <v>60</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25">
      <c r="A448" s="24" t="s">
        <v>67</v>
      </c>
      <c r="B448" s="45">
        <f>'Parameter Input'!$L$106</f>
        <v>0.2544561408768215</v>
      </c>
      <c r="C448" s="46">
        <f>'Parameter Input'!$M$106</f>
        <v>0.10949010032952979</v>
      </c>
      <c r="D448" s="1" t="s">
        <v>68</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25">
      <c r="A449" s="24" t="s">
        <v>206</v>
      </c>
      <c r="B449" s="115">
        <f>'Parameter Input'!$L$109</f>
        <v>0</v>
      </c>
      <c r="C449" s="116">
        <f>'Parameter Input'!$M$109</f>
        <v>0</v>
      </c>
      <c r="D449" s="1" t="s">
        <v>76</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25">
      <c r="A450" s="24" t="s">
        <v>41</v>
      </c>
      <c r="B450" s="43">
        <f>'Parameter Input'!$L$103</f>
        <v>8</v>
      </c>
      <c r="C450" s="44">
        <f>'Parameter Input'!$M$103</f>
        <v>8</v>
      </c>
      <c r="D450" s="1" t="s">
        <v>42</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25">
      <c r="A454" s="24" t="s">
        <v>73</v>
      </c>
      <c r="B454" s="72">
        <f>'Parameter Input'!$L$107</f>
        <v>0.05</v>
      </c>
      <c r="C454" s="73">
        <f>'Parameter Input'!$M$107</f>
        <v>0.02</v>
      </c>
      <c r="D454" s="1" t="s">
        <v>57</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25">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25">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25">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25">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25">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25">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25">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25">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25">
      <c r="A468" s="30" t="str">
        <f t="shared" si="316"/>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25">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25">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25">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25">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25">
      <c r="A474" s="30" t="s">
        <v>73</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25">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25">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25">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25">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25">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25">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25">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25">
      <c r="A485" s="30" t="str">
        <f>A468</f>
        <v>Fuel Cost</v>
      </c>
      <c r="B485" s="62">
        <f>B467*B468*B475</f>
        <v>39741.425180132574</v>
      </c>
      <c r="C485" s="62">
        <f t="shared" ref="C485:AC485" si="361">C467*C468*C475</f>
        <v>38412.31774969813</v>
      </c>
      <c r="D485" s="62">
        <f t="shared" si="361"/>
        <v>37025.153357643125</v>
      </c>
      <c r="E485" s="62">
        <f t="shared" si="361"/>
        <v>35916.311982092811</v>
      </c>
      <c r="F485" s="62">
        <f t="shared" si="361"/>
        <v>34710.859846423518</v>
      </c>
      <c r="G485" s="62">
        <f t="shared" si="361"/>
        <v>33394.38331500483</v>
      </c>
      <c r="H485" s="62">
        <f t="shared" si="361"/>
        <v>31962.490663419441</v>
      </c>
      <c r="I485" s="62">
        <f t="shared" si="361"/>
        <v>30428.824311373261</v>
      </c>
      <c r="J485" s="62">
        <f t="shared" si="361"/>
        <v>29583.636308926172</v>
      </c>
      <c r="K485" s="62">
        <f t="shared" si="361"/>
        <v>28684.400074255074</v>
      </c>
      <c r="L485" s="62">
        <f t="shared" si="361"/>
        <v>27800.291910443761</v>
      </c>
      <c r="M485" s="62">
        <f t="shared" si="361"/>
        <v>26996.995496483614</v>
      </c>
      <c r="N485" s="62">
        <f t="shared" si="361"/>
        <v>26319.366096462905</v>
      </c>
      <c r="O485" s="62">
        <f t="shared" si="361"/>
        <v>25149.508552362146</v>
      </c>
      <c r="P485" s="62">
        <f t="shared" si="361"/>
        <v>24138.509316141091</v>
      </c>
      <c r="Q485" s="62">
        <f t="shared" si="361"/>
        <v>23257.94928198136</v>
      </c>
      <c r="R485" s="62">
        <f t="shared" si="361"/>
        <v>22477.288772390348</v>
      </c>
      <c r="S485" s="62">
        <f t="shared" si="361"/>
        <v>21769.473100907908</v>
      </c>
      <c r="T485" s="62">
        <f t="shared" si="361"/>
        <v>21155.435504219902</v>
      </c>
      <c r="U485" s="62">
        <f t="shared" si="361"/>
        <v>20576.440176240863</v>
      </c>
      <c r="V485" s="62">
        <f t="shared" si="361"/>
        <v>20021.203128686891</v>
      </c>
      <c r="W485" s="62">
        <f t="shared" si="361"/>
        <v>19481.892375081494</v>
      </c>
      <c r="X485" s="62">
        <f t="shared" si="361"/>
        <v>18953.174344112595</v>
      </c>
      <c r="Y485" s="62">
        <f t="shared" si="361"/>
        <v>18524.941537273797</v>
      </c>
      <c r="Z485" s="62">
        <f t="shared" si="361"/>
        <v>18101.241417772264</v>
      </c>
      <c r="AA485" s="62">
        <f t="shared" si="361"/>
        <v>17680.532123774181</v>
      </c>
      <c r="AB485" s="62">
        <f t="shared" si="361"/>
        <v>17261.792468167143</v>
      </c>
      <c r="AC485" s="62">
        <f t="shared" si="361"/>
        <v>16844.348053092548</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200960.57464924711</v>
      </c>
      <c r="C487" s="64">
        <f t="shared" ref="C487:AC487" si="363">C478+C479+C480+C481+C482+C483+C484+C485+C486</f>
        <v>198951.97510765336</v>
      </c>
      <c r="D487" s="64">
        <f t="shared" si="363"/>
        <v>196620.07001781248</v>
      </c>
      <c r="E487" s="64">
        <f t="shared" si="363"/>
        <v>194216.02448841755</v>
      </c>
      <c r="F487" s="64">
        <f t="shared" si="363"/>
        <v>191269.95675844717</v>
      </c>
      <c r="G487" s="64">
        <f t="shared" si="363"/>
        <v>187678.15938307403</v>
      </c>
      <c r="H487" s="64">
        <f t="shared" si="363"/>
        <v>183380.88470766644</v>
      </c>
      <c r="I487" s="64">
        <f t="shared" si="363"/>
        <v>178408.84217783748</v>
      </c>
      <c r="J487" s="64">
        <f t="shared" si="363"/>
        <v>173675.62898096506</v>
      </c>
      <c r="K487" s="64">
        <f t="shared" si="363"/>
        <v>168671.82050070516</v>
      </c>
      <c r="L487" s="64">
        <f t="shared" si="363"/>
        <v>163763.91039571114</v>
      </c>
      <c r="M487" s="64">
        <f t="shared" si="363"/>
        <v>159297.66425054593</v>
      </c>
      <c r="N487" s="64">
        <f t="shared" si="363"/>
        <v>155507.04919307347</v>
      </c>
      <c r="O487" s="64">
        <f t="shared" si="363"/>
        <v>151844.24764149831</v>
      </c>
      <c r="P487" s="64">
        <f t="shared" si="363"/>
        <v>148931.02148282347</v>
      </c>
      <c r="Q487" s="64">
        <f t="shared" si="363"/>
        <v>146652.17210184052</v>
      </c>
      <c r="R487" s="64">
        <f t="shared" si="363"/>
        <v>144871.75493785355</v>
      </c>
      <c r="S487" s="64">
        <f t="shared" si="363"/>
        <v>143463.25749535282</v>
      </c>
      <c r="T487" s="64">
        <f t="shared" si="363"/>
        <v>142365.00572762382</v>
      </c>
      <c r="U487" s="64">
        <f t="shared" si="363"/>
        <v>141454.63851308372</v>
      </c>
      <c r="V487" s="64">
        <f t="shared" si="363"/>
        <v>140674.14076824632</v>
      </c>
      <c r="W487" s="64">
        <f t="shared" si="363"/>
        <v>139982.39860735618</v>
      </c>
      <c r="X487" s="64">
        <f t="shared" si="363"/>
        <v>139350.8501898915</v>
      </c>
      <c r="Y487" s="64">
        <f t="shared" si="363"/>
        <v>138853.39247768174</v>
      </c>
      <c r="Z487" s="64">
        <f t="shared" si="363"/>
        <v>138383.1559420276</v>
      </c>
      <c r="AA487" s="64">
        <f t="shared" si="363"/>
        <v>137931.19211328891</v>
      </c>
      <c r="AB487" s="64">
        <f t="shared" si="363"/>
        <v>137491.47478044691</v>
      </c>
      <c r="AC487" s="64">
        <f t="shared" si="363"/>
        <v>137059.95639438016</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25">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25">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25">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25">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25">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25">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25">
      <c r="A497" s="30" t="str">
        <f t="shared" si="364"/>
        <v>Fuel Cost</v>
      </c>
      <c r="B497" s="66">
        <f>B467*B468*B475/B475</f>
        <v>0.4415713908903619</v>
      </c>
      <c r="C497" s="66">
        <f t="shared" ref="C497:AC497" si="372">C467*C468*C475/C475</f>
        <v>0.42680353055220144</v>
      </c>
      <c r="D497" s="66">
        <f t="shared" si="372"/>
        <v>0.41139059286270141</v>
      </c>
      <c r="E497" s="66">
        <f t="shared" si="372"/>
        <v>0.39907013313436457</v>
      </c>
      <c r="F497" s="66">
        <f t="shared" si="372"/>
        <v>0.38567622051581685</v>
      </c>
      <c r="G497" s="66">
        <f t="shared" si="372"/>
        <v>0.37104870350005364</v>
      </c>
      <c r="H497" s="66">
        <f t="shared" si="372"/>
        <v>0.35513878514910491</v>
      </c>
      <c r="I497" s="66">
        <f t="shared" si="372"/>
        <v>0.33809804790414733</v>
      </c>
      <c r="J497" s="66">
        <f t="shared" si="372"/>
        <v>0.32870707009917971</v>
      </c>
      <c r="K497" s="66">
        <f t="shared" si="372"/>
        <v>0.31871555638061194</v>
      </c>
      <c r="L497" s="66">
        <f t="shared" si="372"/>
        <v>0.30889213233826401</v>
      </c>
      <c r="M497" s="66">
        <f t="shared" si="372"/>
        <v>0.29996661662759572</v>
      </c>
      <c r="N497" s="66">
        <f t="shared" si="372"/>
        <v>0.29243740107181004</v>
      </c>
      <c r="O497" s="66">
        <f t="shared" si="372"/>
        <v>0.27943898391513494</v>
      </c>
      <c r="P497" s="66">
        <f t="shared" si="372"/>
        <v>0.26820565906823435</v>
      </c>
      <c r="Q497" s="66">
        <f t="shared" si="372"/>
        <v>0.25842165868868178</v>
      </c>
      <c r="R497" s="66">
        <f t="shared" si="372"/>
        <v>0.24974765302655941</v>
      </c>
      <c r="S497" s="66">
        <f t="shared" si="372"/>
        <v>0.2418830344545323</v>
      </c>
      <c r="T497" s="66">
        <f t="shared" si="372"/>
        <v>0.23506039449133226</v>
      </c>
      <c r="U497" s="66">
        <f t="shared" si="372"/>
        <v>0.22862711306934291</v>
      </c>
      <c r="V497" s="66">
        <f t="shared" si="372"/>
        <v>0.22245781254096547</v>
      </c>
      <c r="W497" s="66">
        <f t="shared" si="372"/>
        <v>0.21646547083423881</v>
      </c>
      <c r="X497" s="66">
        <f t="shared" si="372"/>
        <v>0.21059082604569548</v>
      </c>
      <c r="Y497" s="66">
        <f t="shared" si="372"/>
        <v>0.20583268374748662</v>
      </c>
      <c r="Z497" s="66">
        <f t="shared" si="372"/>
        <v>0.20112490464191404</v>
      </c>
      <c r="AA497" s="66">
        <f t="shared" si="372"/>
        <v>0.19645035693082424</v>
      </c>
      <c r="AB497" s="66">
        <f t="shared" si="372"/>
        <v>0.19179769409074604</v>
      </c>
      <c r="AC497" s="66">
        <f t="shared" si="372"/>
        <v>0.18715942281213943</v>
      </c>
    </row>
    <row r="498" spans="1:29" ht="15.75" thickBot="1" x14ac:dyDescent="0.3">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75" thickBot="1" x14ac:dyDescent="0.3">
      <c r="A499" s="31" t="s">
        <v>63</v>
      </c>
      <c r="B499" s="76">
        <f>B490+B491+B492-B493+B494+B495+B496+B497+B498</f>
        <v>2.2593140435344865</v>
      </c>
      <c r="C499" s="76">
        <f t="shared" ref="C499:AC499" si="375">C490+C491+C492-C493+C494+C495+C496+C497+C498</f>
        <v>2.2369962708501125</v>
      </c>
      <c r="D499" s="76">
        <f t="shared" si="375"/>
        <v>2.2110862142963246</v>
      </c>
      <c r="E499" s="76">
        <f t="shared" si="375"/>
        <v>2.1843745973030475</v>
      </c>
      <c r="F499" s="76">
        <f t="shared" si="375"/>
        <v>2.1516405114144872</v>
      </c>
      <c r="G499" s="76">
        <f t="shared" si="375"/>
        <v>2.1117316516881197</v>
      </c>
      <c r="H499" s="76">
        <f t="shared" si="375"/>
        <v>2.063984155294702</v>
      </c>
      <c r="I499" s="76">
        <f t="shared" si="375"/>
        <v>2.0087392382966023</v>
      </c>
      <c r="J499" s="76">
        <f t="shared" si="375"/>
        <v>1.9561479805535755</v>
      </c>
      <c r="K499" s="76">
        <f t="shared" si="375"/>
        <v>1.9005501085506875</v>
      </c>
      <c r="L499" s="76">
        <f t="shared" si="375"/>
        <v>1.8460177740507544</v>
      </c>
      <c r="M499" s="76">
        <f t="shared" si="375"/>
        <v>1.7963928168822521</v>
      </c>
      <c r="N499" s="76">
        <f t="shared" si="375"/>
        <v>1.7542748717992243</v>
      </c>
      <c r="O499" s="76">
        <f t="shared" si="375"/>
        <v>1.7135770767817224</v>
      </c>
      <c r="P499" s="76">
        <f t="shared" si="375"/>
        <v>1.681207897240891</v>
      </c>
      <c r="Q499" s="76">
        <f t="shared" si="375"/>
        <v>1.6558873485633028</v>
      </c>
      <c r="R499" s="76">
        <f t="shared" si="375"/>
        <v>1.6361049356301143</v>
      </c>
      <c r="S499" s="76">
        <f t="shared" si="375"/>
        <v>1.6204549640467731</v>
      </c>
      <c r="T499" s="76">
        <f t="shared" si="375"/>
        <v>1.6082521666275615</v>
      </c>
      <c r="U499" s="76">
        <f t="shared" si="375"/>
        <v>1.5981369753548937</v>
      </c>
      <c r="V499" s="76">
        <f t="shared" si="375"/>
        <v>1.589464778190034</v>
      </c>
      <c r="W499" s="76">
        <f t="shared" si="375"/>
        <v>1.5817787541801434</v>
      </c>
      <c r="X499" s="76">
        <f t="shared" si="375"/>
        <v>1.5747615495416469</v>
      </c>
      <c r="Y499" s="76">
        <f t="shared" si="375"/>
        <v>1.5692342416282055</v>
      </c>
      <c r="Z499" s="76">
        <f t="shared" si="375"/>
        <v>1.5640093912320481</v>
      </c>
      <c r="AA499" s="76">
        <f t="shared" si="375"/>
        <v>1.5589875709127294</v>
      </c>
      <c r="AB499" s="76">
        <f t="shared" si="375"/>
        <v>1.5541018227700401</v>
      </c>
      <c r="AC499" s="76">
        <f t="shared" si="375"/>
        <v>1.5493071740359654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25">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25">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25">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25">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25">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25">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25">
      <c r="A509" s="30" t="str">
        <f t="shared" si="376"/>
        <v>Fuel Cost</v>
      </c>
      <c r="B509" s="66">
        <f>B467*B468*B475/B475/(B472)</f>
        <v>1.7662855635614476E-2</v>
      </c>
      <c r="C509" s="66">
        <f t="shared" ref="C509:AC509" si="384">C467*C468*C475/C475/(C472)</f>
        <v>1.7072141222088059E-2</v>
      </c>
      <c r="D509" s="66">
        <f t="shared" si="384"/>
        <v>1.6455623714508056E-2</v>
      </c>
      <c r="E509" s="66">
        <f t="shared" si="384"/>
        <v>1.5962805325374581E-2</v>
      </c>
      <c r="F509" s="66">
        <f t="shared" si="384"/>
        <v>1.5427048820632673E-2</v>
      </c>
      <c r="G509" s="66">
        <f t="shared" si="384"/>
        <v>1.4841948140002146E-2</v>
      </c>
      <c r="H509" s="66">
        <f t="shared" si="384"/>
        <v>1.4205551405964197E-2</v>
      </c>
      <c r="I509" s="66">
        <f t="shared" si="384"/>
        <v>1.3523921916165893E-2</v>
      </c>
      <c r="J509" s="66">
        <f t="shared" si="384"/>
        <v>1.3148282803967189E-2</v>
      </c>
      <c r="K509" s="66">
        <f t="shared" si="384"/>
        <v>1.2748622255224478E-2</v>
      </c>
      <c r="L509" s="66">
        <f t="shared" si="384"/>
        <v>1.2355685293530561E-2</v>
      </c>
      <c r="M509" s="66">
        <f t="shared" si="384"/>
        <v>1.1998664665103829E-2</v>
      </c>
      <c r="N509" s="66">
        <f t="shared" si="384"/>
        <v>1.1697496042872402E-2</v>
      </c>
      <c r="O509" s="66">
        <f t="shared" si="384"/>
        <v>1.1177559356605398E-2</v>
      </c>
      <c r="P509" s="66">
        <f t="shared" si="384"/>
        <v>1.0728226362729375E-2</v>
      </c>
      <c r="Q509" s="66">
        <f t="shared" si="384"/>
        <v>1.0336866347547271E-2</v>
      </c>
      <c r="R509" s="66">
        <f t="shared" si="384"/>
        <v>9.9899061210623769E-3</v>
      </c>
      <c r="S509" s="66">
        <f t="shared" si="384"/>
        <v>9.6753213781812925E-3</v>
      </c>
      <c r="T509" s="66">
        <f t="shared" si="384"/>
        <v>9.4024157796532906E-3</v>
      </c>
      <c r="U509" s="66">
        <f t="shared" si="384"/>
        <v>9.1450845227737162E-3</v>
      </c>
      <c r="V509" s="66">
        <f t="shared" si="384"/>
        <v>8.898312501638618E-3</v>
      </c>
      <c r="W509" s="66">
        <f t="shared" si="384"/>
        <v>8.6586188333695521E-3</v>
      </c>
      <c r="X509" s="66">
        <f t="shared" si="384"/>
        <v>8.4236330418278188E-3</v>
      </c>
      <c r="Y509" s="66">
        <f t="shared" si="384"/>
        <v>8.233307349899464E-3</v>
      </c>
      <c r="Z509" s="66">
        <f t="shared" si="384"/>
        <v>8.0449961856765614E-3</v>
      </c>
      <c r="AA509" s="66">
        <f t="shared" si="384"/>
        <v>7.8580142772329692E-3</v>
      </c>
      <c r="AB509" s="66">
        <f t="shared" si="384"/>
        <v>7.671907763629842E-3</v>
      </c>
      <c r="AC509" s="66">
        <f t="shared" si="384"/>
        <v>7.486376912485577E-3</v>
      </c>
    </row>
    <row r="510" spans="1:29" x14ac:dyDescent="0.25">
      <c r="A510" s="59" t="str">
        <f>A473</f>
        <v>Market failure (av. utilization)</v>
      </c>
      <c r="B510" s="66">
        <f t="shared" ref="B510:AC510" si="385">B499/B473-B499/B472</f>
        <v>5.0834565979525945E-2</v>
      </c>
      <c r="C510" s="66">
        <f t="shared" si="385"/>
        <v>5.033241609412753E-2</v>
      </c>
      <c r="D510" s="66">
        <f t="shared" si="385"/>
        <v>4.9749439821667296E-2</v>
      </c>
      <c r="E510" s="66">
        <f t="shared" si="385"/>
        <v>4.9148428439318576E-2</v>
      </c>
      <c r="F510" s="66">
        <f t="shared" si="385"/>
        <v>4.8411911506825958E-2</v>
      </c>
      <c r="G510" s="66">
        <f t="shared" si="385"/>
        <v>4.751396216298269E-2</v>
      </c>
      <c r="H510" s="66">
        <f t="shared" si="385"/>
        <v>4.6439643494130795E-2</v>
      </c>
      <c r="I510" s="66">
        <f t="shared" si="385"/>
        <v>4.5196632861673552E-2</v>
      </c>
      <c r="J510" s="66">
        <f t="shared" si="385"/>
        <v>4.4013329562455447E-2</v>
      </c>
      <c r="K510" s="66">
        <f t="shared" si="385"/>
        <v>4.2762377442390476E-2</v>
      </c>
      <c r="L510" s="66">
        <f t="shared" si="385"/>
        <v>4.1535399916141968E-2</v>
      </c>
      <c r="M510" s="66">
        <f t="shared" si="385"/>
        <v>4.0418838379850677E-2</v>
      </c>
      <c r="N510" s="66">
        <f t="shared" si="385"/>
        <v>3.9471184615482546E-2</v>
      </c>
      <c r="O510" s="66">
        <f t="shared" si="385"/>
        <v>3.8555484227588754E-2</v>
      </c>
      <c r="P510" s="66">
        <f t="shared" si="385"/>
        <v>3.7827177687920044E-2</v>
      </c>
      <c r="Q510" s="66">
        <f t="shared" si="385"/>
        <v>3.7257465342674309E-2</v>
      </c>
      <c r="R510" s="66">
        <f t="shared" si="385"/>
        <v>3.6812361051677567E-2</v>
      </c>
      <c r="S510" s="66">
        <f t="shared" si="385"/>
        <v>3.6460236691052389E-2</v>
      </c>
      <c r="T510" s="66">
        <f t="shared" si="385"/>
        <v>3.6185673749120129E-2</v>
      </c>
      <c r="U510" s="66">
        <f t="shared" si="385"/>
        <v>3.595808194548511E-2</v>
      </c>
      <c r="V510" s="66">
        <f t="shared" si="385"/>
        <v>3.5762957509275758E-2</v>
      </c>
      <c r="W510" s="66">
        <f t="shared" si="385"/>
        <v>3.5590021969053226E-2</v>
      </c>
      <c r="X510" s="66">
        <f t="shared" si="385"/>
        <v>3.5432134864687062E-2</v>
      </c>
      <c r="Y510" s="66">
        <f t="shared" si="385"/>
        <v>3.530777043663462E-2</v>
      </c>
      <c r="Z510" s="66">
        <f t="shared" si="385"/>
        <v>3.5190211302721083E-2</v>
      </c>
      <c r="AA510" s="66">
        <f t="shared" si="385"/>
        <v>3.5077220345536411E-2</v>
      </c>
      <c r="AB510" s="66">
        <f t="shared" si="385"/>
        <v>3.4967291012325902E-2</v>
      </c>
      <c r="AC510" s="66">
        <f t="shared" si="385"/>
        <v>3.485941141580922E-2</v>
      </c>
    </row>
    <row r="511" spans="1:29" x14ac:dyDescent="0.25">
      <c r="A511" s="59" t="str">
        <f>A474</f>
        <v>Payload loss (fuel)</v>
      </c>
      <c r="B511" s="66">
        <f>B499/(B472-B474)-B499/B472</f>
        <v>4.7168069440258892E-3</v>
      </c>
      <c r="C511" s="66">
        <f t="shared" ref="C511:AC511" si="386">C499/(C472-C474)-C499/C472</f>
        <v>4.6534171940453561E-3</v>
      </c>
      <c r="D511" s="66">
        <f t="shared" si="386"/>
        <v>4.5759565712695793E-3</v>
      </c>
      <c r="E511" s="66">
        <f t="shared" si="386"/>
        <v>4.487794859562716E-3</v>
      </c>
      <c r="F511" s="66">
        <f t="shared" si="386"/>
        <v>4.3751097701393293E-3</v>
      </c>
      <c r="G511" s="66">
        <f t="shared" si="386"/>
        <v>4.2320374771563918E-3</v>
      </c>
      <c r="H511" s="66">
        <f t="shared" si="386"/>
        <v>4.0535120715128881E-3</v>
      </c>
      <c r="I511" s="66">
        <f t="shared" si="386"/>
        <v>3.8369137347143006E-3</v>
      </c>
      <c r="J511" s="66">
        <f t="shared" si="386"/>
        <v>3.5992553318277276E-3</v>
      </c>
      <c r="K511" s="66">
        <f t="shared" si="386"/>
        <v>3.329716825211021E-3</v>
      </c>
      <c r="L511" s="66">
        <f t="shared" si="386"/>
        <v>3.040152084016326E-3</v>
      </c>
      <c r="M511" s="66">
        <f t="shared" si="386"/>
        <v>2.7460672251282264E-3</v>
      </c>
      <c r="N511" s="66">
        <f t="shared" si="386"/>
        <v>2.4640267517812287E-3</v>
      </c>
      <c r="O511" s="66">
        <f t="shared" si="386"/>
        <v>2.1996693629983827E-3</v>
      </c>
      <c r="P511" s="66">
        <f t="shared" si="386"/>
        <v>1.9740975647380699E-3</v>
      </c>
      <c r="Q511" s="66">
        <f t="shared" si="386"/>
        <v>1.7910838585352556E-3</v>
      </c>
      <c r="R511" s="66">
        <f t="shared" si="386"/>
        <v>1.6488915149527744E-3</v>
      </c>
      <c r="S511" s="66">
        <f t="shared" si="386"/>
        <v>1.5421179732086898E-3</v>
      </c>
      <c r="T511" s="66">
        <f t="shared" si="386"/>
        <v>1.4642731917992452E-3</v>
      </c>
      <c r="U511" s="66">
        <f t="shared" si="386"/>
        <v>1.4080876544844828E-3</v>
      </c>
      <c r="V511" s="66">
        <f t="shared" si="386"/>
        <v>1.3677422248926929E-3</v>
      </c>
      <c r="W511" s="66">
        <f t="shared" si="386"/>
        <v>1.3386559525484787E-3</v>
      </c>
      <c r="X511" s="66">
        <f t="shared" si="386"/>
        <v>1.3174155065785315E-3</v>
      </c>
      <c r="Y511" s="66">
        <f t="shared" si="386"/>
        <v>1.3024302261798043E-3</v>
      </c>
      <c r="Z511" s="66">
        <f t="shared" si="386"/>
        <v>1.2911076172937574E-3</v>
      </c>
      <c r="AA511" s="66">
        <f t="shared" si="386"/>
        <v>1.2822652117955718E-3</v>
      </c>
      <c r="AB511" s="66">
        <f t="shared" si="386"/>
        <v>1.2750951023991069E-3</v>
      </c>
      <c r="AC511" s="66">
        <f t="shared" si="386"/>
        <v>1.2690492913016507E-3</v>
      </c>
    </row>
    <row r="512" spans="1:29" ht="15.75" thickBot="1" x14ac:dyDescent="0.3">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75" thickBot="1" x14ac:dyDescent="0.3">
      <c r="A513" s="31" t="s">
        <v>210</v>
      </c>
      <c r="B513" s="67">
        <f>B502+B503+B504+B505+B506+B507+B508+B509+B510+B511+B512</f>
        <v>0.14486718387877273</v>
      </c>
      <c r="C513" s="67">
        <f t="shared" ref="C513:AC513" si="388">C502+C503+C504+C505+C506+C507+C508+C509+C510+C511+C512</f>
        <v>0.14340893333601881</v>
      </c>
      <c r="D513" s="67">
        <f t="shared" si="388"/>
        <v>0.14171209417863131</v>
      </c>
      <c r="E513" s="67">
        <f t="shared" si="388"/>
        <v>0.13995445640484463</v>
      </c>
      <c r="F513" s="67">
        <f t="shared" si="388"/>
        <v>0.13779589094738623</v>
      </c>
      <c r="G513" s="67">
        <f t="shared" si="388"/>
        <v>0.13515851492150532</v>
      </c>
      <c r="H513" s="67">
        <f t="shared" si="388"/>
        <v>0.13199577099127321</v>
      </c>
      <c r="I513" s="67">
        <f t="shared" si="388"/>
        <v>0.12832636534209338</v>
      </c>
      <c r="J513" s="67">
        <f t="shared" si="388"/>
        <v>0.12480175333026765</v>
      </c>
      <c r="K513" s="67">
        <f t="shared" si="388"/>
        <v>0.12105734782347045</v>
      </c>
      <c r="L513" s="67">
        <f t="shared" si="388"/>
        <v>0.11735951217602993</v>
      </c>
      <c r="M513" s="67">
        <f t="shared" si="388"/>
        <v>0.11396386749411043</v>
      </c>
      <c r="N513" s="67">
        <f t="shared" si="388"/>
        <v>0.11104945545307421</v>
      </c>
      <c r="O513" s="67">
        <f t="shared" si="388"/>
        <v>0.1082414858756975</v>
      </c>
      <c r="P513" s="67">
        <f t="shared" si="388"/>
        <v>0.10599284035613521</v>
      </c>
      <c r="Q513" s="67">
        <f t="shared" si="388"/>
        <v>0.10422729235758313</v>
      </c>
      <c r="R513" s="67">
        <f t="shared" si="388"/>
        <v>0.10284869920567637</v>
      </c>
      <c r="S513" s="67">
        <f t="shared" si="388"/>
        <v>0.10176380243997346</v>
      </c>
      <c r="T513" s="67">
        <f t="shared" si="388"/>
        <v>0.10092328281986328</v>
      </c>
      <c r="U513" s="67">
        <f t="shared" si="388"/>
        <v>0.10023489782800679</v>
      </c>
      <c r="V513" s="67">
        <f t="shared" si="388"/>
        <v>9.9652540075611265E-2</v>
      </c>
      <c r="W513" s="67">
        <f t="shared" si="388"/>
        <v>9.9143077302648902E-2</v>
      </c>
      <c r="X513" s="67">
        <f t="shared" si="388"/>
        <v>9.8683261566772928E-2</v>
      </c>
      <c r="Y513" s="67">
        <f t="shared" si="388"/>
        <v>9.8322819541784096E-2</v>
      </c>
      <c r="Z513" s="67">
        <f t="shared" si="388"/>
        <v>9.7984943783138212E-2</v>
      </c>
      <c r="AA513" s="67">
        <f t="shared" si="388"/>
        <v>9.7662237607682612E-2</v>
      </c>
      <c r="AB513" s="67">
        <f t="shared" si="388"/>
        <v>9.7349708239368074E-2</v>
      </c>
      <c r="AC513" s="67">
        <f t="shared" si="388"/>
        <v>9.7043996882390932E-2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506"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Input'!$L$147</f>
        <v>3500000</v>
      </c>
      <c r="C11" s="42">
        <f>'Parameter Input'!$M$147</f>
        <v>3500000</v>
      </c>
      <c r="D11" s="1" t="s">
        <v>15</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Input'!$L$148</f>
        <v>-525000</v>
      </c>
      <c r="C12" s="61">
        <f>'Parameter Input'!$M$148</f>
        <v>-175000</v>
      </c>
      <c r="D12" s="1" t="s">
        <v>15</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Input'!$L$154</f>
        <v>0.06</v>
      </c>
      <c r="C15" s="46">
        <f>'Parameter Input'!$M$154</f>
        <v>0.06</v>
      </c>
      <c r="D15" s="1" t="s">
        <v>57</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Input'!$L$150</f>
        <v>1050000</v>
      </c>
      <c r="C17" s="44">
        <f>'Parameter Input'!$M$150</f>
        <v>1050000</v>
      </c>
      <c r="D17" s="1" t="s">
        <v>38</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Input'!$L$151</f>
        <v>76.777599999999993</v>
      </c>
      <c r="C19" s="48">
        <f>'Parameter Input'!$M$151</f>
        <v>76.777599999999993</v>
      </c>
      <c r="D19" s="1" t="s">
        <v>60</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Input'!$L$152</f>
        <v>0.1</v>
      </c>
      <c r="C20" s="46">
        <f>'Parameter Input'!$M$152</f>
        <v>0.1</v>
      </c>
      <c r="D20" s="1" t="s">
        <v>68</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Input'!$L$149</f>
        <v>20</v>
      </c>
      <c r="C22" s="44">
        <f>'Parameter Input'!$M$149</f>
        <v>20</v>
      </c>
      <c r="D22" s="1" t="s">
        <v>42</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Input'!$L$153</f>
        <v>0</v>
      </c>
      <c r="C26" s="73">
        <f>'Parameter Input'!$M$153</f>
        <v>0</v>
      </c>
      <c r="D26" s="1" t="s">
        <v>57</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'Parameter Input'!J8</f>
        <v>6.4802641056422569E-2</v>
      </c>
      <c r="C40" s="62">
        <f>'Parameter Input'!K8</f>
        <v>6.3089795918367345E-2</v>
      </c>
      <c r="D40" s="62">
        <f>'Parameter Input'!L8</f>
        <v>6.1376950780312127E-2</v>
      </c>
      <c r="E40" s="62">
        <f>'Parameter Input'!M8</f>
        <v>5.9664105642256909E-2</v>
      </c>
      <c r="F40" s="62">
        <f>'Parameter Input'!N8</f>
        <v>5.7951260504201692E-2</v>
      </c>
      <c r="G40" s="62">
        <f>'Parameter Input'!O8</f>
        <v>5.6238415366146474E-2</v>
      </c>
      <c r="H40" s="62">
        <f>'Parameter Input'!P8</f>
        <v>5.4525570228091257E-2</v>
      </c>
      <c r="I40" s="62">
        <f>'Parameter Input'!Q8</f>
        <v>5.2812725090036025E-2</v>
      </c>
      <c r="J40" s="62">
        <f>'Parameter Input'!R8</f>
        <v>5.2313145258103252E-2</v>
      </c>
      <c r="K40" s="62">
        <f>'Parameter Input'!S8</f>
        <v>5.181356542617048E-2</v>
      </c>
      <c r="L40" s="62">
        <f>'Parameter Input'!T8</f>
        <v>5.1313985594237707E-2</v>
      </c>
      <c r="M40" s="62">
        <f>'Parameter Input'!U8</f>
        <v>5.0814405762304934E-2</v>
      </c>
      <c r="N40" s="62">
        <f>'Parameter Input'!V8</f>
        <v>5.0314825930372155E-2</v>
      </c>
      <c r="O40" s="62">
        <f>'Parameter Input'!W8</f>
        <v>4.9815246098439382E-2</v>
      </c>
      <c r="P40" s="62">
        <f>'Parameter Input'!X8</f>
        <v>4.931566626650661E-2</v>
      </c>
      <c r="Q40" s="62">
        <f>'Parameter Input'!Y8</f>
        <v>4.8816086434573837E-2</v>
      </c>
      <c r="R40" s="62">
        <f>'Parameter Input'!Z8</f>
        <v>4.8316506602641064E-2</v>
      </c>
      <c r="S40" s="62">
        <f>'Parameter Input'!AA8</f>
        <v>4.7816926770708292E-2</v>
      </c>
      <c r="T40" s="62">
        <f>'Parameter Input'!AB8</f>
        <v>4.7317346938775519E-2</v>
      </c>
      <c r="U40" s="62">
        <f>'Parameter Input'!AC8</f>
        <v>4.6817767106842746E-2</v>
      </c>
      <c r="V40" s="62">
        <f>'Parameter Input'!AD8</f>
        <v>4.6318187274909974E-2</v>
      </c>
      <c r="W40" s="62">
        <f>'Parameter Input'!AE8</f>
        <v>4.5818607442977201E-2</v>
      </c>
      <c r="X40" s="62">
        <f>'Parameter Input'!AF8</f>
        <v>4.5319027611044428E-2</v>
      </c>
      <c r="Y40" s="62">
        <f>'Parameter Input'!AG8</f>
        <v>4.4819447779111656E-2</v>
      </c>
      <c r="Z40" s="62">
        <f>'Parameter Input'!AH8</f>
        <v>4.4319867947178883E-2</v>
      </c>
      <c r="AA40" s="62">
        <f>'Parameter Input'!AI8</f>
        <v>4.382028811524611E-2</v>
      </c>
      <c r="AB40" s="62">
        <f>'Parameter Input'!AJ8</f>
        <v>4.3320708283313338E-2</v>
      </c>
      <c r="AC40" s="62">
        <f>'Parameter Input'!AK8</f>
        <v>4.2821128451380565E-2</v>
      </c>
    </row>
    <row r="41" spans="1:53" x14ac:dyDescent="0.25">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25">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25">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25">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25">
      <c r="A45" s="30" t="str">
        <f t="shared" si="11"/>
        <v>Market failure (av. utilization)</v>
      </c>
      <c r="B45" s="62">
        <f t="shared" ref="B45:K46" si="45">($B25+($C25-$B25)*(1-Q25))*B$44</f>
        <v>1433.6000000000001</v>
      </c>
      <c r="C45" s="62">
        <f t="shared" si="45"/>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ref="L45:U46" si="46">($B25+($C25-$B25)*(1-AA25))*L$44</f>
        <v>1433.6000000000001</v>
      </c>
      <c r="M45" s="62">
        <f t="shared" si="46"/>
        <v>1433.6000000000001</v>
      </c>
      <c r="N45" s="62">
        <f t="shared" si="46"/>
        <v>1433.6000000000001</v>
      </c>
      <c r="O45" s="62">
        <f t="shared" si="46"/>
        <v>1433.6000000000001</v>
      </c>
      <c r="P45" s="62">
        <f t="shared" si="46"/>
        <v>1433.6000000000001</v>
      </c>
      <c r="Q45" s="62">
        <f t="shared" si="46"/>
        <v>1433.6000000000001</v>
      </c>
      <c r="R45" s="62">
        <f t="shared" si="46"/>
        <v>1433.6000000000001</v>
      </c>
      <c r="S45" s="62">
        <f t="shared" si="46"/>
        <v>1433.6000000000001</v>
      </c>
      <c r="T45" s="62">
        <f t="shared" si="46"/>
        <v>1433.6000000000001</v>
      </c>
      <c r="U45" s="62">
        <f t="shared" si="46"/>
        <v>1433.6000000000001</v>
      </c>
      <c r="V45" s="62">
        <f t="shared" ref="V45:AC46" si="47">($B25+($C25-$B25)*(1-AK25))*V$44</f>
        <v>1433.6000000000001</v>
      </c>
      <c r="W45" s="62">
        <f t="shared" si="47"/>
        <v>1433.6000000000001</v>
      </c>
      <c r="X45" s="62">
        <f t="shared" si="47"/>
        <v>1433.6000000000001</v>
      </c>
      <c r="Y45" s="62">
        <f t="shared" si="47"/>
        <v>1433.6000000000001</v>
      </c>
      <c r="Z45" s="62">
        <f t="shared" si="47"/>
        <v>1433.6000000000001</v>
      </c>
      <c r="AA45" s="62">
        <f t="shared" si="47"/>
        <v>1433.6000000000001</v>
      </c>
      <c r="AB45" s="62">
        <f t="shared" si="47"/>
        <v>1433.6000000000001</v>
      </c>
      <c r="AC45" s="62">
        <f t="shared" si="47"/>
        <v>1433.6000000000001</v>
      </c>
    </row>
    <row r="46" spans="1:53" x14ac:dyDescent="0.25">
      <c r="A46" s="30" t="s">
        <v>73</v>
      </c>
      <c r="B46" s="62">
        <f t="shared" si="45"/>
        <v>0</v>
      </c>
      <c r="C46" s="62">
        <f t="shared" si="45"/>
        <v>0</v>
      </c>
      <c r="D46" s="62">
        <f t="shared" si="45"/>
        <v>0</v>
      </c>
      <c r="E46" s="62">
        <f t="shared" si="45"/>
        <v>0</v>
      </c>
      <c r="F46" s="62">
        <f t="shared" si="45"/>
        <v>0</v>
      </c>
      <c r="G46" s="62">
        <f t="shared" si="45"/>
        <v>0</v>
      </c>
      <c r="H46" s="62">
        <f t="shared" si="45"/>
        <v>0</v>
      </c>
      <c r="I46" s="62">
        <f t="shared" si="45"/>
        <v>0</v>
      </c>
      <c r="J46" s="62">
        <f t="shared" si="45"/>
        <v>0</v>
      </c>
      <c r="K46" s="62">
        <f t="shared" si="45"/>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7"/>
        <v>0</v>
      </c>
      <c r="W46" s="62">
        <f t="shared" si="47"/>
        <v>0</v>
      </c>
      <c r="X46" s="62">
        <f t="shared" si="47"/>
        <v>0</v>
      </c>
      <c r="Y46" s="62">
        <f t="shared" si="47"/>
        <v>0</v>
      </c>
      <c r="Z46" s="62">
        <f t="shared" si="47"/>
        <v>0</v>
      </c>
      <c r="AA46" s="62">
        <f t="shared" si="47"/>
        <v>0</v>
      </c>
      <c r="AB46" s="62">
        <f t="shared" si="47"/>
        <v>0</v>
      </c>
      <c r="AC46" s="62">
        <f t="shared" si="47"/>
        <v>0</v>
      </c>
    </row>
    <row r="47" spans="1:53" x14ac:dyDescent="0.25">
      <c r="A47" s="30" t="str">
        <f>A27</f>
        <v>Annual Mileage</v>
      </c>
      <c r="B47" s="62">
        <f t="shared" ref="B47:AC47" si="48">$B27+($C27-$B27)*(1-Q27)</f>
        <v>178500</v>
      </c>
      <c r="C47" s="62">
        <f t="shared" si="48"/>
        <v>178500</v>
      </c>
      <c r="D47" s="62">
        <f t="shared" si="48"/>
        <v>178500</v>
      </c>
      <c r="E47" s="62">
        <f t="shared" si="48"/>
        <v>178500</v>
      </c>
      <c r="F47" s="62">
        <f t="shared" si="48"/>
        <v>178500</v>
      </c>
      <c r="G47" s="62">
        <f t="shared" si="48"/>
        <v>178500</v>
      </c>
      <c r="H47" s="62">
        <f t="shared" si="48"/>
        <v>178500</v>
      </c>
      <c r="I47" s="62">
        <f t="shared" si="48"/>
        <v>178500</v>
      </c>
      <c r="J47" s="62">
        <f t="shared" si="48"/>
        <v>178500</v>
      </c>
      <c r="K47" s="62">
        <f t="shared" si="48"/>
        <v>178500</v>
      </c>
      <c r="L47" s="62">
        <f t="shared" si="48"/>
        <v>178500</v>
      </c>
      <c r="M47" s="62">
        <f t="shared" si="48"/>
        <v>178500</v>
      </c>
      <c r="N47" s="62">
        <f t="shared" si="48"/>
        <v>178500</v>
      </c>
      <c r="O47" s="62">
        <f t="shared" si="48"/>
        <v>178500</v>
      </c>
      <c r="P47" s="62">
        <f t="shared" si="48"/>
        <v>178500</v>
      </c>
      <c r="Q47" s="62">
        <f t="shared" si="48"/>
        <v>178500</v>
      </c>
      <c r="R47" s="62">
        <f t="shared" si="48"/>
        <v>178500</v>
      </c>
      <c r="S47" s="62">
        <f t="shared" si="48"/>
        <v>178500</v>
      </c>
      <c r="T47" s="62">
        <f t="shared" si="48"/>
        <v>178500</v>
      </c>
      <c r="U47" s="62">
        <f t="shared" si="48"/>
        <v>178500</v>
      </c>
      <c r="V47" s="62">
        <f t="shared" si="48"/>
        <v>178500</v>
      </c>
      <c r="W47" s="62">
        <f t="shared" si="48"/>
        <v>178500</v>
      </c>
      <c r="X47" s="62">
        <f t="shared" si="48"/>
        <v>178500</v>
      </c>
      <c r="Y47" s="62">
        <f t="shared" si="48"/>
        <v>178500</v>
      </c>
      <c r="Z47" s="62">
        <f t="shared" si="48"/>
        <v>178500</v>
      </c>
      <c r="AA47" s="62">
        <f t="shared" si="48"/>
        <v>178500</v>
      </c>
      <c r="AB47" s="62">
        <f t="shared" si="48"/>
        <v>178500</v>
      </c>
      <c r="AC47" s="62">
        <f t="shared" si="48"/>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49">((1+C35)^C42)*C35/(((1+C35)^C42)-1)*(C31)</f>
        <v>305145.94941897993</v>
      </c>
      <c r="D50" s="63">
        <f t="shared" si="49"/>
        <v>305145.94941897993</v>
      </c>
      <c r="E50" s="63">
        <f t="shared" si="49"/>
        <v>305145.94941897993</v>
      </c>
      <c r="F50" s="63">
        <f t="shared" si="49"/>
        <v>305145.94941897993</v>
      </c>
      <c r="G50" s="63">
        <f t="shared" si="49"/>
        <v>305145.94941897993</v>
      </c>
      <c r="H50" s="63">
        <f t="shared" si="49"/>
        <v>305145.94941897993</v>
      </c>
      <c r="I50" s="63">
        <f t="shared" si="49"/>
        <v>305145.94941897993</v>
      </c>
      <c r="J50" s="63">
        <f t="shared" si="49"/>
        <v>305145.94941897993</v>
      </c>
      <c r="K50" s="63">
        <f t="shared" si="49"/>
        <v>305145.94941897993</v>
      </c>
      <c r="L50" s="63">
        <f t="shared" si="49"/>
        <v>305145.94941897993</v>
      </c>
      <c r="M50" s="63">
        <f t="shared" si="49"/>
        <v>305145.94941897993</v>
      </c>
      <c r="N50" s="63">
        <f t="shared" si="49"/>
        <v>305145.94941897993</v>
      </c>
      <c r="O50" s="63">
        <f t="shared" si="49"/>
        <v>305145.94941897993</v>
      </c>
      <c r="P50" s="63">
        <f t="shared" si="49"/>
        <v>305145.94941897993</v>
      </c>
      <c r="Q50" s="63">
        <f t="shared" si="49"/>
        <v>305145.94941897993</v>
      </c>
      <c r="R50" s="63">
        <f t="shared" si="49"/>
        <v>305145.94941897993</v>
      </c>
      <c r="S50" s="63">
        <f t="shared" si="49"/>
        <v>305145.94941897993</v>
      </c>
      <c r="T50" s="63">
        <f t="shared" si="49"/>
        <v>305145.94941897993</v>
      </c>
      <c r="U50" s="63">
        <f t="shared" si="49"/>
        <v>305145.94941897993</v>
      </c>
      <c r="V50" s="63">
        <f t="shared" si="49"/>
        <v>305145.94941897993</v>
      </c>
      <c r="W50" s="63">
        <f t="shared" si="49"/>
        <v>305145.94941897993</v>
      </c>
      <c r="X50" s="63">
        <f t="shared" si="49"/>
        <v>305145.94941897993</v>
      </c>
      <c r="Y50" s="63">
        <f t="shared" si="49"/>
        <v>305145.94941897993</v>
      </c>
      <c r="Z50" s="63">
        <f t="shared" si="49"/>
        <v>305145.94941897993</v>
      </c>
      <c r="AA50" s="63">
        <f t="shared" si="49"/>
        <v>305145.94941897993</v>
      </c>
      <c r="AB50" s="63">
        <f t="shared" si="49"/>
        <v>305145.94941897993</v>
      </c>
      <c r="AC50" s="63">
        <f t="shared" si="49"/>
        <v>305145.94941897993</v>
      </c>
    </row>
    <row r="51" spans="1:29" x14ac:dyDescent="0.25">
      <c r="A51" s="30" t="str">
        <f>A32</f>
        <v>Residual value (vehicle)</v>
      </c>
      <c r="B51" s="62">
        <f>((1+B35)^B42)*B35/(((1+B35)^B42)-1)*(B32)</f>
        <v>-45369.034506436277</v>
      </c>
      <c r="C51" s="62">
        <f t="shared" ref="C51:AC51" si="50">((1+C35)^C42)*C35/(((1+C35)^C42)-1)*(C32)</f>
        <v>-45196.542704314146</v>
      </c>
      <c r="D51" s="62">
        <f t="shared" si="50"/>
        <v>-44951.629072308999</v>
      </c>
      <c r="E51" s="62">
        <f t="shared" si="50"/>
        <v>-44605.467188167124</v>
      </c>
      <c r="F51" s="62">
        <f t="shared" si="50"/>
        <v>-44119.462148109647</v>
      </c>
      <c r="G51" s="62">
        <f t="shared" si="50"/>
        <v>-43443.738717137028</v>
      </c>
      <c r="H51" s="62">
        <f t="shared" si="50"/>
        <v>-42517.347172137401</v>
      </c>
      <c r="I51" s="62">
        <f t="shared" si="50"/>
        <v>-41272.376203762586</v>
      </c>
      <c r="J51" s="62">
        <f t="shared" si="50"/>
        <v>-39644.958637393647</v>
      </c>
      <c r="K51" s="62">
        <f t="shared" si="50"/>
        <v>-37595.501281822799</v>
      </c>
      <c r="L51" s="62">
        <f t="shared" si="50"/>
        <v>-35136.211284820376</v>
      </c>
      <c r="M51" s="62">
        <f t="shared" si="50"/>
        <v>-32355.310948630464</v>
      </c>
      <c r="N51" s="62">
        <f t="shared" si="50"/>
        <v>-29419.525873461753</v>
      </c>
      <c r="O51" s="62">
        <f t="shared" si="50"/>
        <v>-26541.511557340396</v>
      </c>
      <c r="P51" s="62">
        <f t="shared" si="50"/>
        <v>-23921.595885610663</v>
      </c>
      <c r="Q51" s="62">
        <f t="shared" si="50"/>
        <v>-21695.040647806538</v>
      </c>
      <c r="R51" s="62">
        <f t="shared" si="50"/>
        <v>-19911.968655776182</v>
      </c>
      <c r="S51" s="62">
        <f t="shared" si="50"/>
        <v>-18551.40558747459</v>
      </c>
      <c r="T51" s="62">
        <f t="shared" si="50"/>
        <v>-17551.282614957105</v>
      </c>
      <c r="U51" s="62">
        <f t="shared" si="50"/>
        <v>-16836.209158050464</v>
      </c>
      <c r="V51" s="62">
        <f t="shared" si="50"/>
        <v>-16335.048266557109</v>
      </c>
      <c r="W51" s="62">
        <f t="shared" si="50"/>
        <v>-15988.715286779448</v>
      </c>
      <c r="X51" s="62">
        <f t="shared" si="50"/>
        <v>-15751.702370283236</v>
      </c>
      <c r="Y51" s="62">
        <f t="shared" si="50"/>
        <v>-15590.58521762073</v>
      </c>
      <c r="Z51" s="62">
        <f t="shared" si="50"/>
        <v>-15481.559033229796</v>
      </c>
      <c r="AA51" s="62">
        <f t="shared" si="50"/>
        <v>-15408.009855414111</v>
      </c>
      <c r="AB51" s="62">
        <f t="shared" si="50"/>
        <v>-15358.496914269901</v>
      </c>
      <c r="AC51" s="62">
        <f t="shared" si="50"/>
        <v>-15325.211858527608</v>
      </c>
    </row>
    <row r="52" spans="1:29" x14ac:dyDescent="0.25">
      <c r="A52" s="30" t="str">
        <f>A33</f>
        <v>Capex costumization</v>
      </c>
      <c r="B52" s="62">
        <f>((1+B35)^B43)*B35/(((1+B35)^B43)-1)*(B33)</f>
        <v>305125.4282581982</v>
      </c>
      <c r="C52" s="62">
        <f t="shared" ref="C52:AC52" si="51">((1+C35)^C43)*C35/(((1+C35)^C43)-1)*(C33)</f>
        <v>305125.4282581982</v>
      </c>
      <c r="D52" s="62">
        <f t="shared" si="51"/>
        <v>305125.4282581982</v>
      </c>
      <c r="E52" s="62">
        <f t="shared" si="51"/>
        <v>305125.4282581982</v>
      </c>
      <c r="F52" s="62">
        <f t="shared" si="51"/>
        <v>305125.4282581982</v>
      </c>
      <c r="G52" s="62">
        <f t="shared" si="51"/>
        <v>305125.4282581982</v>
      </c>
      <c r="H52" s="62">
        <f t="shared" si="51"/>
        <v>305125.4282581982</v>
      </c>
      <c r="I52" s="62">
        <f t="shared" si="51"/>
        <v>305125.4282581982</v>
      </c>
      <c r="J52" s="62">
        <f t="shared" si="51"/>
        <v>305125.4282581982</v>
      </c>
      <c r="K52" s="62">
        <f t="shared" si="51"/>
        <v>305125.4282581982</v>
      </c>
      <c r="L52" s="62">
        <f t="shared" si="51"/>
        <v>305125.4282581982</v>
      </c>
      <c r="M52" s="62">
        <f t="shared" si="51"/>
        <v>305125.4282581982</v>
      </c>
      <c r="N52" s="62">
        <f t="shared" si="51"/>
        <v>305125.4282581982</v>
      </c>
      <c r="O52" s="62">
        <f t="shared" si="51"/>
        <v>305125.4282581982</v>
      </c>
      <c r="P52" s="62">
        <f t="shared" si="51"/>
        <v>305125.4282581982</v>
      </c>
      <c r="Q52" s="62">
        <f t="shared" si="51"/>
        <v>305125.4282581982</v>
      </c>
      <c r="R52" s="62">
        <f t="shared" si="51"/>
        <v>305125.4282581982</v>
      </c>
      <c r="S52" s="62">
        <f t="shared" si="51"/>
        <v>305125.4282581982</v>
      </c>
      <c r="T52" s="62">
        <f t="shared" si="51"/>
        <v>305125.4282581982</v>
      </c>
      <c r="U52" s="62">
        <f t="shared" si="51"/>
        <v>305125.4282581982</v>
      </c>
      <c r="V52" s="62">
        <f t="shared" si="51"/>
        <v>305125.4282581982</v>
      </c>
      <c r="W52" s="62">
        <f t="shared" si="51"/>
        <v>305125.4282581982</v>
      </c>
      <c r="X52" s="62">
        <f t="shared" si="51"/>
        <v>305125.4282581982</v>
      </c>
      <c r="Y52" s="62">
        <f t="shared" si="51"/>
        <v>305125.4282581982</v>
      </c>
      <c r="Z52" s="62">
        <f t="shared" si="51"/>
        <v>305125.4282581982</v>
      </c>
      <c r="AA52" s="62">
        <f t="shared" si="51"/>
        <v>305125.4282581982</v>
      </c>
      <c r="AB52" s="62">
        <f t="shared" si="51"/>
        <v>305125.4282581982</v>
      </c>
      <c r="AC52" s="62">
        <f t="shared" si="51"/>
        <v>305125.4282581982</v>
      </c>
    </row>
    <row r="53" spans="1:29" x14ac:dyDescent="0.25">
      <c r="A53" s="30" t="str">
        <f>A34</f>
        <v>Residual value (costumization)</v>
      </c>
      <c r="B53" s="62">
        <f>((1+B35)^B43)*B35/(((1+B35)^B43)-1)*(B34)</f>
        <v>-15256.271412909911</v>
      </c>
      <c r="C53" s="62">
        <f t="shared" ref="C53:AC53" si="52">((1+C35)^C43)*C35/(((1+C35)^C43)-1)*(C34)</f>
        <v>-15256.271412909911</v>
      </c>
      <c r="D53" s="62">
        <f t="shared" si="52"/>
        <v>-15256.271412909911</v>
      </c>
      <c r="E53" s="62">
        <f t="shared" si="52"/>
        <v>-15256.271412909911</v>
      </c>
      <c r="F53" s="62">
        <f t="shared" si="52"/>
        <v>-15256.271412909911</v>
      </c>
      <c r="G53" s="62">
        <f t="shared" si="52"/>
        <v>-15256.271412909911</v>
      </c>
      <c r="H53" s="62">
        <f t="shared" si="52"/>
        <v>-15256.271412909911</v>
      </c>
      <c r="I53" s="62">
        <f t="shared" si="52"/>
        <v>-15256.271412909911</v>
      </c>
      <c r="J53" s="62">
        <f t="shared" si="52"/>
        <v>-15256.271412909911</v>
      </c>
      <c r="K53" s="62">
        <f t="shared" si="52"/>
        <v>-15256.271412909911</v>
      </c>
      <c r="L53" s="62">
        <f t="shared" si="52"/>
        <v>-15256.271412909911</v>
      </c>
      <c r="M53" s="62">
        <f t="shared" si="52"/>
        <v>-15256.271412909911</v>
      </c>
      <c r="N53" s="62">
        <f t="shared" si="52"/>
        <v>-15256.271412909911</v>
      </c>
      <c r="O53" s="62">
        <f t="shared" si="52"/>
        <v>-15256.271412909911</v>
      </c>
      <c r="P53" s="62">
        <f t="shared" si="52"/>
        <v>-15256.271412909911</v>
      </c>
      <c r="Q53" s="62">
        <f t="shared" si="52"/>
        <v>-15256.271412909911</v>
      </c>
      <c r="R53" s="62">
        <f t="shared" si="52"/>
        <v>-15256.271412909911</v>
      </c>
      <c r="S53" s="62">
        <f t="shared" si="52"/>
        <v>-15256.271412909911</v>
      </c>
      <c r="T53" s="62">
        <f t="shared" si="52"/>
        <v>-15256.271412909911</v>
      </c>
      <c r="U53" s="62">
        <f t="shared" si="52"/>
        <v>-15256.271412909911</v>
      </c>
      <c r="V53" s="62">
        <f t="shared" si="52"/>
        <v>-15256.271412909911</v>
      </c>
      <c r="W53" s="62">
        <f t="shared" si="52"/>
        <v>-15256.271412909911</v>
      </c>
      <c r="X53" s="62">
        <f t="shared" si="52"/>
        <v>-15256.271412909911</v>
      </c>
      <c r="Y53" s="62">
        <f t="shared" si="52"/>
        <v>-15256.271412909911</v>
      </c>
      <c r="Z53" s="62">
        <f t="shared" si="52"/>
        <v>-15256.271412909911</v>
      </c>
      <c r="AA53" s="62">
        <f t="shared" si="52"/>
        <v>-15256.271412909911</v>
      </c>
      <c r="AB53" s="62">
        <f t="shared" si="52"/>
        <v>-15256.271412909911</v>
      </c>
      <c r="AC53" s="62">
        <f t="shared" si="52"/>
        <v>-15256.271412909911</v>
      </c>
    </row>
    <row r="54" spans="1:29" x14ac:dyDescent="0.25">
      <c r="A54" s="30" t="str">
        <f t="shared" ref="A54:AC54" si="53">A36</f>
        <v>Opex fix (admin, crew, insurance)</v>
      </c>
      <c r="B54" s="62">
        <f t="shared" si="53"/>
        <v>650000</v>
      </c>
      <c r="C54" s="62">
        <f t="shared" si="53"/>
        <v>650000</v>
      </c>
      <c r="D54" s="62">
        <f t="shared" si="53"/>
        <v>650000</v>
      </c>
      <c r="E54" s="62">
        <f t="shared" si="53"/>
        <v>650000</v>
      </c>
      <c r="F54" s="62">
        <f t="shared" si="53"/>
        <v>650000</v>
      </c>
      <c r="G54" s="62">
        <f t="shared" si="53"/>
        <v>650000</v>
      </c>
      <c r="H54" s="62">
        <f t="shared" si="53"/>
        <v>650000</v>
      </c>
      <c r="I54" s="62">
        <f t="shared" si="53"/>
        <v>650000</v>
      </c>
      <c r="J54" s="62">
        <f t="shared" si="53"/>
        <v>650000</v>
      </c>
      <c r="K54" s="62">
        <f t="shared" si="53"/>
        <v>650000</v>
      </c>
      <c r="L54" s="62">
        <f t="shared" si="53"/>
        <v>650000</v>
      </c>
      <c r="M54" s="62">
        <f t="shared" si="53"/>
        <v>650000</v>
      </c>
      <c r="N54" s="62">
        <f t="shared" si="53"/>
        <v>650000</v>
      </c>
      <c r="O54" s="62">
        <f t="shared" si="53"/>
        <v>650000</v>
      </c>
      <c r="P54" s="62">
        <f t="shared" si="53"/>
        <v>650000</v>
      </c>
      <c r="Q54" s="62">
        <f t="shared" si="53"/>
        <v>650000</v>
      </c>
      <c r="R54" s="62">
        <f t="shared" si="53"/>
        <v>650000</v>
      </c>
      <c r="S54" s="62">
        <f t="shared" si="53"/>
        <v>650000</v>
      </c>
      <c r="T54" s="62">
        <f t="shared" si="53"/>
        <v>650000</v>
      </c>
      <c r="U54" s="62">
        <f t="shared" si="53"/>
        <v>650000</v>
      </c>
      <c r="V54" s="62">
        <f t="shared" si="53"/>
        <v>650000</v>
      </c>
      <c r="W54" s="62">
        <f t="shared" si="53"/>
        <v>650000</v>
      </c>
      <c r="X54" s="62">
        <f t="shared" si="53"/>
        <v>650000</v>
      </c>
      <c r="Y54" s="62">
        <f t="shared" si="53"/>
        <v>650000</v>
      </c>
      <c r="Z54" s="62">
        <f t="shared" si="53"/>
        <v>650000</v>
      </c>
      <c r="AA54" s="62">
        <f t="shared" si="53"/>
        <v>650000</v>
      </c>
      <c r="AB54" s="62">
        <f t="shared" si="53"/>
        <v>650000</v>
      </c>
      <c r="AC54" s="62">
        <f t="shared" si="53"/>
        <v>650000</v>
      </c>
    </row>
    <row r="55" spans="1:29" x14ac:dyDescent="0.25">
      <c r="A55" s="30" t="str">
        <f t="shared" ref="A55:AC55" si="54">A37</f>
        <v>Opex maintenance &amp; repair</v>
      </c>
      <c r="B55" s="62">
        <f t="shared" si="54"/>
        <v>1050000</v>
      </c>
      <c r="C55" s="62">
        <f t="shared" si="54"/>
        <v>1050000</v>
      </c>
      <c r="D55" s="62">
        <f t="shared" si="54"/>
        <v>1050000</v>
      </c>
      <c r="E55" s="62">
        <f t="shared" si="54"/>
        <v>1050000</v>
      </c>
      <c r="F55" s="62">
        <f t="shared" si="54"/>
        <v>1050000</v>
      </c>
      <c r="G55" s="62">
        <f t="shared" si="54"/>
        <v>1050000</v>
      </c>
      <c r="H55" s="62">
        <f t="shared" si="54"/>
        <v>1050000</v>
      </c>
      <c r="I55" s="62">
        <f t="shared" si="54"/>
        <v>1050000</v>
      </c>
      <c r="J55" s="62">
        <f t="shared" si="54"/>
        <v>1050000</v>
      </c>
      <c r="K55" s="62">
        <f t="shared" si="54"/>
        <v>1050000</v>
      </c>
      <c r="L55" s="62">
        <f t="shared" si="54"/>
        <v>1050000</v>
      </c>
      <c r="M55" s="62">
        <f t="shared" si="54"/>
        <v>1050000</v>
      </c>
      <c r="N55" s="62">
        <f t="shared" si="54"/>
        <v>1050000</v>
      </c>
      <c r="O55" s="62">
        <f t="shared" si="54"/>
        <v>1050000</v>
      </c>
      <c r="P55" s="62">
        <f t="shared" si="54"/>
        <v>1050000</v>
      </c>
      <c r="Q55" s="62">
        <f t="shared" si="54"/>
        <v>1050000</v>
      </c>
      <c r="R55" s="62">
        <f t="shared" si="54"/>
        <v>1050000</v>
      </c>
      <c r="S55" s="62">
        <f t="shared" si="54"/>
        <v>1050000</v>
      </c>
      <c r="T55" s="62">
        <f t="shared" si="54"/>
        <v>1050000</v>
      </c>
      <c r="U55" s="62">
        <f t="shared" si="54"/>
        <v>1050000</v>
      </c>
      <c r="V55" s="62">
        <f t="shared" si="54"/>
        <v>1050000</v>
      </c>
      <c r="W55" s="62">
        <f t="shared" si="54"/>
        <v>1050000</v>
      </c>
      <c r="X55" s="62">
        <f t="shared" si="54"/>
        <v>1050000</v>
      </c>
      <c r="Y55" s="62">
        <f t="shared" si="54"/>
        <v>1050000</v>
      </c>
      <c r="Z55" s="62">
        <f t="shared" si="54"/>
        <v>1050000</v>
      </c>
      <c r="AA55" s="62">
        <f t="shared" si="54"/>
        <v>1050000</v>
      </c>
      <c r="AB55" s="62">
        <f t="shared" si="54"/>
        <v>1050000</v>
      </c>
      <c r="AC55" s="62">
        <f t="shared" si="54"/>
        <v>1050000</v>
      </c>
    </row>
    <row r="56" spans="1:29" x14ac:dyDescent="0.25">
      <c r="A56" s="30" t="str">
        <f>A38</f>
        <v>Opex var (mode-fees, shunting)</v>
      </c>
      <c r="B56" s="62">
        <f>B38*B47</f>
        <v>700000</v>
      </c>
      <c r="C56" s="62">
        <f t="shared" ref="C56:AC56" si="55">C38*C47</f>
        <v>700000</v>
      </c>
      <c r="D56" s="62">
        <f t="shared" si="55"/>
        <v>700000</v>
      </c>
      <c r="E56" s="62">
        <f t="shared" si="55"/>
        <v>700000</v>
      </c>
      <c r="F56" s="62">
        <f t="shared" si="55"/>
        <v>700000</v>
      </c>
      <c r="G56" s="62">
        <f t="shared" si="55"/>
        <v>700000</v>
      </c>
      <c r="H56" s="62">
        <f t="shared" si="55"/>
        <v>700000</v>
      </c>
      <c r="I56" s="62">
        <f t="shared" si="55"/>
        <v>700000</v>
      </c>
      <c r="J56" s="62">
        <f t="shared" si="55"/>
        <v>700000</v>
      </c>
      <c r="K56" s="62">
        <f t="shared" si="55"/>
        <v>700000</v>
      </c>
      <c r="L56" s="62">
        <f t="shared" si="55"/>
        <v>700000</v>
      </c>
      <c r="M56" s="62">
        <f t="shared" si="55"/>
        <v>700000</v>
      </c>
      <c r="N56" s="62">
        <f t="shared" si="55"/>
        <v>700000</v>
      </c>
      <c r="O56" s="62">
        <f t="shared" si="55"/>
        <v>700000</v>
      </c>
      <c r="P56" s="62">
        <f t="shared" si="55"/>
        <v>700000</v>
      </c>
      <c r="Q56" s="62">
        <f t="shared" si="55"/>
        <v>700000</v>
      </c>
      <c r="R56" s="62">
        <f t="shared" si="55"/>
        <v>700000</v>
      </c>
      <c r="S56" s="62">
        <f t="shared" si="55"/>
        <v>700000</v>
      </c>
      <c r="T56" s="62">
        <f t="shared" si="55"/>
        <v>700000</v>
      </c>
      <c r="U56" s="62">
        <f t="shared" si="55"/>
        <v>700000</v>
      </c>
      <c r="V56" s="62">
        <f t="shared" si="55"/>
        <v>700000</v>
      </c>
      <c r="W56" s="62">
        <f t="shared" si="55"/>
        <v>700000</v>
      </c>
      <c r="X56" s="62">
        <f t="shared" si="55"/>
        <v>700000</v>
      </c>
      <c r="Y56" s="62">
        <f t="shared" si="55"/>
        <v>700000</v>
      </c>
      <c r="Z56" s="62">
        <f t="shared" si="55"/>
        <v>700000</v>
      </c>
      <c r="AA56" s="62">
        <f t="shared" si="55"/>
        <v>700000</v>
      </c>
      <c r="AB56" s="62">
        <f t="shared" si="55"/>
        <v>700000</v>
      </c>
      <c r="AC56" s="62">
        <f t="shared" si="55"/>
        <v>700000</v>
      </c>
    </row>
    <row r="57" spans="1:29" x14ac:dyDescent="0.25">
      <c r="A57" s="30" t="str">
        <f>A40</f>
        <v>Fuel Cost</v>
      </c>
      <c r="B57" s="62">
        <f>B39*B40*B47</f>
        <v>888107.33883428562</v>
      </c>
      <c r="C57" s="62">
        <f t="shared" ref="C57:AC57" si="56">C39*C40*C47</f>
        <v>864633.13604571414</v>
      </c>
      <c r="D57" s="62">
        <f t="shared" si="56"/>
        <v>841158.93325714278</v>
      </c>
      <c r="E57" s="62">
        <f t="shared" si="56"/>
        <v>817684.73046857142</v>
      </c>
      <c r="F57" s="62">
        <f t="shared" si="56"/>
        <v>794210.52768000006</v>
      </c>
      <c r="G57" s="62">
        <f t="shared" si="56"/>
        <v>770736.3248914287</v>
      </c>
      <c r="H57" s="62">
        <f t="shared" si="56"/>
        <v>747262.12210285733</v>
      </c>
      <c r="I57" s="62">
        <f t="shared" si="56"/>
        <v>723787.91931428586</v>
      </c>
      <c r="J57" s="62">
        <f t="shared" si="56"/>
        <v>716941.27683428582</v>
      </c>
      <c r="K57" s="62">
        <f t="shared" si="56"/>
        <v>710094.63435428578</v>
      </c>
      <c r="L57" s="62">
        <f t="shared" si="56"/>
        <v>703247.99187428586</v>
      </c>
      <c r="M57" s="62">
        <f t="shared" si="56"/>
        <v>696401.34939428582</v>
      </c>
      <c r="N57" s="62">
        <f t="shared" si="56"/>
        <v>689554.70691428578</v>
      </c>
      <c r="O57" s="62">
        <f t="shared" si="56"/>
        <v>682708.06443428574</v>
      </c>
      <c r="P57" s="62">
        <f t="shared" si="56"/>
        <v>675861.4219542857</v>
      </c>
      <c r="Q57" s="62">
        <f t="shared" si="56"/>
        <v>669014.77947428578</v>
      </c>
      <c r="R57" s="62">
        <f t="shared" si="56"/>
        <v>662168.13699428574</v>
      </c>
      <c r="S57" s="62">
        <f t="shared" si="56"/>
        <v>655321.4945142857</v>
      </c>
      <c r="T57" s="62">
        <f t="shared" si="56"/>
        <v>648474.85203428578</v>
      </c>
      <c r="U57" s="62">
        <f t="shared" si="56"/>
        <v>641628.20955428574</v>
      </c>
      <c r="V57" s="62">
        <f t="shared" si="56"/>
        <v>634781.5670742857</v>
      </c>
      <c r="W57" s="62">
        <f t="shared" si="56"/>
        <v>627934.92459428578</v>
      </c>
      <c r="X57" s="62">
        <f t="shared" si="56"/>
        <v>621088.28211428586</v>
      </c>
      <c r="Y57" s="62">
        <f t="shared" si="56"/>
        <v>614241.63963428582</v>
      </c>
      <c r="Z57" s="62">
        <f t="shared" si="56"/>
        <v>607394.99715428578</v>
      </c>
      <c r="AA57" s="62">
        <f t="shared" si="56"/>
        <v>600548.35467428586</v>
      </c>
      <c r="AB57" s="62">
        <f t="shared" si="56"/>
        <v>593701.71219428582</v>
      </c>
      <c r="AC57" s="62">
        <f t="shared" si="56"/>
        <v>586855.06971428578</v>
      </c>
    </row>
    <row r="58" spans="1:29" ht="15.75" thickBot="1" x14ac:dyDescent="0.3">
      <c r="A58" s="59" t="str">
        <f>A21</f>
        <v>Emission Cost</v>
      </c>
      <c r="B58" s="62">
        <f>B41*B47</f>
        <v>0</v>
      </c>
      <c r="C58" s="62">
        <f t="shared" ref="C58:AC58" si="57">C41*C47</f>
        <v>0</v>
      </c>
      <c r="D58" s="62">
        <f t="shared" si="57"/>
        <v>0</v>
      </c>
      <c r="E58" s="62">
        <f t="shared" si="57"/>
        <v>0</v>
      </c>
      <c r="F58" s="62">
        <f t="shared" si="57"/>
        <v>0</v>
      </c>
      <c r="G58" s="62">
        <f t="shared" si="57"/>
        <v>0</v>
      </c>
      <c r="H58" s="62">
        <f t="shared" si="57"/>
        <v>0</v>
      </c>
      <c r="I58" s="62">
        <f t="shared" si="57"/>
        <v>0</v>
      </c>
      <c r="J58" s="62">
        <f t="shared" si="57"/>
        <v>0</v>
      </c>
      <c r="K58" s="62">
        <f t="shared" si="57"/>
        <v>0</v>
      </c>
      <c r="L58" s="62">
        <f t="shared" si="57"/>
        <v>0</v>
      </c>
      <c r="M58" s="62">
        <f t="shared" si="57"/>
        <v>0</v>
      </c>
      <c r="N58" s="62">
        <f t="shared" si="57"/>
        <v>0</v>
      </c>
      <c r="O58" s="62">
        <f t="shared" si="57"/>
        <v>0</v>
      </c>
      <c r="P58" s="62">
        <f t="shared" si="57"/>
        <v>0</v>
      </c>
      <c r="Q58" s="62">
        <f t="shared" si="57"/>
        <v>0</v>
      </c>
      <c r="R58" s="62">
        <f t="shared" si="57"/>
        <v>0</v>
      </c>
      <c r="S58" s="62">
        <f t="shared" si="57"/>
        <v>0</v>
      </c>
      <c r="T58" s="62">
        <f t="shared" si="57"/>
        <v>0</v>
      </c>
      <c r="U58" s="62">
        <f t="shared" si="57"/>
        <v>0</v>
      </c>
      <c r="V58" s="62">
        <f t="shared" si="57"/>
        <v>0</v>
      </c>
      <c r="W58" s="62">
        <f t="shared" si="57"/>
        <v>0</v>
      </c>
      <c r="X58" s="62">
        <f t="shared" si="57"/>
        <v>0</v>
      </c>
      <c r="Y58" s="62">
        <f t="shared" si="57"/>
        <v>0</v>
      </c>
      <c r="Z58" s="62">
        <f t="shared" si="57"/>
        <v>0</v>
      </c>
      <c r="AA58" s="62">
        <f t="shared" si="57"/>
        <v>0</v>
      </c>
      <c r="AB58" s="62">
        <f t="shared" si="57"/>
        <v>0</v>
      </c>
      <c r="AC58" s="62">
        <f t="shared" si="57"/>
        <v>0</v>
      </c>
    </row>
    <row r="59" spans="1:29" ht="15.75" thickBot="1" x14ac:dyDescent="0.3">
      <c r="A59" s="31" t="s">
        <v>209</v>
      </c>
      <c r="B59" s="64">
        <f>B50+B51+B52+B53+B54+B55+B56+B57+B58</f>
        <v>3837753.4105921173</v>
      </c>
      <c r="C59" s="64">
        <f t="shared" ref="C59:AC59" si="58">C50+C51+C52+C53+C54+C55+C56+C57+C58</f>
        <v>3814451.699605668</v>
      </c>
      <c r="D59" s="64">
        <f t="shared" si="58"/>
        <v>3791222.4104491016</v>
      </c>
      <c r="E59" s="64">
        <f t="shared" si="58"/>
        <v>3768094.3695446728</v>
      </c>
      <c r="F59" s="64">
        <f t="shared" si="58"/>
        <v>3745106.1717961589</v>
      </c>
      <c r="G59" s="64">
        <f t="shared" si="58"/>
        <v>3722307.6924385596</v>
      </c>
      <c r="H59" s="64">
        <f t="shared" si="58"/>
        <v>3699759.8811949883</v>
      </c>
      <c r="I59" s="64">
        <f t="shared" si="58"/>
        <v>3677530.6493747914</v>
      </c>
      <c r="J59" s="64">
        <f t="shared" si="58"/>
        <v>3672311.4244611603</v>
      </c>
      <c r="K59" s="64">
        <f t="shared" si="58"/>
        <v>3667514.2393367314</v>
      </c>
      <c r="L59" s="64">
        <f t="shared" si="58"/>
        <v>3663126.886853734</v>
      </c>
      <c r="M59" s="64">
        <f t="shared" si="58"/>
        <v>3659061.1447099233</v>
      </c>
      <c r="N59" s="64">
        <f t="shared" si="58"/>
        <v>3655150.287305092</v>
      </c>
      <c r="O59" s="64">
        <f t="shared" si="58"/>
        <v>3651181.6591412136</v>
      </c>
      <c r="P59" s="64">
        <f t="shared" si="58"/>
        <v>3646954.9323329432</v>
      </c>
      <c r="Q59" s="64">
        <f t="shared" si="58"/>
        <v>3642334.8450907473</v>
      </c>
      <c r="R59" s="64">
        <f t="shared" si="58"/>
        <v>3637271.2746027773</v>
      </c>
      <c r="S59" s="64">
        <f t="shared" si="58"/>
        <v>3631785.1951910793</v>
      </c>
      <c r="T59" s="64">
        <f t="shared" si="58"/>
        <v>3625938.6756835966</v>
      </c>
      <c r="U59" s="64">
        <f t="shared" si="58"/>
        <v>3619807.1066605034</v>
      </c>
      <c r="V59" s="64">
        <f t="shared" si="58"/>
        <v>3613461.6250719968</v>
      </c>
      <c r="W59" s="64">
        <f t="shared" si="58"/>
        <v>3606961.3155717747</v>
      </c>
      <c r="X59" s="64">
        <f t="shared" si="58"/>
        <v>3600351.6860082708</v>
      </c>
      <c r="Y59" s="64">
        <f t="shared" si="58"/>
        <v>3593666.1606809329</v>
      </c>
      <c r="Z59" s="64">
        <f t="shared" si="58"/>
        <v>3586928.5443853238</v>
      </c>
      <c r="AA59" s="64">
        <f t="shared" si="58"/>
        <v>3580155.45108314</v>
      </c>
      <c r="AB59" s="64">
        <f t="shared" si="58"/>
        <v>3573358.321544284</v>
      </c>
      <c r="AC59" s="64">
        <f t="shared" si="58"/>
        <v>3566544.9641200262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9">A50</f>
        <v>Capex vehicle</v>
      </c>
      <c r="B62" s="65">
        <f>((1+B35)^B42)*B35/(((1+B35)^B42)-1)*(B31)/B47</f>
        <v>1.7095011171931649</v>
      </c>
      <c r="C62" s="65">
        <f t="shared" ref="C62:AC62" si="60">((1+C35)^C42)*C35/(((1+C35)^C42)-1)*(C31)/C47</f>
        <v>1.7095011171931649</v>
      </c>
      <c r="D62" s="65">
        <f t="shared" si="60"/>
        <v>1.7095011171931649</v>
      </c>
      <c r="E62" s="65">
        <f t="shared" si="60"/>
        <v>1.7095011171931649</v>
      </c>
      <c r="F62" s="65">
        <f t="shared" si="60"/>
        <v>1.7095011171931649</v>
      </c>
      <c r="G62" s="65">
        <f t="shared" si="60"/>
        <v>1.7095011171931649</v>
      </c>
      <c r="H62" s="65">
        <f t="shared" si="60"/>
        <v>1.7095011171931649</v>
      </c>
      <c r="I62" s="65">
        <f t="shared" si="60"/>
        <v>1.7095011171931649</v>
      </c>
      <c r="J62" s="65">
        <f t="shared" si="60"/>
        <v>1.7095011171931649</v>
      </c>
      <c r="K62" s="65">
        <f t="shared" si="60"/>
        <v>1.7095011171931649</v>
      </c>
      <c r="L62" s="65">
        <f t="shared" si="60"/>
        <v>1.7095011171931649</v>
      </c>
      <c r="M62" s="65">
        <f t="shared" si="60"/>
        <v>1.7095011171931649</v>
      </c>
      <c r="N62" s="65">
        <f t="shared" si="60"/>
        <v>1.7095011171931649</v>
      </c>
      <c r="O62" s="65">
        <f t="shared" si="60"/>
        <v>1.7095011171931649</v>
      </c>
      <c r="P62" s="65">
        <f t="shared" si="60"/>
        <v>1.7095011171931649</v>
      </c>
      <c r="Q62" s="65">
        <f t="shared" si="60"/>
        <v>1.7095011171931649</v>
      </c>
      <c r="R62" s="65">
        <f t="shared" si="60"/>
        <v>1.7095011171931649</v>
      </c>
      <c r="S62" s="65">
        <f t="shared" si="60"/>
        <v>1.7095011171931649</v>
      </c>
      <c r="T62" s="65">
        <f t="shared" si="60"/>
        <v>1.7095011171931649</v>
      </c>
      <c r="U62" s="65">
        <f t="shared" si="60"/>
        <v>1.7095011171931649</v>
      </c>
      <c r="V62" s="65">
        <f t="shared" si="60"/>
        <v>1.7095011171931649</v>
      </c>
      <c r="W62" s="65">
        <f t="shared" si="60"/>
        <v>1.7095011171931649</v>
      </c>
      <c r="X62" s="65">
        <f t="shared" si="60"/>
        <v>1.7095011171931649</v>
      </c>
      <c r="Y62" s="65">
        <f t="shared" si="60"/>
        <v>1.7095011171931649</v>
      </c>
      <c r="Z62" s="65">
        <f t="shared" si="60"/>
        <v>1.7095011171931649</v>
      </c>
      <c r="AA62" s="65">
        <f t="shared" si="60"/>
        <v>1.7095011171931649</v>
      </c>
      <c r="AB62" s="65">
        <f t="shared" si="60"/>
        <v>1.7095011171931649</v>
      </c>
      <c r="AC62" s="65">
        <f t="shared" si="60"/>
        <v>1.7095011171931649</v>
      </c>
    </row>
    <row r="63" spans="1:29" x14ac:dyDescent="0.25">
      <c r="A63" s="30" t="str">
        <f t="shared" si="59"/>
        <v>Residual value (vehicle)</v>
      </c>
      <c r="B63" s="66">
        <f>((1+B35)^B42)*B35/(((1+B35)^B42)-1)*(B32)/B47</f>
        <v>-0.25416826054025926</v>
      </c>
      <c r="C63" s="66">
        <f t="shared" ref="C63:AC63" si="61">((1+C35)^C42)*C35/(((1+C35)^C42)-1)*(C32)/C47</f>
        <v>-0.2532019199121241</v>
      </c>
      <c r="D63" s="66">
        <f t="shared" si="61"/>
        <v>-0.25182985474682912</v>
      </c>
      <c r="E63" s="66">
        <f t="shared" si="61"/>
        <v>-0.24989057248272897</v>
      </c>
      <c r="F63" s="66">
        <f t="shared" si="61"/>
        <v>-0.24716785517148263</v>
      </c>
      <c r="G63" s="66">
        <f t="shared" si="61"/>
        <v>-0.2433822897318601</v>
      </c>
      <c r="H63" s="66">
        <f t="shared" si="61"/>
        <v>-0.23819242113242242</v>
      </c>
      <c r="I63" s="66">
        <f t="shared" si="61"/>
        <v>-0.23121779385861393</v>
      </c>
      <c r="J63" s="66">
        <f t="shared" si="61"/>
        <v>-0.22210060861284955</v>
      </c>
      <c r="K63" s="66">
        <f t="shared" si="61"/>
        <v>-0.21061905480012771</v>
      </c>
      <c r="L63" s="66">
        <f t="shared" si="61"/>
        <v>-0.19684151980291528</v>
      </c>
      <c r="M63" s="66">
        <f t="shared" si="61"/>
        <v>-0.18126224621081494</v>
      </c>
      <c r="N63" s="66">
        <f t="shared" si="61"/>
        <v>-0.16481527099978574</v>
      </c>
      <c r="O63" s="66">
        <f t="shared" si="61"/>
        <v>-0.14869194149770532</v>
      </c>
      <c r="P63" s="66">
        <f t="shared" si="61"/>
        <v>-0.13401454277653033</v>
      </c>
      <c r="Q63" s="66">
        <f t="shared" si="61"/>
        <v>-0.12154084396530274</v>
      </c>
      <c r="R63" s="66">
        <f t="shared" si="61"/>
        <v>-0.11155164513039878</v>
      </c>
      <c r="S63" s="66">
        <f t="shared" si="61"/>
        <v>-0.10392944306708454</v>
      </c>
      <c r="T63" s="66">
        <f t="shared" si="61"/>
        <v>-9.8326513249059416E-2</v>
      </c>
      <c r="U63" s="66">
        <f t="shared" si="61"/>
        <v>-9.4320499484876544E-2</v>
      </c>
      <c r="V63" s="66">
        <f t="shared" si="61"/>
        <v>-9.1512875442896963E-2</v>
      </c>
      <c r="W63" s="66">
        <f t="shared" si="61"/>
        <v>-8.9572634659828843E-2</v>
      </c>
      <c r="X63" s="66">
        <f t="shared" si="61"/>
        <v>-8.8244831206068547E-2</v>
      </c>
      <c r="Y63" s="66">
        <f t="shared" si="61"/>
        <v>-8.734221410431782E-2</v>
      </c>
      <c r="Z63" s="66">
        <f t="shared" si="61"/>
        <v>-8.6731423155348999E-2</v>
      </c>
      <c r="AA63" s="66">
        <f t="shared" si="61"/>
        <v>-8.631938294349642E-2</v>
      </c>
      <c r="AB63" s="66">
        <f t="shared" si="61"/>
        <v>-8.6041999519719331E-2</v>
      </c>
      <c r="AC63" s="66">
        <f t="shared" si="61"/>
        <v>-8.5855528619202287E-2</v>
      </c>
    </row>
    <row r="64" spans="1:29" x14ac:dyDescent="0.25">
      <c r="A64" s="30" t="str">
        <f t="shared" si="59"/>
        <v>Capex costumization</v>
      </c>
      <c r="B64" s="66">
        <f>((1+B35)^B43)*B35/(((1+B35)^B43)-1)*(B33)/B47</f>
        <v>1.7093861527069927</v>
      </c>
      <c r="C64" s="66">
        <f t="shared" ref="C64:AC64" si="62">((1+C35)^C43)*C35/(((1+C35)^C43)-1)*(C33)/C47</f>
        <v>1.7093861527069927</v>
      </c>
      <c r="D64" s="66">
        <f t="shared" si="62"/>
        <v>1.7093861527069927</v>
      </c>
      <c r="E64" s="66">
        <f t="shared" si="62"/>
        <v>1.7093861527069927</v>
      </c>
      <c r="F64" s="66">
        <f t="shared" si="62"/>
        <v>1.7093861527069927</v>
      </c>
      <c r="G64" s="66">
        <f t="shared" si="62"/>
        <v>1.7093861527069927</v>
      </c>
      <c r="H64" s="66">
        <f t="shared" si="62"/>
        <v>1.7093861527069927</v>
      </c>
      <c r="I64" s="66">
        <f t="shared" si="62"/>
        <v>1.7093861527069927</v>
      </c>
      <c r="J64" s="66">
        <f t="shared" si="62"/>
        <v>1.7093861527069927</v>
      </c>
      <c r="K64" s="66">
        <f t="shared" si="62"/>
        <v>1.7093861527069927</v>
      </c>
      <c r="L64" s="66">
        <f t="shared" si="62"/>
        <v>1.7093861527069927</v>
      </c>
      <c r="M64" s="66">
        <f t="shared" si="62"/>
        <v>1.7093861527069927</v>
      </c>
      <c r="N64" s="66">
        <f t="shared" si="62"/>
        <v>1.7093861527069927</v>
      </c>
      <c r="O64" s="66">
        <f t="shared" si="62"/>
        <v>1.7093861527069927</v>
      </c>
      <c r="P64" s="66">
        <f t="shared" si="62"/>
        <v>1.7093861527069927</v>
      </c>
      <c r="Q64" s="66">
        <f t="shared" si="62"/>
        <v>1.7093861527069927</v>
      </c>
      <c r="R64" s="66">
        <f t="shared" si="62"/>
        <v>1.7093861527069927</v>
      </c>
      <c r="S64" s="66">
        <f t="shared" si="62"/>
        <v>1.7093861527069927</v>
      </c>
      <c r="T64" s="66">
        <f t="shared" si="62"/>
        <v>1.7093861527069927</v>
      </c>
      <c r="U64" s="66">
        <f t="shared" si="62"/>
        <v>1.7093861527069927</v>
      </c>
      <c r="V64" s="66">
        <f t="shared" si="62"/>
        <v>1.7093861527069927</v>
      </c>
      <c r="W64" s="66">
        <f t="shared" si="62"/>
        <v>1.7093861527069927</v>
      </c>
      <c r="X64" s="66">
        <f t="shared" si="62"/>
        <v>1.7093861527069927</v>
      </c>
      <c r="Y64" s="66">
        <f t="shared" si="62"/>
        <v>1.7093861527069927</v>
      </c>
      <c r="Z64" s="66">
        <f t="shared" si="62"/>
        <v>1.7093861527069927</v>
      </c>
      <c r="AA64" s="66">
        <f t="shared" si="62"/>
        <v>1.7093861527069927</v>
      </c>
      <c r="AB64" s="66">
        <f t="shared" si="62"/>
        <v>1.7093861527069927</v>
      </c>
      <c r="AC64" s="66">
        <f t="shared" si="62"/>
        <v>1.7093861527069927</v>
      </c>
    </row>
    <row r="65" spans="1:29" x14ac:dyDescent="0.25">
      <c r="A65" s="30" t="str">
        <f t="shared" si="59"/>
        <v>Residual value (costumization)</v>
      </c>
      <c r="B65" s="66">
        <f>((1+B35)^B43)*B35/(((1+B35)^B43)-1)*(B34)/B47</f>
        <v>-8.5469307635349642E-2</v>
      </c>
      <c r="C65" s="66">
        <f t="shared" ref="C65:AC65" si="63">((1+C35)^C43)*C35/(((1+C35)^C43)-1)*(C34)/C47</f>
        <v>-8.5469307635349642E-2</v>
      </c>
      <c r="D65" s="66">
        <f t="shared" si="63"/>
        <v>-8.5469307635349642E-2</v>
      </c>
      <c r="E65" s="66">
        <f t="shared" si="63"/>
        <v>-8.5469307635349642E-2</v>
      </c>
      <c r="F65" s="66">
        <f t="shared" si="63"/>
        <v>-8.5469307635349642E-2</v>
      </c>
      <c r="G65" s="66">
        <f t="shared" si="63"/>
        <v>-8.5469307635349642E-2</v>
      </c>
      <c r="H65" s="66">
        <f t="shared" si="63"/>
        <v>-8.5469307635349642E-2</v>
      </c>
      <c r="I65" s="66">
        <f t="shared" si="63"/>
        <v>-8.5469307635349642E-2</v>
      </c>
      <c r="J65" s="66">
        <f t="shared" si="63"/>
        <v>-8.5469307635349642E-2</v>
      </c>
      <c r="K65" s="66">
        <f t="shared" si="63"/>
        <v>-8.5469307635349642E-2</v>
      </c>
      <c r="L65" s="66">
        <f t="shared" si="63"/>
        <v>-8.5469307635349642E-2</v>
      </c>
      <c r="M65" s="66">
        <f t="shared" si="63"/>
        <v>-8.5469307635349642E-2</v>
      </c>
      <c r="N65" s="66">
        <f t="shared" si="63"/>
        <v>-8.5469307635349642E-2</v>
      </c>
      <c r="O65" s="66">
        <f t="shared" si="63"/>
        <v>-8.5469307635349642E-2</v>
      </c>
      <c r="P65" s="66">
        <f t="shared" si="63"/>
        <v>-8.5469307635349642E-2</v>
      </c>
      <c r="Q65" s="66">
        <f t="shared" si="63"/>
        <v>-8.5469307635349642E-2</v>
      </c>
      <c r="R65" s="66">
        <f t="shared" si="63"/>
        <v>-8.5469307635349642E-2</v>
      </c>
      <c r="S65" s="66">
        <f t="shared" si="63"/>
        <v>-8.5469307635349642E-2</v>
      </c>
      <c r="T65" s="66">
        <f t="shared" si="63"/>
        <v>-8.5469307635349642E-2</v>
      </c>
      <c r="U65" s="66">
        <f t="shared" si="63"/>
        <v>-8.5469307635349642E-2</v>
      </c>
      <c r="V65" s="66">
        <f t="shared" si="63"/>
        <v>-8.5469307635349642E-2</v>
      </c>
      <c r="W65" s="66">
        <f t="shared" si="63"/>
        <v>-8.5469307635349642E-2</v>
      </c>
      <c r="X65" s="66">
        <f t="shared" si="63"/>
        <v>-8.5469307635349642E-2</v>
      </c>
      <c r="Y65" s="66">
        <f t="shared" si="63"/>
        <v>-8.5469307635349642E-2</v>
      </c>
      <c r="Z65" s="66">
        <f t="shared" si="63"/>
        <v>-8.5469307635349642E-2</v>
      </c>
      <c r="AA65" s="66">
        <f t="shared" si="63"/>
        <v>-8.5469307635349642E-2</v>
      </c>
      <c r="AB65" s="66">
        <f t="shared" si="63"/>
        <v>-8.5469307635349642E-2</v>
      </c>
      <c r="AC65" s="66">
        <f t="shared" si="63"/>
        <v>-8.5469307635349642E-2</v>
      </c>
    </row>
    <row r="66" spans="1:29" x14ac:dyDescent="0.25">
      <c r="A66" s="30" t="str">
        <f t="shared" si="59"/>
        <v>Opex fix (admin, crew, insurance)</v>
      </c>
      <c r="B66" s="66">
        <f>B36/B47</f>
        <v>3.6414565826330532</v>
      </c>
      <c r="C66" s="66">
        <f t="shared" ref="C66:AC66" si="64">C36/C47</f>
        <v>3.6414565826330532</v>
      </c>
      <c r="D66" s="66">
        <f t="shared" si="64"/>
        <v>3.6414565826330532</v>
      </c>
      <c r="E66" s="66">
        <f t="shared" si="64"/>
        <v>3.6414565826330532</v>
      </c>
      <c r="F66" s="66">
        <f t="shared" si="64"/>
        <v>3.6414565826330532</v>
      </c>
      <c r="G66" s="66">
        <f t="shared" si="64"/>
        <v>3.6414565826330532</v>
      </c>
      <c r="H66" s="66">
        <f t="shared" si="64"/>
        <v>3.6414565826330532</v>
      </c>
      <c r="I66" s="66">
        <f t="shared" si="64"/>
        <v>3.6414565826330532</v>
      </c>
      <c r="J66" s="66">
        <f t="shared" si="64"/>
        <v>3.6414565826330532</v>
      </c>
      <c r="K66" s="66">
        <f t="shared" si="64"/>
        <v>3.6414565826330532</v>
      </c>
      <c r="L66" s="66">
        <f t="shared" si="64"/>
        <v>3.6414565826330532</v>
      </c>
      <c r="M66" s="66">
        <f t="shared" si="64"/>
        <v>3.6414565826330532</v>
      </c>
      <c r="N66" s="66">
        <f t="shared" si="64"/>
        <v>3.6414565826330532</v>
      </c>
      <c r="O66" s="66">
        <f t="shared" si="64"/>
        <v>3.6414565826330532</v>
      </c>
      <c r="P66" s="66">
        <f t="shared" si="64"/>
        <v>3.6414565826330532</v>
      </c>
      <c r="Q66" s="66">
        <f t="shared" si="64"/>
        <v>3.6414565826330532</v>
      </c>
      <c r="R66" s="66">
        <f t="shared" si="64"/>
        <v>3.6414565826330532</v>
      </c>
      <c r="S66" s="66">
        <f t="shared" si="64"/>
        <v>3.6414565826330532</v>
      </c>
      <c r="T66" s="66">
        <f t="shared" si="64"/>
        <v>3.6414565826330532</v>
      </c>
      <c r="U66" s="66">
        <f t="shared" si="64"/>
        <v>3.6414565826330532</v>
      </c>
      <c r="V66" s="66">
        <f t="shared" si="64"/>
        <v>3.6414565826330532</v>
      </c>
      <c r="W66" s="66">
        <f t="shared" si="64"/>
        <v>3.6414565826330532</v>
      </c>
      <c r="X66" s="66">
        <f t="shared" si="64"/>
        <v>3.6414565826330532</v>
      </c>
      <c r="Y66" s="66">
        <f t="shared" si="64"/>
        <v>3.6414565826330532</v>
      </c>
      <c r="Z66" s="66">
        <f t="shared" si="64"/>
        <v>3.6414565826330532</v>
      </c>
      <c r="AA66" s="66">
        <f t="shared" si="64"/>
        <v>3.6414565826330532</v>
      </c>
      <c r="AB66" s="66">
        <f t="shared" si="64"/>
        <v>3.6414565826330532</v>
      </c>
      <c r="AC66" s="66">
        <f t="shared" si="64"/>
        <v>3.6414565826330532</v>
      </c>
    </row>
    <row r="67" spans="1:29" x14ac:dyDescent="0.25">
      <c r="A67" s="30" t="str">
        <f t="shared" si="59"/>
        <v>Opex maintenance &amp; repair</v>
      </c>
      <c r="B67" s="66">
        <f>B37/B47</f>
        <v>5.882352941176471</v>
      </c>
      <c r="C67" s="66">
        <f t="shared" ref="C67:AC67" si="65">C37/C47</f>
        <v>5.882352941176471</v>
      </c>
      <c r="D67" s="66">
        <f t="shared" si="65"/>
        <v>5.882352941176471</v>
      </c>
      <c r="E67" s="66">
        <f t="shared" si="65"/>
        <v>5.882352941176471</v>
      </c>
      <c r="F67" s="66">
        <f t="shared" si="65"/>
        <v>5.882352941176471</v>
      </c>
      <c r="G67" s="66">
        <f t="shared" si="65"/>
        <v>5.882352941176471</v>
      </c>
      <c r="H67" s="66">
        <f t="shared" si="65"/>
        <v>5.882352941176471</v>
      </c>
      <c r="I67" s="66">
        <f t="shared" si="65"/>
        <v>5.882352941176471</v>
      </c>
      <c r="J67" s="66">
        <f t="shared" si="65"/>
        <v>5.882352941176471</v>
      </c>
      <c r="K67" s="66">
        <f t="shared" si="65"/>
        <v>5.882352941176471</v>
      </c>
      <c r="L67" s="66">
        <f t="shared" si="65"/>
        <v>5.882352941176471</v>
      </c>
      <c r="M67" s="66">
        <f t="shared" si="65"/>
        <v>5.882352941176471</v>
      </c>
      <c r="N67" s="66">
        <f t="shared" si="65"/>
        <v>5.882352941176471</v>
      </c>
      <c r="O67" s="66">
        <f t="shared" si="65"/>
        <v>5.882352941176471</v>
      </c>
      <c r="P67" s="66">
        <f t="shared" si="65"/>
        <v>5.882352941176471</v>
      </c>
      <c r="Q67" s="66">
        <f t="shared" si="65"/>
        <v>5.882352941176471</v>
      </c>
      <c r="R67" s="66">
        <f t="shared" si="65"/>
        <v>5.882352941176471</v>
      </c>
      <c r="S67" s="66">
        <f t="shared" si="65"/>
        <v>5.882352941176471</v>
      </c>
      <c r="T67" s="66">
        <f t="shared" si="65"/>
        <v>5.882352941176471</v>
      </c>
      <c r="U67" s="66">
        <f t="shared" si="65"/>
        <v>5.882352941176471</v>
      </c>
      <c r="V67" s="66">
        <f t="shared" si="65"/>
        <v>5.882352941176471</v>
      </c>
      <c r="W67" s="66">
        <f t="shared" si="65"/>
        <v>5.882352941176471</v>
      </c>
      <c r="X67" s="66">
        <f t="shared" si="65"/>
        <v>5.882352941176471</v>
      </c>
      <c r="Y67" s="66">
        <f t="shared" si="65"/>
        <v>5.882352941176471</v>
      </c>
      <c r="Z67" s="66">
        <f t="shared" si="65"/>
        <v>5.882352941176471</v>
      </c>
      <c r="AA67" s="66">
        <f t="shared" si="65"/>
        <v>5.882352941176471</v>
      </c>
      <c r="AB67" s="66">
        <f t="shared" si="65"/>
        <v>5.882352941176471</v>
      </c>
      <c r="AC67" s="66">
        <f t="shared" si="65"/>
        <v>5.882352941176471</v>
      </c>
    </row>
    <row r="68" spans="1:29" x14ac:dyDescent="0.25">
      <c r="A68" s="30" t="str">
        <f t="shared" si="59"/>
        <v>Opex var (mode-fees, shunting)</v>
      </c>
      <c r="B68" s="66">
        <f>B38*B47/B47</f>
        <v>3.9215686274509802</v>
      </c>
      <c r="C68" s="66">
        <f t="shared" ref="C68:AC68" si="66">C38*C47/C47</f>
        <v>3.9215686274509802</v>
      </c>
      <c r="D68" s="66">
        <f t="shared" si="66"/>
        <v>3.9215686274509802</v>
      </c>
      <c r="E68" s="66">
        <f t="shared" si="66"/>
        <v>3.9215686274509802</v>
      </c>
      <c r="F68" s="66">
        <f t="shared" si="66"/>
        <v>3.9215686274509802</v>
      </c>
      <c r="G68" s="66">
        <f t="shared" si="66"/>
        <v>3.9215686274509802</v>
      </c>
      <c r="H68" s="66">
        <f t="shared" si="66"/>
        <v>3.9215686274509802</v>
      </c>
      <c r="I68" s="66">
        <f t="shared" si="66"/>
        <v>3.9215686274509802</v>
      </c>
      <c r="J68" s="66">
        <f t="shared" si="66"/>
        <v>3.9215686274509802</v>
      </c>
      <c r="K68" s="66">
        <f t="shared" si="66"/>
        <v>3.9215686274509802</v>
      </c>
      <c r="L68" s="66">
        <f t="shared" si="66"/>
        <v>3.9215686274509802</v>
      </c>
      <c r="M68" s="66">
        <f t="shared" si="66"/>
        <v>3.9215686274509802</v>
      </c>
      <c r="N68" s="66">
        <f t="shared" si="66"/>
        <v>3.9215686274509802</v>
      </c>
      <c r="O68" s="66">
        <f t="shared" si="66"/>
        <v>3.9215686274509802</v>
      </c>
      <c r="P68" s="66">
        <f t="shared" si="66"/>
        <v>3.9215686274509802</v>
      </c>
      <c r="Q68" s="66">
        <f t="shared" si="66"/>
        <v>3.9215686274509802</v>
      </c>
      <c r="R68" s="66">
        <f t="shared" si="66"/>
        <v>3.9215686274509802</v>
      </c>
      <c r="S68" s="66">
        <f t="shared" si="66"/>
        <v>3.9215686274509802</v>
      </c>
      <c r="T68" s="66">
        <f t="shared" si="66"/>
        <v>3.9215686274509802</v>
      </c>
      <c r="U68" s="66">
        <f t="shared" si="66"/>
        <v>3.9215686274509802</v>
      </c>
      <c r="V68" s="66">
        <f t="shared" si="66"/>
        <v>3.9215686274509802</v>
      </c>
      <c r="W68" s="66">
        <f t="shared" si="66"/>
        <v>3.9215686274509802</v>
      </c>
      <c r="X68" s="66">
        <f t="shared" si="66"/>
        <v>3.9215686274509802</v>
      </c>
      <c r="Y68" s="66">
        <f t="shared" si="66"/>
        <v>3.9215686274509802</v>
      </c>
      <c r="Z68" s="66">
        <f t="shared" si="66"/>
        <v>3.9215686274509802</v>
      </c>
      <c r="AA68" s="66">
        <f t="shared" si="66"/>
        <v>3.9215686274509802</v>
      </c>
      <c r="AB68" s="66">
        <f t="shared" si="66"/>
        <v>3.9215686274509802</v>
      </c>
      <c r="AC68" s="66">
        <f t="shared" si="66"/>
        <v>3.9215686274509802</v>
      </c>
    </row>
    <row r="69" spans="1:29" x14ac:dyDescent="0.25">
      <c r="A69" s="30" t="str">
        <f t="shared" si="59"/>
        <v>Fuel Cost</v>
      </c>
      <c r="B69" s="66">
        <f>B39*B40*B47/B47</f>
        <v>4.9753912539735889</v>
      </c>
      <c r="C69" s="66">
        <f t="shared" ref="C69:AC69" si="67">C39*C40*C47/C47</f>
        <v>4.8438831151020398</v>
      </c>
      <c r="D69" s="66">
        <f t="shared" si="67"/>
        <v>4.7123749762304916</v>
      </c>
      <c r="E69" s="66">
        <f t="shared" si="67"/>
        <v>4.5808668373589434</v>
      </c>
      <c r="F69" s="66">
        <f t="shared" si="67"/>
        <v>4.4493586984873952</v>
      </c>
      <c r="G69" s="66">
        <f t="shared" si="67"/>
        <v>4.317850559615847</v>
      </c>
      <c r="H69" s="66">
        <f t="shared" si="67"/>
        <v>4.1863424207442987</v>
      </c>
      <c r="I69" s="66">
        <f t="shared" si="67"/>
        <v>4.0548342818727496</v>
      </c>
      <c r="J69" s="66">
        <f t="shared" si="67"/>
        <v>4.016477741368548</v>
      </c>
      <c r="K69" s="66">
        <f t="shared" si="67"/>
        <v>3.9781212008643463</v>
      </c>
      <c r="L69" s="66">
        <f t="shared" si="67"/>
        <v>3.9397646603601451</v>
      </c>
      <c r="M69" s="66">
        <f t="shared" si="67"/>
        <v>3.9014081198559429</v>
      </c>
      <c r="N69" s="66">
        <f t="shared" si="67"/>
        <v>3.8630515793517413</v>
      </c>
      <c r="O69" s="66">
        <f t="shared" si="67"/>
        <v>3.8246950388475391</v>
      </c>
      <c r="P69" s="66">
        <f t="shared" si="67"/>
        <v>3.7863384983433375</v>
      </c>
      <c r="Q69" s="66">
        <f t="shared" si="67"/>
        <v>3.7479819578391362</v>
      </c>
      <c r="R69" s="66">
        <f t="shared" si="67"/>
        <v>3.7096254173349341</v>
      </c>
      <c r="S69" s="66">
        <f t="shared" si="67"/>
        <v>3.6712688768307324</v>
      </c>
      <c r="T69" s="66">
        <f t="shared" si="67"/>
        <v>3.6329123363265308</v>
      </c>
      <c r="U69" s="66">
        <f t="shared" si="67"/>
        <v>3.5945557958223291</v>
      </c>
      <c r="V69" s="66">
        <f t="shared" si="67"/>
        <v>3.556199255318127</v>
      </c>
      <c r="W69" s="66">
        <f t="shared" si="67"/>
        <v>3.5178427148139257</v>
      </c>
      <c r="X69" s="66">
        <f t="shared" si="67"/>
        <v>3.4794861743097245</v>
      </c>
      <c r="Y69" s="66">
        <f t="shared" si="67"/>
        <v>3.4411296338055228</v>
      </c>
      <c r="Z69" s="66">
        <f t="shared" si="67"/>
        <v>3.4027730933013207</v>
      </c>
      <c r="AA69" s="66">
        <f t="shared" si="67"/>
        <v>3.3644165527971195</v>
      </c>
      <c r="AB69" s="66">
        <f t="shared" si="67"/>
        <v>3.3260600122929178</v>
      </c>
      <c r="AC69" s="66">
        <f t="shared" si="67"/>
        <v>3.2877034717887157</v>
      </c>
    </row>
    <row r="70" spans="1:29" ht="15.75" thickBot="1" x14ac:dyDescent="0.3">
      <c r="A70" s="59" t="str">
        <f>A21</f>
        <v>Emission Cost</v>
      </c>
      <c r="B70" s="66">
        <f>B41</f>
        <v>0</v>
      </c>
      <c r="C70" s="66">
        <f t="shared" ref="C70:AC70" si="68">C41</f>
        <v>0</v>
      </c>
      <c r="D70" s="66">
        <f t="shared" si="68"/>
        <v>0</v>
      </c>
      <c r="E70" s="66">
        <f t="shared" si="68"/>
        <v>0</v>
      </c>
      <c r="F70" s="66">
        <f t="shared" si="68"/>
        <v>0</v>
      </c>
      <c r="G70" s="66">
        <f t="shared" si="68"/>
        <v>0</v>
      </c>
      <c r="H70" s="66">
        <f t="shared" si="68"/>
        <v>0</v>
      </c>
      <c r="I70" s="66">
        <f t="shared" si="68"/>
        <v>0</v>
      </c>
      <c r="J70" s="66">
        <f t="shared" si="68"/>
        <v>0</v>
      </c>
      <c r="K70" s="66">
        <f t="shared" si="68"/>
        <v>0</v>
      </c>
      <c r="L70" s="66">
        <f t="shared" si="68"/>
        <v>0</v>
      </c>
      <c r="M70" s="66">
        <f t="shared" si="68"/>
        <v>0</v>
      </c>
      <c r="N70" s="66">
        <f t="shared" si="68"/>
        <v>0</v>
      </c>
      <c r="O70" s="66">
        <f t="shared" si="68"/>
        <v>0</v>
      </c>
      <c r="P70" s="66">
        <f t="shared" si="68"/>
        <v>0</v>
      </c>
      <c r="Q70" s="66">
        <f t="shared" si="68"/>
        <v>0</v>
      </c>
      <c r="R70" s="66">
        <f t="shared" si="68"/>
        <v>0</v>
      </c>
      <c r="S70" s="66">
        <f t="shared" si="68"/>
        <v>0</v>
      </c>
      <c r="T70" s="66">
        <f t="shared" si="68"/>
        <v>0</v>
      </c>
      <c r="U70" s="66">
        <f t="shared" si="68"/>
        <v>0</v>
      </c>
      <c r="V70" s="66">
        <f t="shared" si="68"/>
        <v>0</v>
      </c>
      <c r="W70" s="66">
        <f t="shared" si="68"/>
        <v>0</v>
      </c>
      <c r="X70" s="66">
        <f t="shared" si="68"/>
        <v>0</v>
      </c>
      <c r="Y70" s="66">
        <f t="shared" si="68"/>
        <v>0</v>
      </c>
      <c r="Z70" s="66">
        <f t="shared" si="68"/>
        <v>0</v>
      </c>
      <c r="AA70" s="66">
        <f t="shared" si="68"/>
        <v>0</v>
      </c>
      <c r="AB70" s="66">
        <f t="shared" si="68"/>
        <v>0</v>
      </c>
      <c r="AC70" s="66">
        <f t="shared" si="68"/>
        <v>0</v>
      </c>
    </row>
    <row r="71" spans="1:29" ht="15.75" thickBot="1" x14ac:dyDescent="0.3">
      <c r="A71" s="31" t="s">
        <v>63</v>
      </c>
      <c r="B71" s="76">
        <f>B62+B63+B64-B65+B66+B67+B68+B69+B70</f>
        <v>21.670957722229339</v>
      </c>
      <c r="C71" s="76">
        <f t="shared" ref="C71:AC71" si="69">C62+C63+C64-C65+C66+C67+C68+C69+C70</f>
        <v>21.540415923985925</v>
      </c>
      <c r="D71" s="76">
        <f t="shared" si="69"/>
        <v>21.410279850279675</v>
      </c>
      <c r="E71" s="76">
        <f t="shared" si="69"/>
        <v>21.280710993672226</v>
      </c>
      <c r="F71" s="76">
        <f t="shared" si="69"/>
        <v>21.151925572111924</v>
      </c>
      <c r="G71" s="76">
        <f t="shared" si="69"/>
        <v>21.024202998679996</v>
      </c>
      <c r="H71" s="76">
        <f t="shared" si="69"/>
        <v>20.897884728407888</v>
      </c>
      <c r="I71" s="76">
        <f t="shared" si="69"/>
        <v>20.773351216810148</v>
      </c>
      <c r="J71" s="76">
        <f t="shared" si="69"/>
        <v>20.744111861551708</v>
      </c>
      <c r="K71" s="76">
        <f t="shared" si="69"/>
        <v>20.71723687486023</v>
      </c>
      <c r="L71" s="76">
        <f t="shared" si="69"/>
        <v>20.692657869353241</v>
      </c>
      <c r="M71" s="76">
        <f t="shared" si="69"/>
        <v>20.66988060244114</v>
      </c>
      <c r="N71" s="76">
        <f t="shared" si="69"/>
        <v>20.647971037147965</v>
      </c>
      <c r="O71" s="76">
        <f t="shared" si="69"/>
        <v>20.625737826145848</v>
      </c>
      <c r="P71" s="76">
        <f t="shared" si="69"/>
        <v>20.602058684362817</v>
      </c>
      <c r="Q71" s="76">
        <f t="shared" si="69"/>
        <v>20.576175842669844</v>
      </c>
      <c r="R71" s="76">
        <f t="shared" si="69"/>
        <v>20.547808501000546</v>
      </c>
      <c r="S71" s="76">
        <f t="shared" si="69"/>
        <v>20.517074162559659</v>
      </c>
      <c r="T71" s="76">
        <f t="shared" si="69"/>
        <v>20.484320551873481</v>
      </c>
      <c r="U71" s="76">
        <f t="shared" si="69"/>
        <v>20.449970025133464</v>
      </c>
      <c r="V71" s="76">
        <f t="shared" si="69"/>
        <v>20.414421108671242</v>
      </c>
      <c r="W71" s="76">
        <f t="shared" si="69"/>
        <v>20.378004808950109</v>
      </c>
      <c r="X71" s="76">
        <f t="shared" si="69"/>
        <v>20.340976071899668</v>
      </c>
      <c r="Y71" s="76">
        <f t="shared" si="69"/>
        <v>20.303522148497215</v>
      </c>
      <c r="Z71" s="76">
        <f t="shared" si="69"/>
        <v>20.265776398941984</v>
      </c>
      <c r="AA71" s="76">
        <f t="shared" si="69"/>
        <v>20.227831898649637</v>
      </c>
      <c r="AB71" s="76">
        <f t="shared" si="69"/>
        <v>20.189752741569208</v>
      </c>
      <c r="AC71" s="76">
        <f t="shared" si="69"/>
        <v>20.151582671965524</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0">A50</f>
        <v>Capex vehicle</v>
      </c>
      <c r="B74" s="65">
        <f>((1+B35)^B42)*B35/(((1+B35)^B42)-1)*(B31)/B47/(B44)</f>
        <v>7.6317014160409149E-4</v>
      </c>
      <c r="C74" s="65">
        <f t="shared" ref="C74:AC74" si="71">((1+C35)^C42)*C35/(((1+C35)^C42)-1)*(C31)/C47/(C44)</f>
        <v>7.6317014160409149E-4</v>
      </c>
      <c r="D74" s="65">
        <f t="shared" si="71"/>
        <v>7.6317014160409149E-4</v>
      </c>
      <c r="E74" s="65">
        <f t="shared" si="71"/>
        <v>7.6317014160409149E-4</v>
      </c>
      <c r="F74" s="65">
        <f t="shared" si="71"/>
        <v>7.6317014160409149E-4</v>
      </c>
      <c r="G74" s="65">
        <f t="shared" si="71"/>
        <v>7.6317014160409149E-4</v>
      </c>
      <c r="H74" s="65">
        <f t="shared" si="71"/>
        <v>7.6317014160409149E-4</v>
      </c>
      <c r="I74" s="65">
        <f t="shared" si="71"/>
        <v>7.6317014160409149E-4</v>
      </c>
      <c r="J74" s="65">
        <f t="shared" si="71"/>
        <v>7.6317014160409149E-4</v>
      </c>
      <c r="K74" s="65">
        <f t="shared" si="71"/>
        <v>7.6317014160409149E-4</v>
      </c>
      <c r="L74" s="65">
        <f t="shared" si="71"/>
        <v>7.6317014160409149E-4</v>
      </c>
      <c r="M74" s="65">
        <f t="shared" si="71"/>
        <v>7.6317014160409149E-4</v>
      </c>
      <c r="N74" s="65">
        <f t="shared" si="71"/>
        <v>7.6317014160409149E-4</v>
      </c>
      <c r="O74" s="65">
        <f t="shared" si="71"/>
        <v>7.6317014160409149E-4</v>
      </c>
      <c r="P74" s="65">
        <f t="shared" si="71"/>
        <v>7.6317014160409149E-4</v>
      </c>
      <c r="Q74" s="65">
        <f t="shared" si="71"/>
        <v>7.6317014160409149E-4</v>
      </c>
      <c r="R74" s="65">
        <f t="shared" si="71"/>
        <v>7.6317014160409149E-4</v>
      </c>
      <c r="S74" s="65">
        <f t="shared" si="71"/>
        <v>7.6317014160409149E-4</v>
      </c>
      <c r="T74" s="65">
        <f t="shared" si="71"/>
        <v>7.6317014160409149E-4</v>
      </c>
      <c r="U74" s="65">
        <f t="shared" si="71"/>
        <v>7.6317014160409149E-4</v>
      </c>
      <c r="V74" s="65">
        <f t="shared" si="71"/>
        <v>7.6317014160409149E-4</v>
      </c>
      <c r="W74" s="65">
        <f t="shared" si="71"/>
        <v>7.6317014160409149E-4</v>
      </c>
      <c r="X74" s="65">
        <f t="shared" si="71"/>
        <v>7.6317014160409149E-4</v>
      </c>
      <c r="Y74" s="65">
        <f t="shared" si="71"/>
        <v>7.6317014160409149E-4</v>
      </c>
      <c r="Z74" s="65">
        <f t="shared" si="71"/>
        <v>7.6317014160409149E-4</v>
      </c>
      <c r="AA74" s="65">
        <f t="shared" si="71"/>
        <v>7.6317014160409149E-4</v>
      </c>
      <c r="AB74" s="65">
        <f t="shared" si="71"/>
        <v>7.6317014160409149E-4</v>
      </c>
      <c r="AC74" s="65">
        <f t="shared" si="71"/>
        <v>7.6317014160409149E-4</v>
      </c>
    </row>
    <row r="75" spans="1:29" x14ac:dyDescent="0.25">
      <c r="A75" s="30" t="str">
        <f t="shared" si="70"/>
        <v>Residual value (vehicle)</v>
      </c>
      <c r="B75" s="68">
        <f>((1+B35)^B42)*B35/(((1+B35)^B42)-1)*(B32)/B47/(B44)</f>
        <v>-1.1346797345547289E-4</v>
      </c>
      <c r="C75" s="68">
        <f t="shared" ref="C75:AC75" si="72">((1+C35)^C42)*C35/(((1+C35)^C42)-1)*(C32)/C47/(C44)</f>
        <v>-1.1303657138934111E-4</v>
      </c>
      <c r="D75" s="68">
        <f t="shared" si="72"/>
        <v>-1.1242404229769157E-4</v>
      </c>
      <c r="E75" s="68">
        <f t="shared" si="72"/>
        <v>-1.1155829128693258E-4</v>
      </c>
      <c r="F75" s="68">
        <f t="shared" si="72"/>
        <v>-1.1034279248726903E-4</v>
      </c>
      <c r="G75" s="68">
        <f t="shared" si="72"/>
        <v>-1.0865280791600897E-4</v>
      </c>
      <c r="H75" s="68">
        <f t="shared" si="72"/>
        <v>-1.0633590229126001E-4</v>
      </c>
      <c r="I75" s="68">
        <f t="shared" si="72"/>
        <v>-1.0322222940116694E-4</v>
      </c>
      <c r="J75" s="68">
        <f t="shared" si="72"/>
        <v>-9.9152057416450692E-5</v>
      </c>
      <c r="K75" s="68">
        <f t="shared" si="72"/>
        <v>-9.4026363750057009E-5</v>
      </c>
      <c r="L75" s="68">
        <f t="shared" si="72"/>
        <v>-8.7875678483444322E-5</v>
      </c>
      <c r="M75" s="68">
        <f t="shared" si="72"/>
        <v>-8.0920645629828101E-5</v>
      </c>
      <c r="N75" s="68">
        <f t="shared" si="72"/>
        <v>-7.357824598204721E-5</v>
      </c>
      <c r="O75" s="68">
        <f t="shared" si="72"/>
        <v>-6.6380331025761298E-5</v>
      </c>
      <c r="P75" s="68">
        <f t="shared" si="72"/>
        <v>-5.982792088237961E-5</v>
      </c>
      <c r="Q75" s="68">
        <f t="shared" si="72"/>
        <v>-5.4259305341653007E-5</v>
      </c>
      <c r="R75" s="68">
        <f t="shared" si="72"/>
        <v>-4.9799841576070884E-5</v>
      </c>
      <c r="S75" s="68">
        <f t="shared" si="72"/>
        <v>-4.6397072797805602E-5</v>
      </c>
      <c r="T75" s="68">
        <f t="shared" si="72"/>
        <v>-4.3895764843330094E-5</v>
      </c>
      <c r="U75" s="68">
        <f t="shared" si="72"/>
        <v>-4.2107365841462744E-5</v>
      </c>
      <c r="V75" s="68">
        <f t="shared" si="72"/>
        <v>-4.0853962251293284E-5</v>
      </c>
      <c r="W75" s="68">
        <f t="shared" si="72"/>
        <v>-3.9987783330280735E-5</v>
      </c>
      <c r="X75" s="68">
        <f t="shared" si="72"/>
        <v>-3.93950139312806E-5</v>
      </c>
      <c r="Y75" s="68">
        <f t="shared" si="72"/>
        <v>-3.8992059867999029E-5</v>
      </c>
      <c r="Z75" s="68">
        <f t="shared" si="72"/>
        <v>-3.8719385337209372E-5</v>
      </c>
      <c r="AA75" s="68">
        <f t="shared" si="72"/>
        <v>-3.8535438814060903E-5</v>
      </c>
      <c r="AB75" s="68">
        <f t="shared" si="72"/>
        <v>-3.8411606928446129E-5</v>
      </c>
      <c r="AC75" s="68">
        <f t="shared" si="72"/>
        <v>-3.832836099071531E-5</v>
      </c>
    </row>
    <row r="76" spans="1:29" x14ac:dyDescent="0.25">
      <c r="A76" s="30" t="str">
        <f t="shared" si="70"/>
        <v>Capex costumization</v>
      </c>
      <c r="B76" s="66">
        <f>((1+B35)^B43)*B35/(((1+B35)^B43)-1)*(B33)/B47/(B44)</f>
        <v>7.6311881817276459E-4</v>
      </c>
      <c r="C76" s="66">
        <f t="shared" ref="C76:AC76" si="73">((1+C35)^C43)*C35/(((1+C35)^C43)-1)*(C33)/C47/(C44)</f>
        <v>7.6311881817276459E-4</v>
      </c>
      <c r="D76" s="66">
        <f t="shared" si="73"/>
        <v>7.6311881817276459E-4</v>
      </c>
      <c r="E76" s="66">
        <f t="shared" si="73"/>
        <v>7.6311881817276459E-4</v>
      </c>
      <c r="F76" s="66">
        <f t="shared" si="73"/>
        <v>7.6311881817276459E-4</v>
      </c>
      <c r="G76" s="66">
        <f t="shared" si="73"/>
        <v>7.6311881817276459E-4</v>
      </c>
      <c r="H76" s="66">
        <f t="shared" si="73"/>
        <v>7.6311881817276459E-4</v>
      </c>
      <c r="I76" s="66">
        <f t="shared" si="73"/>
        <v>7.6311881817276459E-4</v>
      </c>
      <c r="J76" s="66">
        <f t="shared" si="73"/>
        <v>7.6311881817276459E-4</v>
      </c>
      <c r="K76" s="66">
        <f t="shared" si="73"/>
        <v>7.6311881817276459E-4</v>
      </c>
      <c r="L76" s="66">
        <f t="shared" si="73"/>
        <v>7.6311881817276459E-4</v>
      </c>
      <c r="M76" s="66">
        <f t="shared" si="73"/>
        <v>7.6311881817276459E-4</v>
      </c>
      <c r="N76" s="66">
        <f t="shared" si="73"/>
        <v>7.6311881817276459E-4</v>
      </c>
      <c r="O76" s="66">
        <f t="shared" si="73"/>
        <v>7.6311881817276459E-4</v>
      </c>
      <c r="P76" s="66">
        <f t="shared" si="73"/>
        <v>7.6311881817276459E-4</v>
      </c>
      <c r="Q76" s="66">
        <f t="shared" si="73"/>
        <v>7.6311881817276459E-4</v>
      </c>
      <c r="R76" s="66">
        <f t="shared" si="73"/>
        <v>7.6311881817276459E-4</v>
      </c>
      <c r="S76" s="66">
        <f t="shared" si="73"/>
        <v>7.6311881817276459E-4</v>
      </c>
      <c r="T76" s="66">
        <f t="shared" si="73"/>
        <v>7.6311881817276459E-4</v>
      </c>
      <c r="U76" s="66">
        <f t="shared" si="73"/>
        <v>7.6311881817276459E-4</v>
      </c>
      <c r="V76" s="66">
        <f t="shared" si="73"/>
        <v>7.6311881817276459E-4</v>
      </c>
      <c r="W76" s="66">
        <f t="shared" si="73"/>
        <v>7.6311881817276459E-4</v>
      </c>
      <c r="X76" s="66">
        <f t="shared" si="73"/>
        <v>7.6311881817276459E-4</v>
      </c>
      <c r="Y76" s="66">
        <f t="shared" si="73"/>
        <v>7.6311881817276459E-4</v>
      </c>
      <c r="Z76" s="66">
        <f t="shared" si="73"/>
        <v>7.6311881817276459E-4</v>
      </c>
      <c r="AA76" s="66">
        <f t="shared" si="73"/>
        <v>7.6311881817276459E-4</v>
      </c>
      <c r="AB76" s="66">
        <f t="shared" si="73"/>
        <v>7.6311881817276459E-4</v>
      </c>
      <c r="AC76" s="66">
        <f t="shared" si="73"/>
        <v>7.6311881817276459E-4</v>
      </c>
    </row>
    <row r="77" spans="1:29" x14ac:dyDescent="0.25">
      <c r="A77" s="30" t="str">
        <f t="shared" si="70"/>
        <v>Residual value (costumization)</v>
      </c>
      <c r="B77" s="69">
        <f>((1+B35)^B43)*B35/(((1+B35)^B43)-1)*(B34)/B47/(B44)</f>
        <v>-3.8155940908638231E-5</v>
      </c>
      <c r="C77" s="69">
        <f t="shared" ref="C77:AC77" si="74">((1+C35)^C43)*C35/(((1+C35)^C43)-1)*(C34)/C47/(C44)</f>
        <v>-3.8155940908638231E-5</v>
      </c>
      <c r="D77" s="69">
        <f t="shared" si="74"/>
        <v>-3.8155940908638231E-5</v>
      </c>
      <c r="E77" s="69">
        <f t="shared" si="74"/>
        <v>-3.8155940908638231E-5</v>
      </c>
      <c r="F77" s="69">
        <f t="shared" si="74"/>
        <v>-3.8155940908638231E-5</v>
      </c>
      <c r="G77" s="69">
        <f t="shared" si="74"/>
        <v>-3.8155940908638231E-5</v>
      </c>
      <c r="H77" s="69">
        <f t="shared" si="74"/>
        <v>-3.8155940908638231E-5</v>
      </c>
      <c r="I77" s="69">
        <f t="shared" si="74"/>
        <v>-3.8155940908638231E-5</v>
      </c>
      <c r="J77" s="69">
        <f t="shared" si="74"/>
        <v>-3.8155940908638231E-5</v>
      </c>
      <c r="K77" s="69">
        <f t="shared" si="74"/>
        <v>-3.8155940908638231E-5</v>
      </c>
      <c r="L77" s="69">
        <f t="shared" si="74"/>
        <v>-3.8155940908638231E-5</v>
      </c>
      <c r="M77" s="69">
        <f t="shared" si="74"/>
        <v>-3.8155940908638231E-5</v>
      </c>
      <c r="N77" s="69">
        <f t="shared" si="74"/>
        <v>-3.8155940908638231E-5</v>
      </c>
      <c r="O77" s="69">
        <f t="shared" si="74"/>
        <v>-3.8155940908638231E-5</v>
      </c>
      <c r="P77" s="69">
        <f t="shared" si="74"/>
        <v>-3.8155940908638231E-5</v>
      </c>
      <c r="Q77" s="69">
        <f t="shared" si="74"/>
        <v>-3.8155940908638231E-5</v>
      </c>
      <c r="R77" s="69">
        <f t="shared" si="74"/>
        <v>-3.8155940908638231E-5</v>
      </c>
      <c r="S77" s="69">
        <f t="shared" si="74"/>
        <v>-3.8155940908638231E-5</v>
      </c>
      <c r="T77" s="69">
        <f t="shared" si="74"/>
        <v>-3.8155940908638231E-5</v>
      </c>
      <c r="U77" s="69">
        <f t="shared" si="74"/>
        <v>-3.8155940908638231E-5</v>
      </c>
      <c r="V77" s="69">
        <f t="shared" si="74"/>
        <v>-3.8155940908638231E-5</v>
      </c>
      <c r="W77" s="69">
        <f t="shared" si="74"/>
        <v>-3.8155940908638231E-5</v>
      </c>
      <c r="X77" s="69">
        <f t="shared" si="74"/>
        <v>-3.8155940908638231E-5</v>
      </c>
      <c r="Y77" s="69">
        <f t="shared" si="74"/>
        <v>-3.8155940908638231E-5</v>
      </c>
      <c r="Z77" s="69">
        <f t="shared" si="74"/>
        <v>-3.8155940908638231E-5</v>
      </c>
      <c r="AA77" s="69">
        <f t="shared" si="74"/>
        <v>-3.8155940908638231E-5</v>
      </c>
      <c r="AB77" s="69">
        <f t="shared" si="74"/>
        <v>-3.8155940908638231E-5</v>
      </c>
      <c r="AC77" s="69">
        <f t="shared" si="74"/>
        <v>-3.8155940908638231E-5</v>
      </c>
    </row>
    <row r="78" spans="1:29" x14ac:dyDescent="0.25">
      <c r="A78" s="30" t="str">
        <f t="shared" si="70"/>
        <v>Opex fix (admin, crew, insurance)</v>
      </c>
      <c r="B78" s="66">
        <f>B36/B47/(B44)</f>
        <v>1.6256502601040416E-3</v>
      </c>
      <c r="C78" s="66">
        <f t="shared" ref="C78:AC78" si="75">C36/C47/(C44)</f>
        <v>1.6256502601040416E-3</v>
      </c>
      <c r="D78" s="66">
        <f t="shared" si="75"/>
        <v>1.6256502601040416E-3</v>
      </c>
      <c r="E78" s="66">
        <f t="shared" si="75"/>
        <v>1.6256502601040416E-3</v>
      </c>
      <c r="F78" s="66">
        <f t="shared" si="75"/>
        <v>1.6256502601040416E-3</v>
      </c>
      <c r="G78" s="66">
        <f t="shared" si="75"/>
        <v>1.6256502601040416E-3</v>
      </c>
      <c r="H78" s="66">
        <f t="shared" si="75"/>
        <v>1.6256502601040416E-3</v>
      </c>
      <c r="I78" s="66">
        <f t="shared" si="75"/>
        <v>1.6256502601040416E-3</v>
      </c>
      <c r="J78" s="66">
        <f t="shared" si="75"/>
        <v>1.6256502601040416E-3</v>
      </c>
      <c r="K78" s="66">
        <f t="shared" si="75"/>
        <v>1.6256502601040416E-3</v>
      </c>
      <c r="L78" s="66">
        <f t="shared" si="75"/>
        <v>1.6256502601040416E-3</v>
      </c>
      <c r="M78" s="66">
        <f t="shared" si="75"/>
        <v>1.6256502601040416E-3</v>
      </c>
      <c r="N78" s="66">
        <f t="shared" si="75"/>
        <v>1.6256502601040416E-3</v>
      </c>
      <c r="O78" s="66">
        <f t="shared" si="75"/>
        <v>1.6256502601040416E-3</v>
      </c>
      <c r="P78" s="66">
        <f t="shared" si="75"/>
        <v>1.6256502601040416E-3</v>
      </c>
      <c r="Q78" s="66">
        <f t="shared" si="75"/>
        <v>1.6256502601040416E-3</v>
      </c>
      <c r="R78" s="66">
        <f t="shared" si="75"/>
        <v>1.6256502601040416E-3</v>
      </c>
      <c r="S78" s="66">
        <f t="shared" si="75"/>
        <v>1.6256502601040416E-3</v>
      </c>
      <c r="T78" s="66">
        <f t="shared" si="75"/>
        <v>1.6256502601040416E-3</v>
      </c>
      <c r="U78" s="66">
        <f t="shared" si="75"/>
        <v>1.6256502601040416E-3</v>
      </c>
      <c r="V78" s="66">
        <f t="shared" si="75"/>
        <v>1.6256502601040416E-3</v>
      </c>
      <c r="W78" s="66">
        <f t="shared" si="75"/>
        <v>1.6256502601040416E-3</v>
      </c>
      <c r="X78" s="66">
        <f t="shared" si="75"/>
        <v>1.6256502601040416E-3</v>
      </c>
      <c r="Y78" s="66">
        <f t="shared" si="75"/>
        <v>1.6256502601040416E-3</v>
      </c>
      <c r="Z78" s="66">
        <f t="shared" si="75"/>
        <v>1.6256502601040416E-3</v>
      </c>
      <c r="AA78" s="66">
        <f t="shared" si="75"/>
        <v>1.6256502601040416E-3</v>
      </c>
      <c r="AB78" s="66">
        <f t="shared" si="75"/>
        <v>1.6256502601040416E-3</v>
      </c>
      <c r="AC78" s="66">
        <f t="shared" si="75"/>
        <v>1.6256502601040416E-3</v>
      </c>
    </row>
    <row r="79" spans="1:29" x14ac:dyDescent="0.25">
      <c r="A79" s="30" t="str">
        <f t="shared" si="70"/>
        <v>Opex maintenance &amp; repair</v>
      </c>
      <c r="B79" s="66">
        <f>B37/B47/(B44)</f>
        <v>2.6260504201680674E-3</v>
      </c>
      <c r="C79" s="66">
        <f t="shared" ref="C79:AC79" si="76">C37/C47/(C44)</f>
        <v>2.6260504201680674E-3</v>
      </c>
      <c r="D79" s="66">
        <f t="shared" si="76"/>
        <v>2.6260504201680674E-3</v>
      </c>
      <c r="E79" s="66">
        <f t="shared" si="76"/>
        <v>2.6260504201680674E-3</v>
      </c>
      <c r="F79" s="66">
        <f t="shared" si="76"/>
        <v>2.6260504201680674E-3</v>
      </c>
      <c r="G79" s="66">
        <f t="shared" si="76"/>
        <v>2.6260504201680674E-3</v>
      </c>
      <c r="H79" s="66">
        <f t="shared" si="76"/>
        <v>2.6260504201680674E-3</v>
      </c>
      <c r="I79" s="66">
        <f t="shared" si="76"/>
        <v>2.6260504201680674E-3</v>
      </c>
      <c r="J79" s="66">
        <f t="shared" si="76"/>
        <v>2.6260504201680674E-3</v>
      </c>
      <c r="K79" s="66">
        <f t="shared" si="76"/>
        <v>2.6260504201680674E-3</v>
      </c>
      <c r="L79" s="66">
        <f t="shared" si="76"/>
        <v>2.6260504201680674E-3</v>
      </c>
      <c r="M79" s="66">
        <f t="shared" si="76"/>
        <v>2.6260504201680674E-3</v>
      </c>
      <c r="N79" s="66">
        <f t="shared" si="76"/>
        <v>2.6260504201680674E-3</v>
      </c>
      <c r="O79" s="66">
        <f t="shared" si="76"/>
        <v>2.6260504201680674E-3</v>
      </c>
      <c r="P79" s="66">
        <f t="shared" si="76"/>
        <v>2.6260504201680674E-3</v>
      </c>
      <c r="Q79" s="66">
        <f t="shared" si="76"/>
        <v>2.6260504201680674E-3</v>
      </c>
      <c r="R79" s="66">
        <f t="shared" si="76"/>
        <v>2.6260504201680674E-3</v>
      </c>
      <c r="S79" s="66">
        <f t="shared" si="76"/>
        <v>2.6260504201680674E-3</v>
      </c>
      <c r="T79" s="66">
        <f t="shared" si="76"/>
        <v>2.6260504201680674E-3</v>
      </c>
      <c r="U79" s="66">
        <f t="shared" si="76"/>
        <v>2.6260504201680674E-3</v>
      </c>
      <c r="V79" s="66">
        <f t="shared" si="76"/>
        <v>2.6260504201680674E-3</v>
      </c>
      <c r="W79" s="66">
        <f t="shared" si="76"/>
        <v>2.6260504201680674E-3</v>
      </c>
      <c r="X79" s="66">
        <f t="shared" si="76"/>
        <v>2.6260504201680674E-3</v>
      </c>
      <c r="Y79" s="66">
        <f t="shared" si="76"/>
        <v>2.6260504201680674E-3</v>
      </c>
      <c r="Z79" s="66">
        <f t="shared" si="76"/>
        <v>2.6260504201680674E-3</v>
      </c>
      <c r="AA79" s="66">
        <f t="shared" si="76"/>
        <v>2.6260504201680674E-3</v>
      </c>
      <c r="AB79" s="66">
        <f t="shared" si="76"/>
        <v>2.6260504201680674E-3</v>
      </c>
      <c r="AC79" s="66">
        <f t="shared" si="76"/>
        <v>2.6260504201680674E-3</v>
      </c>
    </row>
    <row r="80" spans="1:29" x14ac:dyDescent="0.25">
      <c r="A80" s="30" t="str">
        <f t="shared" si="70"/>
        <v>Opex var (mode-fees, shunting)</v>
      </c>
      <c r="B80" s="66">
        <f>B38*B47/B47/(B44)</f>
        <v>1.7507002801120447E-3</v>
      </c>
      <c r="C80" s="66">
        <f t="shared" ref="C80:AC80" si="77">C38*C47/C47/(C44)</f>
        <v>1.7507002801120447E-3</v>
      </c>
      <c r="D80" s="66">
        <f t="shared" si="77"/>
        <v>1.7507002801120447E-3</v>
      </c>
      <c r="E80" s="66">
        <f t="shared" si="77"/>
        <v>1.7507002801120447E-3</v>
      </c>
      <c r="F80" s="66">
        <f t="shared" si="77"/>
        <v>1.7507002801120447E-3</v>
      </c>
      <c r="G80" s="66">
        <f t="shared" si="77"/>
        <v>1.7507002801120447E-3</v>
      </c>
      <c r="H80" s="66">
        <f t="shared" si="77"/>
        <v>1.7507002801120447E-3</v>
      </c>
      <c r="I80" s="66">
        <f t="shared" si="77"/>
        <v>1.7507002801120447E-3</v>
      </c>
      <c r="J80" s="66">
        <f t="shared" si="77"/>
        <v>1.7507002801120447E-3</v>
      </c>
      <c r="K80" s="66">
        <f t="shared" si="77"/>
        <v>1.7507002801120447E-3</v>
      </c>
      <c r="L80" s="66">
        <f t="shared" si="77"/>
        <v>1.7507002801120447E-3</v>
      </c>
      <c r="M80" s="66">
        <f t="shared" si="77"/>
        <v>1.7507002801120447E-3</v>
      </c>
      <c r="N80" s="66">
        <f t="shared" si="77"/>
        <v>1.7507002801120447E-3</v>
      </c>
      <c r="O80" s="66">
        <f t="shared" si="77"/>
        <v>1.7507002801120447E-3</v>
      </c>
      <c r="P80" s="66">
        <f t="shared" si="77"/>
        <v>1.7507002801120447E-3</v>
      </c>
      <c r="Q80" s="66">
        <f t="shared" si="77"/>
        <v>1.7507002801120447E-3</v>
      </c>
      <c r="R80" s="66">
        <f t="shared" si="77"/>
        <v>1.7507002801120447E-3</v>
      </c>
      <c r="S80" s="66">
        <f t="shared" si="77"/>
        <v>1.7507002801120447E-3</v>
      </c>
      <c r="T80" s="66">
        <f t="shared" si="77"/>
        <v>1.7507002801120447E-3</v>
      </c>
      <c r="U80" s="66">
        <f t="shared" si="77"/>
        <v>1.7507002801120447E-3</v>
      </c>
      <c r="V80" s="66">
        <f t="shared" si="77"/>
        <v>1.7507002801120447E-3</v>
      </c>
      <c r="W80" s="66">
        <f t="shared" si="77"/>
        <v>1.7507002801120447E-3</v>
      </c>
      <c r="X80" s="66">
        <f t="shared" si="77"/>
        <v>1.7507002801120447E-3</v>
      </c>
      <c r="Y80" s="66">
        <f t="shared" si="77"/>
        <v>1.7507002801120447E-3</v>
      </c>
      <c r="Z80" s="66">
        <f t="shared" si="77"/>
        <v>1.7507002801120447E-3</v>
      </c>
      <c r="AA80" s="66">
        <f t="shared" si="77"/>
        <v>1.7507002801120447E-3</v>
      </c>
      <c r="AB80" s="66">
        <f t="shared" si="77"/>
        <v>1.7507002801120447E-3</v>
      </c>
      <c r="AC80" s="66">
        <f t="shared" si="77"/>
        <v>1.7507002801120447E-3</v>
      </c>
    </row>
    <row r="81" spans="1:29" x14ac:dyDescent="0.25">
      <c r="A81" s="30" t="str">
        <f t="shared" si="70"/>
        <v>Fuel Cost</v>
      </c>
      <c r="B81" s="66">
        <f>B39*B40*B47/B47/(B44)</f>
        <v>2.2211568098096379E-3</v>
      </c>
      <c r="C81" s="66">
        <f t="shared" ref="C81:AC81" si="78">C39*C40*C47/C47/(C44)</f>
        <v>2.162447819241982E-3</v>
      </c>
      <c r="D81" s="66">
        <f t="shared" si="78"/>
        <v>2.1037388286743266E-3</v>
      </c>
      <c r="E81" s="66">
        <f t="shared" si="78"/>
        <v>2.0450298381066712E-3</v>
      </c>
      <c r="F81" s="66">
        <f t="shared" si="78"/>
        <v>1.9863208475390157E-3</v>
      </c>
      <c r="G81" s="66">
        <f t="shared" si="78"/>
        <v>1.9276118569713603E-3</v>
      </c>
      <c r="H81" s="66">
        <f t="shared" si="78"/>
        <v>1.8689028664037048E-3</v>
      </c>
      <c r="I81" s="66">
        <f t="shared" si="78"/>
        <v>1.810193875836049E-3</v>
      </c>
      <c r="J81" s="66">
        <f t="shared" si="78"/>
        <v>1.793070420253816E-3</v>
      </c>
      <c r="K81" s="66">
        <f t="shared" si="78"/>
        <v>1.7759469646715831E-3</v>
      </c>
      <c r="L81" s="66">
        <f t="shared" si="78"/>
        <v>1.7588235090893504E-3</v>
      </c>
      <c r="M81" s="66">
        <f t="shared" si="78"/>
        <v>1.7417000535071175E-3</v>
      </c>
      <c r="N81" s="66">
        <f t="shared" si="78"/>
        <v>1.7245765979248845E-3</v>
      </c>
      <c r="O81" s="66">
        <f t="shared" si="78"/>
        <v>1.7074531423426514E-3</v>
      </c>
      <c r="P81" s="66">
        <f t="shared" si="78"/>
        <v>1.6903296867604185E-3</v>
      </c>
      <c r="Q81" s="66">
        <f t="shared" si="78"/>
        <v>1.6732062311781858E-3</v>
      </c>
      <c r="R81" s="66">
        <f t="shared" si="78"/>
        <v>1.6560827755959528E-3</v>
      </c>
      <c r="S81" s="66">
        <f t="shared" si="78"/>
        <v>1.6389593200137199E-3</v>
      </c>
      <c r="T81" s="66">
        <f t="shared" si="78"/>
        <v>1.621835864431487E-3</v>
      </c>
      <c r="U81" s="66">
        <f t="shared" si="78"/>
        <v>1.604712408849254E-3</v>
      </c>
      <c r="V81" s="66">
        <f t="shared" si="78"/>
        <v>1.5875889532670209E-3</v>
      </c>
      <c r="W81" s="66">
        <f t="shared" si="78"/>
        <v>1.5704654976847882E-3</v>
      </c>
      <c r="X81" s="66">
        <f t="shared" si="78"/>
        <v>1.5533420421025557E-3</v>
      </c>
      <c r="Y81" s="66">
        <f t="shared" si="78"/>
        <v>1.5362185865203228E-3</v>
      </c>
      <c r="Z81" s="66">
        <f t="shared" si="78"/>
        <v>1.5190951309380896E-3</v>
      </c>
      <c r="AA81" s="66">
        <f t="shared" si="78"/>
        <v>1.5019716753558569E-3</v>
      </c>
      <c r="AB81" s="66">
        <f t="shared" si="78"/>
        <v>1.484848219773624E-3</v>
      </c>
      <c r="AC81" s="66">
        <f t="shared" si="78"/>
        <v>1.4677247641913908E-3</v>
      </c>
    </row>
    <row r="82" spans="1:29" x14ac:dyDescent="0.25">
      <c r="A82" s="59" t="str">
        <f>A45</f>
        <v>Market failure (av. utilization)</v>
      </c>
      <c r="B82" s="66">
        <f t="shared" ref="B82:AC82" si="79">B71/B45-B71/B44</f>
        <v>5.4419257673008932E-3</v>
      </c>
      <c r="C82" s="66">
        <f t="shared" si="79"/>
        <v>5.409144623768786E-3</v>
      </c>
      <c r="D82" s="66">
        <f t="shared" si="79"/>
        <v>5.3764653641885322E-3</v>
      </c>
      <c r="E82" s="66">
        <f t="shared" si="79"/>
        <v>5.3439285419377789E-3</v>
      </c>
      <c r="F82" s="66">
        <f t="shared" si="79"/>
        <v>5.3115884528182819E-3</v>
      </c>
      <c r="G82" s="66">
        <f t="shared" si="79"/>
        <v>5.2795152619453094E-3</v>
      </c>
      <c r="H82" s="66">
        <f t="shared" si="79"/>
        <v>5.2477947141649252E-3</v>
      </c>
      <c r="I82" s="66">
        <f t="shared" si="79"/>
        <v>5.2165223479712971E-3</v>
      </c>
      <c r="J82" s="66">
        <f t="shared" si="79"/>
        <v>5.2091798759476941E-3</v>
      </c>
      <c r="K82" s="66">
        <f t="shared" si="79"/>
        <v>5.202431134870034E-3</v>
      </c>
      <c r="L82" s="66">
        <f t="shared" si="79"/>
        <v>5.1962589515674989E-3</v>
      </c>
      <c r="M82" s="66">
        <f t="shared" si="79"/>
        <v>5.1905392137826505E-3</v>
      </c>
      <c r="N82" s="66">
        <f t="shared" si="79"/>
        <v>5.1850373698195222E-3</v>
      </c>
      <c r="O82" s="66">
        <f t="shared" si="79"/>
        <v>5.1794542532174262E-3</v>
      </c>
      <c r="P82" s="66">
        <f t="shared" si="79"/>
        <v>5.1735080401580716E-3</v>
      </c>
      <c r="Q82" s="66">
        <f t="shared" si="79"/>
        <v>5.1670084426347247E-3</v>
      </c>
      <c r="R82" s="66">
        <f t="shared" si="79"/>
        <v>5.1598849472378576E-3</v>
      </c>
      <c r="S82" s="66">
        <f t="shared" si="79"/>
        <v>5.1521670609106281E-3</v>
      </c>
      <c r="T82" s="66">
        <f t="shared" si="79"/>
        <v>5.1439421028700132E-3</v>
      </c>
      <c r="U82" s="66">
        <f t="shared" si="79"/>
        <v>5.135316133543559E-3</v>
      </c>
      <c r="V82" s="66">
        <f t="shared" si="79"/>
        <v>5.1263892292980218E-3</v>
      </c>
      <c r="W82" s="66">
        <f t="shared" si="79"/>
        <v>5.1172445111760875E-3</v>
      </c>
      <c r="X82" s="66">
        <f t="shared" si="79"/>
        <v>5.107946000198019E-3</v>
      </c>
      <c r="Y82" s="66">
        <f t="shared" si="79"/>
        <v>5.0985407180936075E-3</v>
      </c>
      <c r="Z82" s="66">
        <f t="shared" si="79"/>
        <v>5.0890621537521708E-3</v>
      </c>
      <c r="AA82" s="66">
        <f t="shared" si="79"/>
        <v>5.0795336799064356E-3</v>
      </c>
      <c r="AB82" s="66">
        <f t="shared" si="79"/>
        <v>5.069971391577088E-3</v>
      </c>
      <c r="AC82" s="66">
        <f t="shared" si="79"/>
        <v>5.0603862736520542E-3</v>
      </c>
    </row>
    <row r="83" spans="1:29" x14ac:dyDescent="0.25">
      <c r="A83" s="59" t="str">
        <f>A46</f>
        <v>Payload loss (fuel)</v>
      </c>
      <c r="B83" s="66">
        <f>B71/(B44-B46)-B71/B44</f>
        <v>0</v>
      </c>
      <c r="C83" s="66">
        <f t="shared" ref="C83:AC83" si="80">C71/(C44-C46)-C71/C44</f>
        <v>0</v>
      </c>
      <c r="D83" s="66">
        <f t="shared" si="80"/>
        <v>0</v>
      </c>
      <c r="E83" s="66">
        <f t="shared" si="80"/>
        <v>0</v>
      </c>
      <c r="F83" s="66">
        <f t="shared" si="80"/>
        <v>0</v>
      </c>
      <c r="G83" s="66">
        <f t="shared" si="80"/>
        <v>0</v>
      </c>
      <c r="H83" s="66">
        <f t="shared" si="80"/>
        <v>0</v>
      </c>
      <c r="I83" s="66">
        <f t="shared" si="80"/>
        <v>0</v>
      </c>
      <c r="J83" s="66">
        <f t="shared" si="80"/>
        <v>0</v>
      </c>
      <c r="K83" s="66">
        <f t="shared" si="80"/>
        <v>0</v>
      </c>
      <c r="L83" s="66">
        <f t="shared" si="80"/>
        <v>0</v>
      </c>
      <c r="M83" s="66">
        <f t="shared" si="80"/>
        <v>0</v>
      </c>
      <c r="N83" s="66">
        <f t="shared" si="80"/>
        <v>0</v>
      </c>
      <c r="O83" s="66">
        <f t="shared" si="80"/>
        <v>0</v>
      </c>
      <c r="P83" s="66">
        <f t="shared" si="80"/>
        <v>0</v>
      </c>
      <c r="Q83" s="66">
        <f t="shared" si="80"/>
        <v>0</v>
      </c>
      <c r="R83" s="66">
        <f t="shared" si="80"/>
        <v>0</v>
      </c>
      <c r="S83" s="66">
        <f t="shared" si="80"/>
        <v>0</v>
      </c>
      <c r="T83" s="66">
        <f t="shared" si="80"/>
        <v>0</v>
      </c>
      <c r="U83" s="66">
        <f t="shared" si="80"/>
        <v>0</v>
      </c>
      <c r="V83" s="66">
        <f t="shared" si="80"/>
        <v>0</v>
      </c>
      <c r="W83" s="66">
        <f t="shared" si="80"/>
        <v>0</v>
      </c>
      <c r="X83" s="66">
        <f t="shared" si="80"/>
        <v>0</v>
      </c>
      <c r="Y83" s="66">
        <f t="shared" si="80"/>
        <v>0</v>
      </c>
      <c r="Z83" s="66">
        <f t="shared" si="80"/>
        <v>0</v>
      </c>
      <c r="AA83" s="66">
        <f t="shared" si="80"/>
        <v>0</v>
      </c>
      <c r="AB83" s="66">
        <f t="shared" si="80"/>
        <v>0</v>
      </c>
      <c r="AC83" s="66">
        <f t="shared" si="80"/>
        <v>0</v>
      </c>
    </row>
    <row r="84" spans="1:29" ht="15.75" thickBot="1" x14ac:dyDescent="0.3">
      <c r="A84" s="59" t="str">
        <f>A21</f>
        <v>Emission Cost</v>
      </c>
      <c r="B84" s="69">
        <f>B41*B47/B47/(B44)</f>
        <v>0</v>
      </c>
      <c r="C84" s="69">
        <f t="shared" ref="C84:AC84" si="81">C41*C47/C47/(C44)</f>
        <v>0</v>
      </c>
      <c r="D84" s="69">
        <f t="shared" si="81"/>
        <v>0</v>
      </c>
      <c r="E84" s="69">
        <f t="shared" si="81"/>
        <v>0</v>
      </c>
      <c r="F84" s="69">
        <f t="shared" si="81"/>
        <v>0</v>
      </c>
      <c r="G84" s="69">
        <f t="shared" si="81"/>
        <v>0</v>
      </c>
      <c r="H84" s="69">
        <f t="shared" si="81"/>
        <v>0</v>
      </c>
      <c r="I84" s="69">
        <f t="shared" si="81"/>
        <v>0</v>
      </c>
      <c r="J84" s="69">
        <f t="shared" si="81"/>
        <v>0</v>
      </c>
      <c r="K84" s="69">
        <f t="shared" si="81"/>
        <v>0</v>
      </c>
      <c r="L84" s="69">
        <f t="shared" si="81"/>
        <v>0</v>
      </c>
      <c r="M84" s="69">
        <f t="shared" si="81"/>
        <v>0</v>
      </c>
      <c r="N84" s="69">
        <f t="shared" si="81"/>
        <v>0</v>
      </c>
      <c r="O84" s="69">
        <f t="shared" si="81"/>
        <v>0</v>
      </c>
      <c r="P84" s="69">
        <f t="shared" si="81"/>
        <v>0</v>
      </c>
      <c r="Q84" s="69">
        <f t="shared" si="81"/>
        <v>0</v>
      </c>
      <c r="R84" s="69">
        <f t="shared" si="81"/>
        <v>0</v>
      </c>
      <c r="S84" s="69">
        <f t="shared" si="81"/>
        <v>0</v>
      </c>
      <c r="T84" s="69">
        <f t="shared" si="81"/>
        <v>0</v>
      </c>
      <c r="U84" s="69">
        <f t="shared" si="81"/>
        <v>0</v>
      </c>
      <c r="V84" s="69">
        <f t="shared" si="81"/>
        <v>0</v>
      </c>
      <c r="W84" s="69">
        <f t="shared" si="81"/>
        <v>0</v>
      </c>
      <c r="X84" s="69">
        <f t="shared" si="81"/>
        <v>0</v>
      </c>
      <c r="Y84" s="69">
        <f t="shared" si="81"/>
        <v>0</v>
      </c>
      <c r="Z84" s="69">
        <f t="shared" si="81"/>
        <v>0</v>
      </c>
      <c r="AA84" s="69">
        <f t="shared" si="81"/>
        <v>0</v>
      </c>
      <c r="AB84" s="69">
        <f t="shared" si="81"/>
        <v>0</v>
      </c>
      <c r="AC84" s="69">
        <f t="shared" si="81"/>
        <v>0</v>
      </c>
    </row>
    <row r="85" spans="1:29" ht="15.75" thickBot="1" x14ac:dyDescent="0.3">
      <c r="A85" s="31" t="s">
        <v>210</v>
      </c>
      <c r="B85" s="97">
        <f>B74+B75+B76+B77+B78+B79+B80+B81+B82+B83+B84</f>
        <v>1.504014858290743E-2</v>
      </c>
      <c r="C85" s="97">
        <f t="shared" ref="C85:AC85" si="82">C74+C75+C76+C77+C78+C79+C80+C81+C82+C83+C84</f>
        <v>1.4949089850873799E-2</v>
      </c>
      <c r="D85" s="97">
        <f t="shared" si="82"/>
        <v>1.485831412981754E-2</v>
      </c>
      <c r="E85" s="97">
        <f t="shared" si="82"/>
        <v>1.4767934068009888E-2</v>
      </c>
      <c r="F85" s="97">
        <f t="shared" si="82"/>
        <v>1.4678100487122399E-2</v>
      </c>
      <c r="G85" s="97">
        <f t="shared" si="82"/>
        <v>1.4589008290253032E-2</v>
      </c>
      <c r="H85" s="97">
        <f t="shared" si="82"/>
        <v>1.4500895657529742E-2</v>
      </c>
      <c r="I85" s="97">
        <f t="shared" si="82"/>
        <v>1.4414027973658551E-2</v>
      </c>
      <c r="J85" s="97">
        <f t="shared" si="82"/>
        <v>1.4393632218037432E-2</v>
      </c>
      <c r="K85" s="97">
        <f t="shared" si="82"/>
        <v>1.4374885715043932E-2</v>
      </c>
      <c r="L85" s="97">
        <f t="shared" si="82"/>
        <v>1.4357740761425777E-2</v>
      </c>
      <c r="M85" s="97">
        <f t="shared" si="82"/>
        <v>1.4341852600912312E-2</v>
      </c>
      <c r="N85" s="97">
        <f t="shared" si="82"/>
        <v>1.4326569701014731E-2</v>
      </c>
      <c r="O85" s="97">
        <f t="shared" si="82"/>
        <v>1.4311061043786688E-2</v>
      </c>
      <c r="P85" s="97">
        <f t="shared" si="82"/>
        <v>1.4294543785288482E-2</v>
      </c>
      <c r="Q85" s="97">
        <f t="shared" si="82"/>
        <v>1.4276489347723629E-2</v>
      </c>
      <c r="R85" s="97">
        <f t="shared" si="82"/>
        <v>1.4256701860510111E-2</v>
      </c>
      <c r="S85" s="97">
        <f t="shared" si="82"/>
        <v>1.4235263287378914E-2</v>
      </c>
      <c r="T85" s="97">
        <f t="shared" si="82"/>
        <v>1.4212416181710541E-2</v>
      </c>
      <c r="U85" s="97">
        <f t="shared" si="82"/>
        <v>1.4188455155803721E-2</v>
      </c>
      <c r="V85" s="97">
        <f t="shared" si="82"/>
        <v>1.4163658199566121E-2</v>
      </c>
      <c r="W85" s="97">
        <f t="shared" si="82"/>
        <v>1.4138256204782967E-2</v>
      </c>
      <c r="X85" s="97">
        <f t="shared" si="82"/>
        <v>1.4112427007621666E-2</v>
      </c>
      <c r="Y85" s="97">
        <f t="shared" si="82"/>
        <v>1.4086301223998303E-2</v>
      </c>
      <c r="Z85" s="97">
        <f t="shared" si="82"/>
        <v>1.4059971878605422E-2</v>
      </c>
      <c r="AA85" s="97">
        <f t="shared" si="82"/>
        <v>1.4033503895700603E-2</v>
      </c>
      <c r="AB85" s="97">
        <f t="shared" si="82"/>
        <v>1.4006941983674637E-2</v>
      </c>
      <c r="AC85" s="97">
        <f t="shared" si="82"/>
        <v>1.3980316656105102E-2</v>
      </c>
    </row>
    <row r="87" spans="1:29" x14ac:dyDescent="0.25">
      <c r="B87" s="40"/>
    </row>
    <row r="107" spans="1:2" s="3" customFormat="1" ht="21" x14ac:dyDescent="0.35">
      <c r="A107" s="2" t="str">
        <f>'Parameter Input'!A158</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Input'!$L$147</f>
        <v>3500000</v>
      </c>
      <c r="C117" s="42">
        <f>'Parameter Input'!$M$147</f>
        <v>3500000</v>
      </c>
      <c r="D117" s="1" t="s">
        <v>15</v>
      </c>
      <c r="L117" s="51">
        <f>'Parameter Input'!$O$147</f>
        <v>12</v>
      </c>
      <c r="M117" s="52">
        <v>0</v>
      </c>
      <c r="N117" s="52">
        <v>1</v>
      </c>
      <c r="O117" s="52">
        <f>'Parameter Input'!$P$147</f>
        <v>0.9</v>
      </c>
      <c r="P117" s="53">
        <f>'Parameter Input'!$Q$147</f>
        <v>0.4</v>
      </c>
      <c r="Q117" s="4">
        <f t="shared" ref="Q117:AR126" si="83">$N117+($M117-$N117)*((1/(1+EXP(-$P117*(Q$9-$L117)))^$O117))</f>
        <v>0.9867978615748374</v>
      </c>
      <c r="R117" s="4">
        <f t="shared" si="83"/>
        <v>0.98114509762858249</v>
      </c>
      <c r="S117" s="4">
        <f t="shared" si="83"/>
        <v>0.97311898315872036</v>
      </c>
      <c r="T117" s="4">
        <f t="shared" si="83"/>
        <v>0.96177484161592774</v>
      </c>
      <c r="U117" s="4">
        <f t="shared" si="83"/>
        <v>0.94584787155511363</v>
      </c>
      <c r="V117" s="4">
        <f t="shared" si="83"/>
        <v>0.92370360150141495</v>
      </c>
      <c r="W117" s="4">
        <f t="shared" si="83"/>
        <v>0.89334463567658451</v>
      </c>
      <c r="X117" s="4">
        <f t="shared" si="83"/>
        <v>0.85254543874327005</v>
      </c>
      <c r="Y117" s="4">
        <f t="shared" si="83"/>
        <v>0.79921300652623883</v>
      </c>
      <c r="Z117" s="4">
        <f t="shared" si="83"/>
        <v>0.73204982249993378</v>
      </c>
      <c r="AA117" s="4">
        <f t="shared" si="83"/>
        <v>0.65145592958786691</v>
      </c>
      <c r="AB117" s="4">
        <f t="shared" si="83"/>
        <v>0.56032247880849573</v>
      </c>
      <c r="AC117" s="4">
        <f t="shared" si="83"/>
        <v>0.46411326873185343</v>
      </c>
      <c r="AD117" s="4">
        <f t="shared" si="83"/>
        <v>0.36979727595523937</v>
      </c>
      <c r="AE117" s="4">
        <f t="shared" si="83"/>
        <v>0.28393948637231203</v>
      </c>
      <c r="AF117" s="4">
        <f t="shared" si="83"/>
        <v>0.21097259161117732</v>
      </c>
      <c r="AG117" s="4">
        <f t="shared" si="83"/>
        <v>0.15253917653798199</v>
      </c>
      <c r="AH117" s="4">
        <f t="shared" si="83"/>
        <v>0.10795188737709993</v>
      </c>
      <c r="AI117" s="4">
        <f t="shared" si="83"/>
        <v>7.5176653938091809E-2</v>
      </c>
      <c r="AJ117" s="4">
        <f t="shared" si="83"/>
        <v>5.1742836177502194E-2</v>
      </c>
      <c r="AK117" s="4">
        <f t="shared" si="83"/>
        <v>3.5319190625345942E-2</v>
      </c>
      <c r="AL117" s="4">
        <f t="shared" si="83"/>
        <v>2.3969442072658165E-2</v>
      </c>
      <c r="AM117" s="4">
        <f t="shared" si="83"/>
        <v>1.6202243558389728E-2</v>
      </c>
      <c r="AN117" s="4">
        <f t="shared" si="83"/>
        <v>1.0922240564108399E-2</v>
      </c>
      <c r="AO117" s="4">
        <f t="shared" si="83"/>
        <v>7.3493212906090566E-3</v>
      </c>
      <c r="AP117" s="4">
        <f t="shared" si="83"/>
        <v>4.9390262185057265E-3</v>
      </c>
      <c r="AQ117" s="4">
        <f t="shared" si="83"/>
        <v>3.3164275492956197E-3</v>
      </c>
      <c r="AR117" s="4">
        <f t="shared" si="83"/>
        <v>2.2256362146679809E-3</v>
      </c>
    </row>
    <row r="118" spans="1:44" x14ac:dyDescent="0.25">
      <c r="A118" s="24" t="s">
        <v>28</v>
      </c>
      <c r="B118" s="60">
        <f>'Parameter Input'!$L$148</f>
        <v>-525000</v>
      </c>
      <c r="C118" s="61">
        <f>'Parameter Input'!$M$148</f>
        <v>-175000</v>
      </c>
      <c r="D118" s="1" t="s">
        <v>15</v>
      </c>
      <c r="L118" s="54">
        <f>'Parameter Input'!$O$148</f>
        <v>12</v>
      </c>
      <c r="M118" s="37">
        <v>0</v>
      </c>
      <c r="N118" s="37">
        <v>1</v>
      </c>
      <c r="O118" s="37">
        <f>'Parameter Input'!$P$148</f>
        <v>0.9</v>
      </c>
      <c r="P118" s="55">
        <f>'Parameter Input'!$Q$148</f>
        <v>0.4</v>
      </c>
      <c r="Q118" s="4">
        <f t="shared" si="83"/>
        <v>0.9867978615748374</v>
      </c>
      <c r="R118" s="4">
        <f t="shared" si="83"/>
        <v>0.98114509762858249</v>
      </c>
      <c r="S118" s="4">
        <f t="shared" si="83"/>
        <v>0.97311898315872036</v>
      </c>
      <c r="T118" s="4">
        <f t="shared" si="83"/>
        <v>0.96177484161592774</v>
      </c>
      <c r="U118" s="4">
        <f t="shared" si="83"/>
        <v>0.94584787155511363</v>
      </c>
      <c r="V118" s="4">
        <f t="shared" si="83"/>
        <v>0.92370360150141495</v>
      </c>
      <c r="W118" s="4">
        <f t="shared" si="83"/>
        <v>0.89334463567658451</v>
      </c>
      <c r="X118" s="4">
        <f t="shared" si="83"/>
        <v>0.85254543874327005</v>
      </c>
      <c r="Y118" s="4">
        <f t="shared" si="83"/>
        <v>0.79921300652623883</v>
      </c>
      <c r="Z118" s="4">
        <f t="shared" si="83"/>
        <v>0.73204982249993378</v>
      </c>
      <c r="AA118" s="4">
        <f t="shared" si="83"/>
        <v>0.65145592958786691</v>
      </c>
      <c r="AB118" s="4">
        <f t="shared" si="83"/>
        <v>0.56032247880849573</v>
      </c>
      <c r="AC118" s="4">
        <f t="shared" si="83"/>
        <v>0.46411326873185343</v>
      </c>
      <c r="AD118" s="4">
        <f t="shared" si="83"/>
        <v>0.36979727595523937</v>
      </c>
      <c r="AE118" s="4">
        <f t="shared" si="83"/>
        <v>0.28393948637231203</v>
      </c>
      <c r="AF118" s="4">
        <f t="shared" si="83"/>
        <v>0.21097259161117732</v>
      </c>
      <c r="AG118" s="4">
        <f t="shared" si="83"/>
        <v>0.15253917653798199</v>
      </c>
      <c r="AH118" s="4">
        <f t="shared" si="83"/>
        <v>0.10795188737709993</v>
      </c>
      <c r="AI118" s="4">
        <f t="shared" si="83"/>
        <v>7.5176653938091809E-2</v>
      </c>
      <c r="AJ118" s="4">
        <f t="shared" si="83"/>
        <v>5.1742836177502194E-2</v>
      </c>
      <c r="AK118" s="4">
        <f t="shared" si="83"/>
        <v>3.5319190625345942E-2</v>
      </c>
      <c r="AL118" s="4">
        <f t="shared" si="83"/>
        <v>2.3969442072658165E-2</v>
      </c>
      <c r="AM118" s="4">
        <f t="shared" si="83"/>
        <v>1.6202243558389728E-2</v>
      </c>
      <c r="AN118" s="4">
        <f t="shared" si="83"/>
        <v>1.0922240564108399E-2</v>
      </c>
      <c r="AO118" s="4">
        <f t="shared" si="83"/>
        <v>7.3493212906090566E-3</v>
      </c>
      <c r="AP118" s="4">
        <f t="shared" si="83"/>
        <v>4.9390262185057265E-3</v>
      </c>
      <c r="AQ118" s="4">
        <f t="shared" si="83"/>
        <v>3.3164275492956197E-3</v>
      </c>
      <c r="AR118" s="4">
        <f t="shared" si="83"/>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3"/>
        <v>0.9867978615748374</v>
      </c>
      <c r="R119" s="4">
        <f t="shared" si="83"/>
        <v>0.98114509762858249</v>
      </c>
      <c r="S119" s="4">
        <f t="shared" si="83"/>
        <v>0.97311898315872036</v>
      </c>
      <c r="T119" s="4">
        <f t="shared" si="83"/>
        <v>0.96177484161592774</v>
      </c>
      <c r="U119" s="4">
        <f t="shared" si="83"/>
        <v>0.94584787155511363</v>
      </c>
      <c r="V119" s="4">
        <f t="shared" si="83"/>
        <v>0.92370360150141495</v>
      </c>
      <c r="W119" s="4">
        <f t="shared" si="83"/>
        <v>0.89334463567658451</v>
      </c>
      <c r="X119" s="4">
        <f t="shared" si="83"/>
        <v>0.85254543874327005</v>
      </c>
      <c r="Y119" s="4">
        <f t="shared" si="83"/>
        <v>0.79921300652623883</v>
      </c>
      <c r="Z119" s="4">
        <f t="shared" si="83"/>
        <v>0.73204982249993378</v>
      </c>
      <c r="AA119" s="4">
        <f t="shared" si="83"/>
        <v>0.65145592958786691</v>
      </c>
      <c r="AB119" s="4">
        <f t="shared" si="83"/>
        <v>0.56032247880849573</v>
      </c>
      <c r="AC119" s="4">
        <f t="shared" si="83"/>
        <v>0.46411326873185343</v>
      </c>
      <c r="AD119" s="4">
        <f t="shared" si="83"/>
        <v>0.36979727595523937</v>
      </c>
      <c r="AE119" s="4">
        <f t="shared" si="83"/>
        <v>0.28393948637231203</v>
      </c>
      <c r="AF119" s="4">
        <f t="shared" si="83"/>
        <v>0.21097259161117732</v>
      </c>
      <c r="AG119" s="4">
        <f t="shared" si="83"/>
        <v>0.15253917653798199</v>
      </c>
      <c r="AH119" s="4">
        <f t="shared" si="83"/>
        <v>0.10795188737709993</v>
      </c>
      <c r="AI119" s="4">
        <f t="shared" si="83"/>
        <v>7.5176653938091809E-2</v>
      </c>
      <c r="AJ119" s="4">
        <f t="shared" si="83"/>
        <v>5.1742836177502194E-2</v>
      </c>
      <c r="AK119" s="4">
        <f t="shared" si="83"/>
        <v>3.5319190625345942E-2</v>
      </c>
      <c r="AL119" s="4">
        <f t="shared" si="83"/>
        <v>2.3969442072658165E-2</v>
      </c>
      <c r="AM119" s="4">
        <f t="shared" si="83"/>
        <v>1.6202243558389728E-2</v>
      </c>
      <c r="AN119" s="4">
        <f t="shared" si="83"/>
        <v>1.0922240564108399E-2</v>
      </c>
      <c r="AO119" s="4">
        <f t="shared" si="83"/>
        <v>7.3493212906090566E-3</v>
      </c>
      <c r="AP119" s="4">
        <f t="shared" si="83"/>
        <v>4.9390262185057265E-3</v>
      </c>
      <c r="AQ119" s="4">
        <f t="shared" si="83"/>
        <v>3.3164275492956197E-3</v>
      </c>
      <c r="AR119" s="4">
        <f t="shared" si="83"/>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3"/>
        <v>0.9867978615748374</v>
      </c>
      <c r="R120" s="4">
        <f t="shared" si="83"/>
        <v>0.98114509762858249</v>
      </c>
      <c r="S120" s="4">
        <f t="shared" si="83"/>
        <v>0.97311898315872036</v>
      </c>
      <c r="T120" s="4">
        <f t="shared" si="83"/>
        <v>0.96177484161592774</v>
      </c>
      <c r="U120" s="4">
        <f t="shared" si="83"/>
        <v>0.94584787155511363</v>
      </c>
      <c r="V120" s="4">
        <f t="shared" si="83"/>
        <v>0.92370360150141495</v>
      </c>
      <c r="W120" s="4">
        <f t="shared" si="83"/>
        <v>0.89334463567658451</v>
      </c>
      <c r="X120" s="4">
        <f t="shared" si="83"/>
        <v>0.85254543874327005</v>
      </c>
      <c r="Y120" s="4">
        <f t="shared" si="83"/>
        <v>0.79921300652623883</v>
      </c>
      <c r="Z120" s="4">
        <f t="shared" si="83"/>
        <v>0.73204982249993378</v>
      </c>
      <c r="AA120" s="4">
        <f t="shared" si="83"/>
        <v>0.65145592958786691</v>
      </c>
      <c r="AB120" s="4">
        <f t="shared" si="83"/>
        <v>0.56032247880849573</v>
      </c>
      <c r="AC120" s="4">
        <f t="shared" si="83"/>
        <v>0.46411326873185343</v>
      </c>
      <c r="AD120" s="4">
        <f t="shared" si="83"/>
        <v>0.36979727595523937</v>
      </c>
      <c r="AE120" s="4">
        <f t="shared" si="83"/>
        <v>0.28393948637231203</v>
      </c>
      <c r="AF120" s="4">
        <f t="shared" si="83"/>
        <v>0.21097259161117732</v>
      </c>
      <c r="AG120" s="4">
        <f t="shared" si="83"/>
        <v>0.15253917653798199</v>
      </c>
      <c r="AH120" s="4">
        <f t="shared" si="83"/>
        <v>0.10795188737709993</v>
      </c>
      <c r="AI120" s="4">
        <f t="shared" si="83"/>
        <v>7.5176653938091809E-2</v>
      </c>
      <c r="AJ120" s="4">
        <f t="shared" si="83"/>
        <v>5.1742836177502194E-2</v>
      </c>
      <c r="AK120" s="4">
        <f t="shared" si="83"/>
        <v>3.5319190625345942E-2</v>
      </c>
      <c r="AL120" s="4">
        <f t="shared" si="83"/>
        <v>2.3969442072658165E-2</v>
      </c>
      <c r="AM120" s="4">
        <f t="shared" si="83"/>
        <v>1.6202243558389728E-2</v>
      </c>
      <c r="AN120" s="4">
        <f t="shared" si="83"/>
        <v>1.0922240564108399E-2</v>
      </c>
      <c r="AO120" s="4">
        <f t="shared" si="83"/>
        <v>7.3493212906090566E-3</v>
      </c>
      <c r="AP120" s="4">
        <f t="shared" si="83"/>
        <v>4.9390262185057265E-3</v>
      </c>
      <c r="AQ120" s="4">
        <f t="shared" si="83"/>
        <v>3.3164275492956197E-3</v>
      </c>
      <c r="AR120" s="4">
        <f t="shared" si="83"/>
        <v>2.2256362146679809E-3</v>
      </c>
    </row>
    <row r="121" spans="1:44" x14ac:dyDescent="0.25">
      <c r="A121" s="24" t="s">
        <v>79</v>
      </c>
      <c r="B121" s="45">
        <f>'Parameter Input'!$L$154</f>
        <v>0.06</v>
      </c>
      <c r="C121" s="46">
        <f>'Parameter Input'!$M$154</f>
        <v>0.06</v>
      </c>
      <c r="D121" s="1" t="s">
        <v>57</v>
      </c>
      <c r="L121" s="54">
        <f>'Parameter Input'!$O$154</f>
        <v>12</v>
      </c>
      <c r="M121" s="37">
        <v>0</v>
      </c>
      <c r="N121" s="37">
        <v>1</v>
      </c>
      <c r="O121" s="37">
        <f>'Parameter Input'!$P$154</f>
        <v>0.9</v>
      </c>
      <c r="P121" s="55">
        <f>'Parameter Input'!$Q$154</f>
        <v>0.4</v>
      </c>
      <c r="Q121" s="4">
        <f t="shared" si="83"/>
        <v>0.9867978615748374</v>
      </c>
      <c r="R121" s="4">
        <f t="shared" si="83"/>
        <v>0.98114509762858249</v>
      </c>
      <c r="S121" s="4">
        <f t="shared" si="83"/>
        <v>0.97311898315872036</v>
      </c>
      <c r="T121" s="4">
        <f t="shared" si="83"/>
        <v>0.96177484161592774</v>
      </c>
      <c r="U121" s="4">
        <f t="shared" si="83"/>
        <v>0.94584787155511363</v>
      </c>
      <c r="V121" s="4">
        <f t="shared" si="83"/>
        <v>0.92370360150141495</v>
      </c>
      <c r="W121" s="4">
        <f t="shared" si="83"/>
        <v>0.89334463567658451</v>
      </c>
      <c r="X121" s="4">
        <f t="shared" si="83"/>
        <v>0.85254543874327005</v>
      </c>
      <c r="Y121" s="4">
        <f t="shared" si="83"/>
        <v>0.79921300652623883</v>
      </c>
      <c r="Z121" s="4">
        <f t="shared" si="83"/>
        <v>0.73204982249993378</v>
      </c>
      <c r="AA121" s="4">
        <f t="shared" si="83"/>
        <v>0.65145592958786691</v>
      </c>
      <c r="AB121" s="4">
        <f t="shared" si="83"/>
        <v>0.56032247880849573</v>
      </c>
      <c r="AC121" s="4">
        <f t="shared" si="83"/>
        <v>0.46411326873185343</v>
      </c>
      <c r="AD121" s="4">
        <f t="shared" si="83"/>
        <v>0.36979727595523937</v>
      </c>
      <c r="AE121" s="4">
        <f t="shared" si="83"/>
        <v>0.28393948637231203</v>
      </c>
      <c r="AF121" s="4">
        <f t="shared" si="83"/>
        <v>0.21097259161117732</v>
      </c>
      <c r="AG121" s="4">
        <f t="shared" si="83"/>
        <v>0.15253917653798199</v>
      </c>
      <c r="AH121" s="4">
        <f t="shared" si="83"/>
        <v>0.10795188737709993</v>
      </c>
      <c r="AI121" s="4">
        <f t="shared" si="83"/>
        <v>7.5176653938091809E-2</v>
      </c>
      <c r="AJ121" s="4">
        <f t="shared" si="83"/>
        <v>5.1742836177502194E-2</v>
      </c>
      <c r="AK121" s="4">
        <f t="shared" si="83"/>
        <v>3.5319190625345942E-2</v>
      </c>
      <c r="AL121" s="4">
        <f t="shared" si="83"/>
        <v>2.3969442072658165E-2</v>
      </c>
      <c r="AM121" s="4">
        <f t="shared" si="83"/>
        <v>1.6202243558389728E-2</v>
      </c>
      <c r="AN121" s="4">
        <f t="shared" si="83"/>
        <v>1.0922240564108399E-2</v>
      </c>
      <c r="AO121" s="4">
        <f t="shared" si="83"/>
        <v>7.3493212906090566E-3</v>
      </c>
      <c r="AP121" s="4">
        <f t="shared" si="83"/>
        <v>4.9390262185057265E-3</v>
      </c>
      <c r="AQ121" s="4">
        <f t="shared" si="83"/>
        <v>3.3164275492956197E-3</v>
      </c>
      <c r="AR121" s="4">
        <f t="shared" si="83"/>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3"/>
        <v>0.9867978615748374</v>
      </c>
      <c r="R122" s="4">
        <f t="shared" si="83"/>
        <v>0.98114509762858249</v>
      </c>
      <c r="S122" s="4">
        <f t="shared" si="83"/>
        <v>0.97311898315872036</v>
      </c>
      <c r="T122" s="4">
        <f t="shared" si="83"/>
        <v>0.96177484161592774</v>
      </c>
      <c r="U122" s="4">
        <f t="shared" si="83"/>
        <v>0.94584787155511363</v>
      </c>
      <c r="V122" s="4">
        <f t="shared" si="83"/>
        <v>0.92370360150141495</v>
      </c>
      <c r="W122" s="4">
        <f t="shared" si="83"/>
        <v>0.89334463567658451</v>
      </c>
      <c r="X122" s="4">
        <f t="shared" si="83"/>
        <v>0.85254543874327005</v>
      </c>
      <c r="Y122" s="4">
        <f t="shared" si="83"/>
        <v>0.79921300652623883</v>
      </c>
      <c r="Z122" s="4">
        <f t="shared" si="83"/>
        <v>0.73204982249993378</v>
      </c>
      <c r="AA122" s="4">
        <f t="shared" si="83"/>
        <v>0.65145592958786691</v>
      </c>
      <c r="AB122" s="4">
        <f t="shared" si="83"/>
        <v>0.56032247880849573</v>
      </c>
      <c r="AC122" s="4">
        <f t="shared" si="83"/>
        <v>0.46411326873185343</v>
      </c>
      <c r="AD122" s="4">
        <f t="shared" si="83"/>
        <v>0.36979727595523937</v>
      </c>
      <c r="AE122" s="4">
        <f t="shared" si="83"/>
        <v>0.28393948637231203</v>
      </c>
      <c r="AF122" s="4">
        <f t="shared" si="83"/>
        <v>0.21097259161117732</v>
      </c>
      <c r="AG122" s="4">
        <f t="shared" si="83"/>
        <v>0.15253917653798199</v>
      </c>
      <c r="AH122" s="4">
        <f t="shared" si="83"/>
        <v>0.10795188737709993</v>
      </c>
      <c r="AI122" s="4">
        <f t="shared" si="83"/>
        <v>7.5176653938091809E-2</v>
      </c>
      <c r="AJ122" s="4">
        <f t="shared" si="83"/>
        <v>5.1742836177502194E-2</v>
      </c>
      <c r="AK122" s="4">
        <f t="shared" si="83"/>
        <v>3.5319190625345942E-2</v>
      </c>
      <c r="AL122" s="4">
        <f t="shared" si="83"/>
        <v>2.3969442072658165E-2</v>
      </c>
      <c r="AM122" s="4">
        <f t="shared" si="83"/>
        <v>1.6202243558389728E-2</v>
      </c>
      <c r="AN122" s="4">
        <f t="shared" si="83"/>
        <v>1.0922240564108399E-2</v>
      </c>
      <c r="AO122" s="4">
        <f t="shared" si="83"/>
        <v>7.3493212906090566E-3</v>
      </c>
      <c r="AP122" s="4">
        <f t="shared" si="83"/>
        <v>4.9390262185057265E-3</v>
      </c>
      <c r="AQ122" s="4">
        <f t="shared" si="83"/>
        <v>3.3164275492956197E-3</v>
      </c>
      <c r="AR122" s="4">
        <f t="shared" si="83"/>
        <v>2.2256362146679809E-3</v>
      </c>
    </row>
    <row r="123" spans="1:44" x14ac:dyDescent="0.25">
      <c r="A123" s="24" t="s">
        <v>52</v>
      </c>
      <c r="B123" s="43">
        <f>'Parameter Input'!$L$150</f>
        <v>1050000</v>
      </c>
      <c r="C123" s="44">
        <f>'Parameter Input'!$M$150</f>
        <v>1050000</v>
      </c>
      <c r="D123" s="1" t="s">
        <v>38</v>
      </c>
      <c r="L123" s="54">
        <f>'Parameter Input'!$O$150</f>
        <v>12</v>
      </c>
      <c r="M123" s="37">
        <v>0</v>
      </c>
      <c r="N123" s="37">
        <v>1</v>
      </c>
      <c r="O123" s="37">
        <f>'Parameter Input'!$P$150</f>
        <v>0.9</v>
      </c>
      <c r="P123" s="55">
        <f>'Parameter Input'!$Q$150</f>
        <v>0.4</v>
      </c>
      <c r="Q123" s="4">
        <f t="shared" si="83"/>
        <v>0.9867978615748374</v>
      </c>
      <c r="R123" s="4">
        <f t="shared" si="83"/>
        <v>0.98114509762858249</v>
      </c>
      <c r="S123" s="4">
        <f t="shared" si="83"/>
        <v>0.97311898315872036</v>
      </c>
      <c r="T123" s="4">
        <f t="shared" si="83"/>
        <v>0.96177484161592774</v>
      </c>
      <c r="U123" s="4">
        <f t="shared" si="83"/>
        <v>0.94584787155511363</v>
      </c>
      <c r="V123" s="4">
        <f t="shared" si="83"/>
        <v>0.92370360150141495</v>
      </c>
      <c r="W123" s="4">
        <f t="shared" si="83"/>
        <v>0.89334463567658451</v>
      </c>
      <c r="X123" s="4">
        <f t="shared" si="83"/>
        <v>0.85254543874327005</v>
      </c>
      <c r="Y123" s="4">
        <f t="shared" si="83"/>
        <v>0.79921300652623883</v>
      </c>
      <c r="Z123" s="4">
        <f t="shared" si="83"/>
        <v>0.73204982249993378</v>
      </c>
      <c r="AA123" s="4">
        <f t="shared" si="83"/>
        <v>0.65145592958786691</v>
      </c>
      <c r="AB123" s="4">
        <f t="shared" si="83"/>
        <v>0.56032247880849573</v>
      </c>
      <c r="AC123" s="4">
        <f t="shared" si="83"/>
        <v>0.46411326873185343</v>
      </c>
      <c r="AD123" s="4">
        <f t="shared" si="83"/>
        <v>0.36979727595523937</v>
      </c>
      <c r="AE123" s="4">
        <f t="shared" si="83"/>
        <v>0.28393948637231203</v>
      </c>
      <c r="AF123" s="4">
        <f t="shared" si="83"/>
        <v>0.21097259161117732</v>
      </c>
      <c r="AG123" s="4">
        <f t="shared" si="83"/>
        <v>0.15253917653798199</v>
      </c>
      <c r="AH123" s="4">
        <f t="shared" si="83"/>
        <v>0.10795188737709993</v>
      </c>
      <c r="AI123" s="4">
        <f t="shared" si="83"/>
        <v>7.5176653938091809E-2</v>
      </c>
      <c r="AJ123" s="4">
        <f t="shared" si="83"/>
        <v>5.1742836177502194E-2</v>
      </c>
      <c r="AK123" s="4">
        <f t="shared" si="83"/>
        <v>3.5319190625345942E-2</v>
      </c>
      <c r="AL123" s="4">
        <f t="shared" si="83"/>
        <v>2.3969442072658165E-2</v>
      </c>
      <c r="AM123" s="4">
        <f t="shared" si="83"/>
        <v>1.6202243558389728E-2</v>
      </c>
      <c r="AN123" s="4">
        <f t="shared" si="83"/>
        <v>1.0922240564108399E-2</v>
      </c>
      <c r="AO123" s="4">
        <f t="shared" si="83"/>
        <v>7.3493212906090566E-3</v>
      </c>
      <c r="AP123" s="4">
        <f t="shared" si="83"/>
        <v>4.9390262185057265E-3</v>
      </c>
      <c r="AQ123" s="4">
        <f t="shared" si="83"/>
        <v>3.3164275492956197E-3</v>
      </c>
      <c r="AR123" s="4">
        <f t="shared" si="83"/>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3"/>
        <v>0.9867978615748374</v>
      </c>
      <c r="R124" s="4">
        <f t="shared" si="83"/>
        <v>0.98114509762858249</v>
      </c>
      <c r="S124" s="4">
        <f t="shared" si="83"/>
        <v>0.97311898315872036</v>
      </c>
      <c r="T124" s="4">
        <f t="shared" si="83"/>
        <v>0.96177484161592774</v>
      </c>
      <c r="U124" s="4">
        <f t="shared" si="83"/>
        <v>0.94584787155511363</v>
      </c>
      <c r="V124" s="4">
        <f t="shared" si="83"/>
        <v>0.92370360150141495</v>
      </c>
      <c r="W124" s="4">
        <f t="shared" si="83"/>
        <v>0.89334463567658451</v>
      </c>
      <c r="X124" s="4">
        <f t="shared" si="83"/>
        <v>0.85254543874327005</v>
      </c>
      <c r="Y124" s="4">
        <f t="shared" si="83"/>
        <v>0.79921300652623883</v>
      </c>
      <c r="Z124" s="4">
        <f t="shared" si="83"/>
        <v>0.73204982249993378</v>
      </c>
      <c r="AA124" s="4">
        <f t="shared" si="83"/>
        <v>0.65145592958786691</v>
      </c>
      <c r="AB124" s="4">
        <f t="shared" si="83"/>
        <v>0.56032247880849573</v>
      </c>
      <c r="AC124" s="4">
        <f t="shared" si="83"/>
        <v>0.46411326873185343</v>
      </c>
      <c r="AD124" s="4">
        <f t="shared" si="83"/>
        <v>0.36979727595523937</v>
      </c>
      <c r="AE124" s="4">
        <f t="shared" si="83"/>
        <v>0.28393948637231203</v>
      </c>
      <c r="AF124" s="4">
        <f t="shared" si="83"/>
        <v>0.21097259161117732</v>
      </c>
      <c r="AG124" s="4">
        <f t="shared" si="83"/>
        <v>0.15253917653798199</v>
      </c>
      <c r="AH124" s="4">
        <f t="shared" si="83"/>
        <v>0.10795188737709993</v>
      </c>
      <c r="AI124" s="4">
        <f t="shared" si="83"/>
        <v>7.5176653938091809E-2</v>
      </c>
      <c r="AJ124" s="4">
        <f t="shared" si="83"/>
        <v>5.1742836177502194E-2</v>
      </c>
      <c r="AK124" s="4">
        <f t="shared" si="83"/>
        <v>3.5319190625345942E-2</v>
      </c>
      <c r="AL124" s="4">
        <f t="shared" si="83"/>
        <v>2.3969442072658165E-2</v>
      </c>
      <c r="AM124" s="4">
        <f t="shared" si="83"/>
        <v>1.6202243558389728E-2</v>
      </c>
      <c r="AN124" s="4">
        <f t="shared" si="83"/>
        <v>1.0922240564108399E-2</v>
      </c>
      <c r="AO124" s="4">
        <f t="shared" si="83"/>
        <v>7.3493212906090566E-3</v>
      </c>
      <c r="AP124" s="4">
        <f t="shared" si="83"/>
        <v>4.9390262185057265E-3</v>
      </c>
      <c r="AQ124" s="4">
        <f t="shared" si="83"/>
        <v>3.3164275492956197E-3</v>
      </c>
      <c r="AR124" s="4">
        <f t="shared" si="83"/>
        <v>2.2256362146679809E-3</v>
      </c>
    </row>
    <row r="125" spans="1:44" x14ac:dyDescent="0.25">
      <c r="A125" s="24" t="s">
        <v>59</v>
      </c>
      <c r="B125" s="47">
        <f>'Parameter Input'!$L$151</f>
        <v>76.777599999999993</v>
      </c>
      <c r="C125" s="48">
        <f>'Parameter Input'!$M$151</f>
        <v>76.777599999999993</v>
      </c>
      <c r="D125" s="1" t="s">
        <v>60</v>
      </c>
      <c r="L125" s="54">
        <f>'Parameter Input'!$O$151</f>
        <v>12</v>
      </c>
      <c r="M125" s="37">
        <v>0</v>
      </c>
      <c r="N125" s="37">
        <v>1</v>
      </c>
      <c r="O125" s="37">
        <f>'Parameter Input'!$P$151</f>
        <v>0.9</v>
      </c>
      <c r="P125" s="55">
        <f>'Parameter Input'!$Q$151</f>
        <v>0.4</v>
      </c>
      <c r="Q125" s="4">
        <f t="shared" si="83"/>
        <v>0.9867978615748374</v>
      </c>
      <c r="R125" s="4">
        <f t="shared" si="83"/>
        <v>0.98114509762858249</v>
      </c>
      <c r="S125" s="4">
        <f t="shared" si="83"/>
        <v>0.97311898315872036</v>
      </c>
      <c r="T125" s="4">
        <f t="shared" si="83"/>
        <v>0.96177484161592774</v>
      </c>
      <c r="U125" s="4">
        <f t="shared" si="83"/>
        <v>0.94584787155511363</v>
      </c>
      <c r="V125" s="4">
        <f t="shared" si="83"/>
        <v>0.92370360150141495</v>
      </c>
      <c r="W125" s="4">
        <f t="shared" si="83"/>
        <v>0.89334463567658451</v>
      </c>
      <c r="X125" s="4">
        <f t="shared" si="83"/>
        <v>0.85254543874327005</v>
      </c>
      <c r="Y125" s="4">
        <f t="shared" si="83"/>
        <v>0.79921300652623883</v>
      </c>
      <c r="Z125" s="4">
        <f t="shared" si="83"/>
        <v>0.73204982249993378</v>
      </c>
      <c r="AA125" s="4">
        <f t="shared" si="83"/>
        <v>0.65145592958786691</v>
      </c>
      <c r="AB125" s="4">
        <f t="shared" si="83"/>
        <v>0.56032247880849573</v>
      </c>
      <c r="AC125" s="4">
        <f t="shared" si="83"/>
        <v>0.46411326873185343</v>
      </c>
      <c r="AD125" s="4">
        <f t="shared" si="83"/>
        <v>0.36979727595523937</v>
      </c>
      <c r="AE125" s="4">
        <f t="shared" si="83"/>
        <v>0.28393948637231203</v>
      </c>
      <c r="AF125" s="4">
        <f t="shared" si="83"/>
        <v>0.21097259161117732</v>
      </c>
      <c r="AG125" s="4">
        <f t="shared" si="83"/>
        <v>0.15253917653798199</v>
      </c>
      <c r="AH125" s="4">
        <f t="shared" si="83"/>
        <v>0.10795188737709993</v>
      </c>
      <c r="AI125" s="4">
        <f t="shared" si="83"/>
        <v>7.5176653938091809E-2</v>
      </c>
      <c r="AJ125" s="4">
        <f t="shared" si="83"/>
        <v>5.1742836177502194E-2</v>
      </c>
      <c r="AK125" s="4">
        <f t="shared" si="83"/>
        <v>3.5319190625345942E-2</v>
      </c>
      <c r="AL125" s="4">
        <f t="shared" si="83"/>
        <v>2.3969442072658165E-2</v>
      </c>
      <c r="AM125" s="4">
        <f t="shared" si="83"/>
        <v>1.6202243558389728E-2</v>
      </c>
      <c r="AN125" s="4">
        <f t="shared" si="83"/>
        <v>1.0922240564108399E-2</v>
      </c>
      <c r="AO125" s="4">
        <f t="shared" si="83"/>
        <v>7.3493212906090566E-3</v>
      </c>
      <c r="AP125" s="4">
        <f t="shared" si="83"/>
        <v>4.9390262185057265E-3</v>
      </c>
      <c r="AQ125" s="4">
        <f t="shared" si="83"/>
        <v>3.3164275492956197E-3</v>
      </c>
      <c r="AR125" s="4">
        <f t="shared" si="83"/>
        <v>2.2256362146679809E-3</v>
      </c>
    </row>
    <row r="126" spans="1:44" x14ac:dyDescent="0.25">
      <c r="A126" s="24" t="s">
        <v>67</v>
      </c>
      <c r="B126" s="45">
        <f>'Parameter Input'!$L$152</f>
        <v>0.1</v>
      </c>
      <c r="C126" s="46">
        <f>'Parameter Input'!$M$152</f>
        <v>0.1</v>
      </c>
      <c r="D126" s="1" t="s">
        <v>68</v>
      </c>
      <c r="L126" s="54">
        <f>'Parameter Input'!$O$152</f>
        <v>12</v>
      </c>
      <c r="M126" s="37">
        <v>0</v>
      </c>
      <c r="N126" s="37">
        <v>1</v>
      </c>
      <c r="O126" s="37">
        <f>'Parameter Input'!$P$152</f>
        <v>0.9</v>
      </c>
      <c r="P126" s="55">
        <f>'Parameter Input'!$Q$152</f>
        <v>0.4</v>
      </c>
      <c r="Q126" s="4">
        <f t="shared" si="83"/>
        <v>0.9867978615748374</v>
      </c>
      <c r="R126" s="4">
        <f t="shared" si="83"/>
        <v>0.98114509762858249</v>
      </c>
      <c r="S126" s="4">
        <f t="shared" si="83"/>
        <v>0.97311898315872036</v>
      </c>
      <c r="T126" s="4">
        <f t="shared" ref="T126:AI133" si="84">$N126+($M126-$N126)*((1/(1+EXP(-$P126*(T$9-$L126)))^$O126))</f>
        <v>0.96177484161592774</v>
      </c>
      <c r="U126" s="4">
        <f t="shared" si="84"/>
        <v>0.94584787155511363</v>
      </c>
      <c r="V126" s="4">
        <f t="shared" si="84"/>
        <v>0.92370360150141495</v>
      </c>
      <c r="W126" s="4">
        <f t="shared" si="84"/>
        <v>0.89334463567658451</v>
      </c>
      <c r="X126" s="4">
        <f t="shared" si="84"/>
        <v>0.85254543874327005</v>
      </c>
      <c r="Y126" s="4">
        <f t="shared" si="84"/>
        <v>0.79921300652623883</v>
      </c>
      <c r="Z126" s="4">
        <f t="shared" si="84"/>
        <v>0.73204982249993378</v>
      </c>
      <c r="AA126" s="4">
        <f t="shared" si="84"/>
        <v>0.65145592958786691</v>
      </c>
      <c r="AB126" s="4">
        <f t="shared" si="84"/>
        <v>0.56032247880849573</v>
      </c>
      <c r="AC126" s="4">
        <f t="shared" si="84"/>
        <v>0.46411326873185343</v>
      </c>
      <c r="AD126" s="4">
        <f t="shared" si="84"/>
        <v>0.36979727595523937</v>
      </c>
      <c r="AE126" s="4">
        <f t="shared" si="84"/>
        <v>0.28393948637231203</v>
      </c>
      <c r="AF126" s="4">
        <f t="shared" si="84"/>
        <v>0.21097259161117732</v>
      </c>
      <c r="AG126" s="4">
        <f t="shared" si="84"/>
        <v>0.15253917653798199</v>
      </c>
      <c r="AH126" s="4">
        <f t="shared" si="84"/>
        <v>0.10795188737709993</v>
      </c>
      <c r="AI126" s="4">
        <f t="shared" si="84"/>
        <v>7.5176653938091809E-2</v>
      </c>
      <c r="AJ126" s="4">
        <f t="shared" ref="AJ126:AR133" si="85">$N126+($M126-$N126)*((1/(1+EXP(-$P126*(AJ$9-$L126)))^$O126))</f>
        <v>5.1742836177502194E-2</v>
      </c>
      <c r="AK126" s="4">
        <f t="shared" si="85"/>
        <v>3.5319190625345942E-2</v>
      </c>
      <c r="AL126" s="4">
        <f t="shared" si="85"/>
        <v>2.3969442072658165E-2</v>
      </c>
      <c r="AM126" s="4">
        <f t="shared" si="85"/>
        <v>1.6202243558389728E-2</v>
      </c>
      <c r="AN126" s="4">
        <f t="shared" si="85"/>
        <v>1.0922240564108399E-2</v>
      </c>
      <c r="AO126" s="4">
        <f t="shared" si="85"/>
        <v>7.3493212906090566E-3</v>
      </c>
      <c r="AP126" s="4">
        <f t="shared" si="85"/>
        <v>4.9390262185057265E-3</v>
      </c>
      <c r="AQ126" s="4">
        <f t="shared" si="85"/>
        <v>3.3164275492956197E-3</v>
      </c>
      <c r="AR126" s="4">
        <f t="shared" si="85"/>
        <v>2.2256362146679809E-3</v>
      </c>
    </row>
    <row r="127" spans="1:44" x14ac:dyDescent="0.25">
      <c r="A127" s="24" t="s">
        <v>206</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6">$N127+($M127-$N127)*((1/(1+EXP(-$P127*(Q$9-$L127)))^$O127))</f>
        <v>0.99780374543478534</v>
      </c>
      <c r="R127" s="4">
        <f t="shared" si="86"/>
        <v>0.99685359315256394</v>
      </c>
      <c r="S127" s="4">
        <f t="shared" si="86"/>
        <v>0.99549347132349975</v>
      </c>
      <c r="T127" s="4">
        <f t="shared" si="86"/>
        <v>0.99354772139898062</v>
      </c>
      <c r="U127" s="4">
        <f t="shared" si="86"/>
        <v>0.99076681540580536</v>
      </c>
      <c r="V127" s="4">
        <f t="shared" si="86"/>
        <v>0.9867978615748374</v>
      </c>
      <c r="W127" s="4">
        <f t="shared" si="86"/>
        <v>0.98114509762858249</v>
      </c>
      <c r="X127" s="4">
        <f t="shared" si="86"/>
        <v>0.97311898315872036</v>
      </c>
      <c r="Y127" s="4">
        <f t="shared" si="86"/>
        <v>0.96177484161592774</v>
      </c>
      <c r="Z127" s="4">
        <f t="shared" si="86"/>
        <v>0.94584787155511363</v>
      </c>
      <c r="AA127" s="4">
        <f t="shared" si="86"/>
        <v>0.92370360150141495</v>
      </c>
      <c r="AB127" s="4">
        <f t="shared" si="86"/>
        <v>0.89334463567658451</v>
      </c>
      <c r="AC127" s="4">
        <f t="shared" si="86"/>
        <v>0.85254543874327005</v>
      </c>
      <c r="AD127" s="4">
        <f t="shared" si="86"/>
        <v>0.79921300652623883</v>
      </c>
      <c r="AE127" s="4">
        <f t="shared" si="86"/>
        <v>0.73204982249993378</v>
      </c>
      <c r="AF127" s="4">
        <f t="shared" si="86"/>
        <v>0.65145592958786691</v>
      </c>
      <c r="AG127" s="4">
        <f t="shared" si="86"/>
        <v>0.56032247880849573</v>
      </c>
      <c r="AH127" s="4">
        <f t="shared" si="86"/>
        <v>0.46411326873185343</v>
      </c>
      <c r="AI127" s="4">
        <f t="shared" si="86"/>
        <v>0.36979727595523937</v>
      </c>
      <c r="AJ127" s="4">
        <f t="shared" si="86"/>
        <v>0.28393948637231203</v>
      </c>
      <c r="AK127" s="4">
        <f t="shared" si="86"/>
        <v>0.21097259161117732</v>
      </c>
      <c r="AL127" s="4">
        <f t="shared" si="86"/>
        <v>0.15253917653798199</v>
      </c>
      <c r="AM127" s="4">
        <f t="shared" si="86"/>
        <v>0.10795188737709993</v>
      </c>
      <c r="AN127" s="4">
        <f t="shared" si="86"/>
        <v>7.5176653938091809E-2</v>
      </c>
      <c r="AO127" s="4">
        <f t="shared" si="86"/>
        <v>5.1742836177502194E-2</v>
      </c>
      <c r="AP127" s="4">
        <f t="shared" si="86"/>
        <v>3.5319190625345942E-2</v>
      </c>
      <c r="AQ127" s="4">
        <f t="shared" si="86"/>
        <v>2.3969442072658165E-2</v>
      </c>
      <c r="AR127" s="4">
        <f t="shared" si="86"/>
        <v>1.6202243558389728E-2</v>
      </c>
    </row>
    <row r="128" spans="1:44" x14ac:dyDescent="0.25">
      <c r="A128" s="24" t="s">
        <v>41</v>
      </c>
      <c r="B128" s="43">
        <f>'Parameter Input'!$L$149</f>
        <v>20</v>
      </c>
      <c r="C128" s="44">
        <f>'Parameter Input'!$M$149</f>
        <v>20</v>
      </c>
      <c r="D128" s="1" t="s">
        <v>42</v>
      </c>
      <c r="L128" s="54">
        <f>'Parameter Input'!$O$149</f>
        <v>12</v>
      </c>
      <c r="M128" s="37">
        <v>0</v>
      </c>
      <c r="N128" s="37">
        <v>1</v>
      </c>
      <c r="O128" s="37">
        <f>'Parameter Input'!$P$149</f>
        <v>0.9</v>
      </c>
      <c r="P128" s="55">
        <f>'Parameter Input'!$Q$149</f>
        <v>0.4</v>
      </c>
      <c r="Q128" s="4">
        <f t="shared" ref="Q128:AF133" si="87">$N128+($M128-$N128)*((1/(1+EXP(-$P128*(Q$9-$L128)))^$O128))</f>
        <v>0.9867978615748374</v>
      </c>
      <c r="R128" s="4">
        <f t="shared" si="87"/>
        <v>0.98114509762858249</v>
      </c>
      <c r="S128" s="4">
        <f t="shared" si="87"/>
        <v>0.97311898315872036</v>
      </c>
      <c r="T128" s="4">
        <f t="shared" si="87"/>
        <v>0.96177484161592774</v>
      </c>
      <c r="U128" s="4">
        <f t="shared" si="87"/>
        <v>0.94584787155511363</v>
      </c>
      <c r="V128" s="4">
        <f t="shared" si="87"/>
        <v>0.92370360150141495</v>
      </c>
      <c r="W128" s="4">
        <f t="shared" si="87"/>
        <v>0.89334463567658451</v>
      </c>
      <c r="X128" s="4">
        <f t="shared" si="87"/>
        <v>0.85254543874327005</v>
      </c>
      <c r="Y128" s="4">
        <f t="shared" si="87"/>
        <v>0.79921300652623883</v>
      </c>
      <c r="Z128" s="4">
        <f t="shared" si="87"/>
        <v>0.73204982249993378</v>
      </c>
      <c r="AA128" s="4">
        <f t="shared" si="87"/>
        <v>0.65145592958786691</v>
      </c>
      <c r="AB128" s="4">
        <f t="shared" si="87"/>
        <v>0.56032247880849573</v>
      </c>
      <c r="AC128" s="4">
        <f t="shared" si="87"/>
        <v>0.46411326873185343</v>
      </c>
      <c r="AD128" s="4">
        <f t="shared" si="87"/>
        <v>0.36979727595523937</v>
      </c>
      <c r="AE128" s="4">
        <f t="shared" si="87"/>
        <v>0.28393948637231203</v>
      </c>
      <c r="AF128" s="4">
        <f t="shared" si="87"/>
        <v>0.21097259161117732</v>
      </c>
      <c r="AG128" s="4">
        <f t="shared" si="84"/>
        <v>0.15253917653798199</v>
      </c>
      <c r="AH128" s="4">
        <f t="shared" si="84"/>
        <v>0.10795188737709993</v>
      </c>
      <c r="AI128" s="4">
        <f t="shared" si="84"/>
        <v>7.5176653938091809E-2</v>
      </c>
      <c r="AJ128" s="4">
        <f t="shared" si="85"/>
        <v>5.1742836177502194E-2</v>
      </c>
      <c r="AK128" s="4">
        <f t="shared" si="85"/>
        <v>3.5319190625345942E-2</v>
      </c>
      <c r="AL128" s="4">
        <f t="shared" si="85"/>
        <v>2.3969442072658165E-2</v>
      </c>
      <c r="AM128" s="4">
        <f t="shared" si="85"/>
        <v>1.6202243558389728E-2</v>
      </c>
      <c r="AN128" s="4">
        <f t="shared" si="85"/>
        <v>1.0922240564108399E-2</v>
      </c>
      <c r="AO128" s="4">
        <f t="shared" si="85"/>
        <v>7.3493212906090566E-3</v>
      </c>
      <c r="AP128" s="4">
        <f t="shared" si="85"/>
        <v>4.9390262185057265E-3</v>
      </c>
      <c r="AQ128" s="4">
        <f t="shared" si="85"/>
        <v>3.3164275492956197E-3</v>
      </c>
      <c r="AR128" s="4">
        <f t="shared" si="85"/>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7"/>
        <v>0.9867978615748374</v>
      </c>
      <c r="R129" s="4">
        <f t="shared" si="87"/>
        <v>0.98114509762858249</v>
      </c>
      <c r="S129" s="4">
        <f t="shared" si="87"/>
        <v>0.97311898315872036</v>
      </c>
      <c r="T129" s="4">
        <f t="shared" si="87"/>
        <v>0.96177484161592774</v>
      </c>
      <c r="U129" s="4">
        <f t="shared" si="87"/>
        <v>0.94584787155511363</v>
      </c>
      <c r="V129" s="4">
        <f t="shared" si="87"/>
        <v>0.92370360150141495</v>
      </c>
      <c r="W129" s="4">
        <f t="shared" si="87"/>
        <v>0.89334463567658451</v>
      </c>
      <c r="X129" s="4">
        <f t="shared" si="87"/>
        <v>0.85254543874327005</v>
      </c>
      <c r="Y129" s="4">
        <f t="shared" si="87"/>
        <v>0.79921300652623883</v>
      </c>
      <c r="Z129" s="4">
        <f t="shared" si="87"/>
        <v>0.73204982249993378</v>
      </c>
      <c r="AA129" s="4">
        <f t="shared" si="87"/>
        <v>0.65145592958786691</v>
      </c>
      <c r="AB129" s="4">
        <f t="shared" si="87"/>
        <v>0.56032247880849573</v>
      </c>
      <c r="AC129" s="4">
        <f t="shared" si="87"/>
        <v>0.46411326873185343</v>
      </c>
      <c r="AD129" s="4">
        <f t="shared" si="87"/>
        <v>0.36979727595523937</v>
      </c>
      <c r="AE129" s="4">
        <f t="shared" si="87"/>
        <v>0.28393948637231203</v>
      </c>
      <c r="AF129" s="4">
        <f t="shared" si="87"/>
        <v>0.21097259161117732</v>
      </c>
      <c r="AG129" s="4">
        <f t="shared" si="84"/>
        <v>0.15253917653798199</v>
      </c>
      <c r="AH129" s="4">
        <f t="shared" si="84"/>
        <v>0.10795188737709993</v>
      </c>
      <c r="AI129" s="4">
        <f t="shared" si="84"/>
        <v>7.5176653938091809E-2</v>
      </c>
      <c r="AJ129" s="4">
        <f t="shared" si="85"/>
        <v>5.1742836177502194E-2</v>
      </c>
      <c r="AK129" s="4">
        <f t="shared" si="85"/>
        <v>3.5319190625345942E-2</v>
      </c>
      <c r="AL129" s="4">
        <f t="shared" si="85"/>
        <v>2.3969442072658165E-2</v>
      </c>
      <c r="AM129" s="4">
        <f t="shared" si="85"/>
        <v>1.6202243558389728E-2</v>
      </c>
      <c r="AN129" s="4">
        <f t="shared" si="85"/>
        <v>1.0922240564108399E-2</v>
      </c>
      <c r="AO129" s="4">
        <f t="shared" si="85"/>
        <v>7.3493212906090566E-3</v>
      </c>
      <c r="AP129" s="4">
        <f t="shared" si="85"/>
        <v>4.9390262185057265E-3</v>
      </c>
      <c r="AQ129" s="4">
        <f t="shared" si="85"/>
        <v>3.3164275492956197E-3</v>
      </c>
      <c r="AR129" s="4">
        <f t="shared" si="85"/>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7"/>
        <v>0.9867978615748374</v>
      </c>
      <c r="R130" s="4">
        <f t="shared" si="87"/>
        <v>0.98114509762858249</v>
      </c>
      <c r="S130" s="4">
        <f t="shared" si="87"/>
        <v>0.97311898315872036</v>
      </c>
      <c r="T130" s="4">
        <f t="shared" si="87"/>
        <v>0.96177484161592774</v>
      </c>
      <c r="U130" s="4">
        <f t="shared" si="87"/>
        <v>0.94584787155511363</v>
      </c>
      <c r="V130" s="4">
        <f t="shared" si="87"/>
        <v>0.92370360150141495</v>
      </c>
      <c r="W130" s="4">
        <f t="shared" si="87"/>
        <v>0.89334463567658451</v>
      </c>
      <c r="X130" s="4">
        <f t="shared" si="87"/>
        <v>0.85254543874327005</v>
      </c>
      <c r="Y130" s="4">
        <f t="shared" si="87"/>
        <v>0.79921300652623883</v>
      </c>
      <c r="Z130" s="4">
        <f t="shared" si="87"/>
        <v>0.73204982249993378</v>
      </c>
      <c r="AA130" s="4">
        <f t="shared" si="87"/>
        <v>0.65145592958786691</v>
      </c>
      <c r="AB130" s="4">
        <f t="shared" si="87"/>
        <v>0.56032247880849573</v>
      </c>
      <c r="AC130" s="4">
        <f t="shared" si="87"/>
        <v>0.46411326873185343</v>
      </c>
      <c r="AD130" s="4">
        <f t="shared" si="87"/>
        <v>0.36979727595523937</v>
      </c>
      <c r="AE130" s="4">
        <f t="shared" si="87"/>
        <v>0.28393948637231203</v>
      </c>
      <c r="AF130" s="4">
        <f t="shared" si="87"/>
        <v>0.21097259161117732</v>
      </c>
      <c r="AG130" s="4">
        <f t="shared" si="84"/>
        <v>0.15253917653798199</v>
      </c>
      <c r="AH130" s="4">
        <f t="shared" si="84"/>
        <v>0.10795188737709993</v>
      </c>
      <c r="AI130" s="4">
        <f t="shared" si="84"/>
        <v>7.5176653938091809E-2</v>
      </c>
      <c r="AJ130" s="4">
        <f t="shared" si="85"/>
        <v>5.1742836177502194E-2</v>
      </c>
      <c r="AK130" s="4">
        <f t="shared" si="85"/>
        <v>3.5319190625345942E-2</v>
      </c>
      <c r="AL130" s="4">
        <f t="shared" si="85"/>
        <v>2.3969442072658165E-2</v>
      </c>
      <c r="AM130" s="4">
        <f t="shared" si="85"/>
        <v>1.6202243558389728E-2</v>
      </c>
      <c r="AN130" s="4">
        <f t="shared" si="85"/>
        <v>1.0922240564108399E-2</v>
      </c>
      <c r="AO130" s="4">
        <f t="shared" si="85"/>
        <v>7.3493212906090566E-3</v>
      </c>
      <c r="AP130" s="4">
        <f t="shared" si="85"/>
        <v>4.9390262185057265E-3</v>
      </c>
      <c r="AQ130" s="4">
        <f t="shared" si="85"/>
        <v>3.3164275492956197E-3</v>
      </c>
      <c r="AR130" s="4">
        <f t="shared" si="85"/>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7"/>
        <v>0.9867978615748374</v>
      </c>
      <c r="R131" s="4">
        <f t="shared" si="87"/>
        <v>0.98114509762858249</v>
      </c>
      <c r="S131" s="4">
        <f t="shared" si="87"/>
        <v>0.97311898315872036</v>
      </c>
      <c r="T131" s="4">
        <f t="shared" si="87"/>
        <v>0.96177484161592774</v>
      </c>
      <c r="U131" s="4">
        <f t="shared" si="87"/>
        <v>0.94584787155511363</v>
      </c>
      <c r="V131" s="4">
        <f t="shared" si="87"/>
        <v>0.92370360150141495</v>
      </c>
      <c r="W131" s="4">
        <f t="shared" si="87"/>
        <v>0.89334463567658451</v>
      </c>
      <c r="X131" s="4">
        <f t="shared" si="87"/>
        <v>0.85254543874327005</v>
      </c>
      <c r="Y131" s="4">
        <f t="shared" si="87"/>
        <v>0.79921300652623883</v>
      </c>
      <c r="Z131" s="4">
        <f t="shared" si="87"/>
        <v>0.73204982249993378</v>
      </c>
      <c r="AA131" s="4">
        <f t="shared" si="87"/>
        <v>0.65145592958786691</v>
      </c>
      <c r="AB131" s="4">
        <f t="shared" si="87"/>
        <v>0.56032247880849573</v>
      </c>
      <c r="AC131" s="4">
        <f t="shared" si="87"/>
        <v>0.46411326873185343</v>
      </c>
      <c r="AD131" s="4">
        <f t="shared" si="87"/>
        <v>0.36979727595523937</v>
      </c>
      <c r="AE131" s="4">
        <f t="shared" si="87"/>
        <v>0.28393948637231203</v>
      </c>
      <c r="AF131" s="4">
        <f t="shared" si="87"/>
        <v>0.21097259161117732</v>
      </c>
      <c r="AG131" s="4">
        <f t="shared" si="84"/>
        <v>0.15253917653798199</v>
      </c>
      <c r="AH131" s="4">
        <f t="shared" si="84"/>
        <v>0.10795188737709993</v>
      </c>
      <c r="AI131" s="4">
        <f t="shared" si="84"/>
        <v>7.5176653938091809E-2</v>
      </c>
      <c r="AJ131" s="4">
        <f t="shared" si="85"/>
        <v>5.1742836177502194E-2</v>
      </c>
      <c r="AK131" s="4">
        <f t="shared" si="85"/>
        <v>3.5319190625345942E-2</v>
      </c>
      <c r="AL131" s="4">
        <f t="shared" si="85"/>
        <v>2.3969442072658165E-2</v>
      </c>
      <c r="AM131" s="4">
        <f t="shared" si="85"/>
        <v>1.6202243558389728E-2</v>
      </c>
      <c r="AN131" s="4">
        <f t="shared" si="85"/>
        <v>1.0922240564108399E-2</v>
      </c>
      <c r="AO131" s="4">
        <f t="shared" si="85"/>
        <v>7.3493212906090566E-3</v>
      </c>
      <c r="AP131" s="4">
        <f t="shared" si="85"/>
        <v>4.9390262185057265E-3</v>
      </c>
      <c r="AQ131" s="4">
        <f t="shared" si="85"/>
        <v>3.3164275492956197E-3</v>
      </c>
      <c r="AR131" s="4">
        <f t="shared" si="85"/>
        <v>2.2256362146679809E-3</v>
      </c>
    </row>
    <row r="132" spans="1:44" x14ac:dyDescent="0.25">
      <c r="A132" s="24" t="s">
        <v>73</v>
      </c>
      <c r="B132" s="72">
        <f>'Parameter Input'!$L$153</f>
        <v>0</v>
      </c>
      <c r="C132" s="73">
        <f>'Parameter Input'!$M$153</f>
        <v>0</v>
      </c>
      <c r="D132" s="1" t="s">
        <v>57</v>
      </c>
      <c r="L132" s="54">
        <f>'Parameter Input'!$O$153</f>
        <v>12</v>
      </c>
      <c r="M132" s="37">
        <v>0</v>
      </c>
      <c r="N132" s="37">
        <v>1</v>
      </c>
      <c r="O132" s="37">
        <f>'Parameter Input'!$P$153</f>
        <v>0.9</v>
      </c>
      <c r="P132" s="55">
        <f>'Parameter Input'!$Q$153</f>
        <v>0.4</v>
      </c>
      <c r="Q132" s="4">
        <f t="shared" si="87"/>
        <v>0.9867978615748374</v>
      </c>
      <c r="R132" s="4">
        <f t="shared" si="87"/>
        <v>0.98114509762858249</v>
      </c>
      <c r="S132" s="4">
        <f t="shared" si="87"/>
        <v>0.97311898315872036</v>
      </c>
      <c r="T132" s="4">
        <f t="shared" si="87"/>
        <v>0.96177484161592774</v>
      </c>
      <c r="U132" s="4">
        <f t="shared" si="87"/>
        <v>0.94584787155511363</v>
      </c>
      <c r="V132" s="4">
        <f t="shared" si="87"/>
        <v>0.92370360150141495</v>
      </c>
      <c r="W132" s="4">
        <f t="shared" si="87"/>
        <v>0.89334463567658451</v>
      </c>
      <c r="X132" s="4">
        <f t="shared" si="87"/>
        <v>0.85254543874327005</v>
      </c>
      <c r="Y132" s="4">
        <f t="shared" si="87"/>
        <v>0.79921300652623883</v>
      </c>
      <c r="Z132" s="4">
        <f t="shared" si="87"/>
        <v>0.73204982249993378</v>
      </c>
      <c r="AA132" s="4">
        <f t="shared" si="87"/>
        <v>0.65145592958786691</v>
      </c>
      <c r="AB132" s="4">
        <f t="shared" si="87"/>
        <v>0.56032247880849573</v>
      </c>
      <c r="AC132" s="4">
        <f t="shared" si="87"/>
        <v>0.46411326873185343</v>
      </c>
      <c r="AD132" s="4">
        <f t="shared" si="87"/>
        <v>0.36979727595523937</v>
      </c>
      <c r="AE132" s="4">
        <f t="shared" si="87"/>
        <v>0.28393948637231203</v>
      </c>
      <c r="AF132" s="4">
        <f t="shared" si="87"/>
        <v>0.21097259161117732</v>
      </c>
      <c r="AG132" s="4">
        <f t="shared" si="84"/>
        <v>0.15253917653798199</v>
      </c>
      <c r="AH132" s="4">
        <f t="shared" si="84"/>
        <v>0.10795188737709993</v>
      </c>
      <c r="AI132" s="4">
        <f t="shared" si="84"/>
        <v>7.5176653938091809E-2</v>
      </c>
      <c r="AJ132" s="4">
        <f t="shared" si="85"/>
        <v>5.1742836177502194E-2</v>
      </c>
      <c r="AK132" s="4">
        <f t="shared" si="85"/>
        <v>3.5319190625345942E-2</v>
      </c>
      <c r="AL132" s="4">
        <f t="shared" si="85"/>
        <v>2.3969442072658165E-2</v>
      </c>
      <c r="AM132" s="4">
        <f t="shared" si="85"/>
        <v>1.6202243558389728E-2</v>
      </c>
      <c r="AN132" s="4">
        <f t="shared" si="85"/>
        <v>1.0922240564108399E-2</v>
      </c>
      <c r="AO132" s="4">
        <f t="shared" si="85"/>
        <v>7.3493212906090566E-3</v>
      </c>
      <c r="AP132" s="4">
        <f t="shared" si="85"/>
        <v>4.9390262185057265E-3</v>
      </c>
      <c r="AQ132" s="4">
        <f t="shared" si="85"/>
        <v>3.3164275492956197E-3</v>
      </c>
      <c r="AR132" s="4">
        <f t="shared" si="85"/>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7"/>
        <v>0.9867978615748374</v>
      </c>
      <c r="R133" s="4">
        <f t="shared" si="87"/>
        <v>0.98114509762858249</v>
      </c>
      <c r="S133" s="4">
        <f t="shared" si="87"/>
        <v>0.97311898315872036</v>
      </c>
      <c r="T133" s="4">
        <f t="shared" si="87"/>
        <v>0.96177484161592774</v>
      </c>
      <c r="U133" s="4">
        <f t="shared" si="87"/>
        <v>0.94584787155511363</v>
      </c>
      <c r="V133" s="4">
        <f t="shared" si="87"/>
        <v>0.92370360150141495</v>
      </c>
      <c r="W133" s="4">
        <f t="shared" si="87"/>
        <v>0.89334463567658451</v>
      </c>
      <c r="X133" s="4">
        <f t="shared" si="87"/>
        <v>0.85254543874327005</v>
      </c>
      <c r="Y133" s="4">
        <f t="shared" si="87"/>
        <v>0.79921300652623883</v>
      </c>
      <c r="Z133" s="4">
        <f t="shared" si="87"/>
        <v>0.73204982249993378</v>
      </c>
      <c r="AA133" s="4">
        <f t="shared" si="87"/>
        <v>0.65145592958786691</v>
      </c>
      <c r="AB133" s="4">
        <f t="shared" si="87"/>
        <v>0.56032247880849573</v>
      </c>
      <c r="AC133" s="4">
        <f t="shared" si="87"/>
        <v>0.46411326873185343</v>
      </c>
      <c r="AD133" s="4">
        <f t="shared" si="87"/>
        <v>0.36979727595523937</v>
      </c>
      <c r="AE133" s="4">
        <f t="shared" si="87"/>
        <v>0.28393948637231203</v>
      </c>
      <c r="AF133" s="4">
        <f t="shared" si="87"/>
        <v>0.21097259161117732</v>
      </c>
      <c r="AG133" s="4">
        <f t="shared" si="84"/>
        <v>0.15253917653798199</v>
      </c>
      <c r="AH133" s="4">
        <f t="shared" si="84"/>
        <v>0.10795188737709993</v>
      </c>
      <c r="AI133" s="4">
        <f t="shared" si="84"/>
        <v>7.5176653938091809E-2</v>
      </c>
      <c r="AJ133" s="4">
        <f t="shared" si="85"/>
        <v>5.1742836177502194E-2</v>
      </c>
      <c r="AK133" s="4">
        <f t="shared" si="85"/>
        <v>3.5319190625345942E-2</v>
      </c>
      <c r="AL133" s="4">
        <f t="shared" si="85"/>
        <v>2.3969442072658165E-2</v>
      </c>
      <c r="AM133" s="4">
        <f t="shared" si="85"/>
        <v>1.6202243558389728E-2</v>
      </c>
      <c r="AN133" s="4">
        <f t="shared" si="85"/>
        <v>1.0922240564108399E-2</v>
      </c>
      <c r="AO133" s="4">
        <f t="shared" si="85"/>
        <v>7.3493212906090566E-3</v>
      </c>
      <c r="AP133" s="4">
        <f t="shared" si="85"/>
        <v>4.9390262185057265E-3</v>
      </c>
      <c r="AQ133" s="4">
        <f t="shared" si="85"/>
        <v>3.3164275492956197E-3</v>
      </c>
      <c r="AR133" s="4">
        <f t="shared" si="85"/>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8">A117</f>
        <v>Capex vehicle</v>
      </c>
      <c r="B137" s="62">
        <f t="shared" ref="B137:B145" si="89">$B117+($C117-$B117)*(1-Q117)</f>
        <v>3500000</v>
      </c>
      <c r="C137" s="62">
        <f t="shared" ref="C137:C145" si="90">$B117+($C117-$B117)*(1-R117)</f>
        <v>3500000</v>
      </c>
      <c r="D137" s="62">
        <f t="shared" ref="D137:D145" si="91">$B117+($C117-$B117)*(1-S117)</f>
        <v>3500000</v>
      </c>
      <c r="E137" s="62">
        <f t="shared" ref="E137:E145" si="92">$B117+($C117-$B117)*(1-T117)</f>
        <v>3500000</v>
      </c>
      <c r="F137" s="62">
        <f t="shared" ref="F137:F145" si="93">$B117+($C117-$B117)*(1-U117)</f>
        <v>3500000</v>
      </c>
      <c r="G137" s="62">
        <f t="shared" ref="G137:G145" si="94">$B117+($C117-$B117)*(1-V117)</f>
        <v>3500000</v>
      </c>
      <c r="H137" s="62">
        <f t="shared" ref="H137:H145" si="95">$B117+($C117-$B117)*(1-W117)</f>
        <v>3500000</v>
      </c>
      <c r="I137" s="62">
        <f t="shared" ref="I137:I145" si="96">$B117+($C117-$B117)*(1-X117)</f>
        <v>3500000</v>
      </c>
      <c r="J137" s="62">
        <f t="shared" ref="J137:J145" si="97">$B117+($C117-$B117)*(1-Y117)</f>
        <v>3500000</v>
      </c>
      <c r="K137" s="62">
        <f t="shared" ref="K137:K145" si="98">$B117+($C117-$B117)*(1-Z117)</f>
        <v>3500000</v>
      </c>
      <c r="L137" s="62">
        <f t="shared" ref="L137:L145" si="99">$B117+($C117-$B117)*(1-AA117)</f>
        <v>3500000</v>
      </c>
      <c r="M137" s="62">
        <f t="shared" ref="M137:M145" si="100">$B117+($C117-$B117)*(1-AB117)</f>
        <v>3500000</v>
      </c>
      <c r="N137" s="62">
        <f t="shared" ref="N137:N145" si="101">$B117+($C117-$B117)*(1-AC117)</f>
        <v>3500000</v>
      </c>
      <c r="O137" s="62">
        <f t="shared" ref="O137:O145" si="102">$B117+($C117-$B117)*(1-AD117)</f>
        <v>3500000</v>
      </c>
      <c r="P137" s="62">
        <f t="shared" ref="P137:P145" si="103">$B117+($C117-$B117)*(1-AE117)</f>
        <v>3500000</v>
      </c>
      <c r="Q137" s="62">
        <f t="shared" ref="Q137:Q145" si="104">$B117+($C117-$B117)*(1-AF117)</f>
        <v>3500000</v>
      </c>
      <c r="R137" s="62">
        <f t="shared" ref="R137:R145" si="105">$B117+($C117-$B117)*(1-AG117)</f>
        <v>3500000</v>
      </c>
      <c r="S137" s="62">
        <f t="shared" ref="S137:S145" si="106">$B117+($C117-$B117)*(1-AH117)</f>
        <v>3500000</v>
      </c>
      <c r="T137" s="62">
        <f t="shared" ref="T137:T145" si="107">$B117+($C117-$B117)*(1-AI117)</f>
        <v>3500000</v>
      </c>
      <c r="U137" s="62">
        <f t="shared" ref="U137:U145" si="108">$B117+($C117-$B117)*(1-AJ117)</f>
        <v>3500000</v>
      </c>
      <c r="V137" s="62">
        <f t="shared" ref="V137:V145" si="109">$B117+($C117-$B117)*(1-AK117)</f>
        <v>3500000</v>
      </c>
      <c r="W137" s="62">
        <f t="shared" ref="W137:W145" si="110">$B117+($C117-$B117)*(1-AL117)</f>
        <v>3500000</v>
      </c>
      <c r="X137" s="62">
        <f t="shared" ref="X137:X145" si="111">$B117+($C117-$B117)*(1-AM117)</f>
        <v>3500000</v>
      </c>
      <c r="Y137" s="62">
        <f t="shared" ref="Y137:Y145" si="112">$B117+($C117-$B117)*(1-AN117)</f>
        <v>3500000</v>
      </c>
      <c r="Z137" s="62">
        <f t="shared" ref="Z137:Z145" si="113">$B117+($C117-$B117)*(1-AO117)</f>
        <v>3500000</v>
      </c>
      <c r="AA137" s="62">
        <f t="shared" ref="AA137:AA145" si="114">$B117+($C117-$B117)*(1-AP117)</f>
        <v>3500000</v>
      </c>
      <c r="AB137" s="62">
        <f t="shared" ref="AB137:AB145" si="115">$B117+($C117-$B117)*(1-AQ117)</f>
        <v>3500000</v>
      </c>
      <c r="AC137" s="62">
        <f t="shared" ref="AC137:AC145" si="116">$B117+($C117-$B117)*(1-AR117)</f>
        <v>3500000</v>
      </c>
    </row>
    <row r="138" spans="1:44" x14ac:dyDescent="0.25">
      <c r="A138" s="30" t="str">
        <f t="shared" si="88"/>
        <v>Residual value (vehicle)</v>
      </c>
      <c r="B138" s="62">
        <f t="shared" si="89"/>
        <v>-520379.25155119307</v>
      </c>
      <c r="C138" s="62">
        <f t="shared" si="90"/>
        <v>-518400.78417000384</v>
      </c>
      <c r="D138" s="62">
        <f t="shared" si="91"/>
        <v>-515591.64410555211</v>
      </c>
      <c r="E138" s="62">
        <f t="shared" si="92"/>
        <v>-511621.1945655747</v>
      </c>
      <c r="F138" s="62">
        <f t="shared" si="93"/>
        <v>-506046.75504428975</v>
      </c>
      <c r="G138" s="62">
        <f t="shared" si="94"/>
        <v>-498296.26052549522</v>
      </c>
      <c r="H138" s="62">
        <f t="shared" si="95"/>
        <v>-487670.62248680455</v>
      </c>
      <c r="I138" s="62">
        <f t="shared" si="96"/>
        <v>-473390.90356014454</v>
      </c>
      <c r="J138" s="62">
        <f t="shared" si="97"/>
        <v>-454724.55228418356</v>
      </c>
      <c r="K138" s="62">
        <f t="shared" si="98"/>
        <v>-431217.43787497684</v>
      </c>
      <c r="L138" s="62">
        <f t="shared" si="99"/>
        <v>-403009.57535575342</v>
      </c>
      <c r="M138" s="62">
        <f t="shared" si="100"/>
        <v>-371112.8675829735</v>
      </c>
      <c r="N138" s="62">
        <f t="shared" si="101"/>
        <v>-337439.64405614871</v>
      </c>
      <c r="O138" s="62">
        <f t="shared" si="102"/>
        <v>-304429.04658433376</v>
      </c>
      <c r="P138" s="62">
        <f t="shared" si="103"/>
        <v>-274378.82023030921</v>
      </c>
      <c r="Q138" s="62">
        <f t="shared" si="104"/>
        <v>-248840.40706391208</v>
      </c>
      <c r="R138" s="62">
        <f t="shared" si="105"/>
        <v>-228388.71178829367</v>
      </c>
      <c r="S138" s="62">
        <f t="shared" si="106"/>
        <v>-212783.16058198496</v>
      </c>
      <c r="T138" s="62">
        <f t="shared" si="107"/>
        <v>-201311.8288783321</v>
      </c>
      <c r="U138" s="62">
        <f t="shared" si="108"/>
        <v>-193109.99266212579</v>
      </c>
      <c r="V138" s="62">
        <f t="shared" si="109"/>
        <v>-187361.71671887109</v>
      </c>
      <c r="W138" s="62">
        <f t="shared" si="110"/>
        <v>-183389.30472543038</v>
      </c>
      <c r="X138" s="62">
        <f t="shared" si="111"/>
        <v>-180670.78524543642</v>
      </c>
      <c r="Y138" s="62">
        <f t="shared" si="112"/>
        <v>-178822.78419743793</v>
      </c>
      <c r="Z138" s="62">
        <f t="shared" si="113"/>
        <v>-177572.26245171315</v>
      </c>
      <c r="AA138" s="62">
        <f t="shared" si="114"/>
        <v>-176728.659176477</v>
      </c>
      <c r="AB138" s="62">
        <f t="shared" si="115"/>
        <v>-176160.74964225345</v>
      </c>
      <c r="AC138" s="62">
        <f t="shared" si="116"/>
        <v>-175778.97267513379</v>
      </c>
    </row>
    <row r="139" spans="1:44" x14ac:dyDescent="0.25">
      <c r="A139" s="30" t="str">
        <f t="shared" si="88"/>
        <v>Capex costumization</v>
      </c>
      <c r="B139" s="62">
        <f t="shared" si="89"/>
        <v>5600000</v>
      </c>
      <c r="C139" s="62">
        <f t="shared" si="90"/>
        <v>5600000</v>
      </c>
      <c r="D139" s="62">
        <f t="shared" si="91"/>
        <v>5600000</v>
      </c>
      <c r="E139" s="62">
        <f t="shared" si="92"/>
        <v>5600000</v>
      </c>
      <c r="F139" s="62">
        <f t="shared" si="93"/>
        <v>5600000</v>
      </c>
      <c r="G139" s="62">
        <f t="shared" si="94"/>
        <v>5600000</v>
      </c>
      <c r="H139" s="62">
        <f t="shared" si="95"/>
        <v>5600000</v>
      </c>
      <c r="I139" s="62">
        <f t="shared" si="96"/>
        <v>5600000</v>
      </c>
      <c r="J139" s="62">
        <f t="shared" si="97"/>
        <v>5600000</v>
      </c>
      <c r="K139" s="62">
        <f t="shared" si="98"/>
        <v>5600000</v>
      </c>
      <c r="L139" s="62">
        <f t="shared" si="99"/>
        <v>5600000</v>
      </c>
      <c r="M139" s="62">
        <f t="shared" si="100"/>
        <v>5600000</v>
      </c>
      <c r="N139" s="62">
        <f t="shared" si="101"/>
        <v>5600000</v>
      </c>
      <c r="O139" s="62">
        <f t="shared" si="102"/>
        <v>5600000</v>
      </c>
      <c r="P139" s="62">
        <f t="shared" si="103"/>
        <v>5600000</v>
      </c>
      <c r="Q139" s="62">
        <f t="shared" si="104"/>
        <v>5600000</v>
      </c>
      <c r="R139" s="62">
        <f t="shared" si="105"/>
        <v>5600000</v>
      </c>
      <c r="S139" s="62">
        <f t="shared" si="106"/>
        <v>5600000</v>
      </c>
      <c r="T139" s="62">
        <f t="shared" si="107"/>
        <v>5600000</v>
      </c>
      <c r="U139" s="62">
        <f t="shared" si="108"/>
        <v>5600000</v>
      </c>
      <c r="V139" s="62">
        <f t="shared" si="109"/>
        <v>5600000</v>
      </c>
      <c r="W139" s="62">
        <f t="shared" si="110"/>
        <v>5600000</v>
      </c>
      <c r="X139" s="62">
        <f t="shared" si="111"/>
        <v>5600000</v>
      </c>
      <c r="Y139" s="62">
        <f t="shared" si="112"/>
        <v>5600000</v>
      </c>
      <c r="Z139" s="62">
        <f t="shared" si="113"/>
        <v>5600000</v>
      </c>
      <c r="AA139" s="62">
        <f t="shared" si="114"/>
        <v>5600000</v>
      </c>
      <c r="AB139" s="62">
        <f t="shared" si="115"/>
        <v>5600000</v>
      </c>
      <c r="AC139" s="62">
        <f t="shared" si="116"/>
        <v>5600000</v>
      </c>
    </row>
    <row r="140" spans="1:44" x14ac:dyDescent="0.25">
      <c r="A140" s="30" t="str">
        <f t="shared" si="88"/>
        <v>Residual value (costumization)</v>
      </c>
      <c r="B140" s="62">
        <f t="shared" si="89"/>
        <v>-280000</v>
      </c>
      <c r="C140" s="62">
        <f t="shared" si="90"/>
        <v>-280000</v>
      </c>
      <c r="D140" s="62">
        <f t="shared" si="91"/>
        <v>-280000</v>
      </c>
      <c r="E140" s="62">
        <f t="shared" si="92"/>
        <v>-280000</v>
      </c>
      <c r="F140" s="62">
        <f t="shared" si="93"/>
        <v>-280000</v>
      </c>
      <c r="G140" s="62">
        <f t="shared" si="94"/>
        <v>-280000</v>
      </c>
      <c r="H140" s="62">
        <f t="shared" si="95"/>
        <v>-280000</v>
      </c>
      <c r="I140" s="62">
        <f t="shared" si="96"/>
        <v>-280000</v>
      </c>
      <c r="J140" s="62">
        <f t="shared" si="97"/>
        <v>-280000</v>
      </c>
      <c r="K140" s="62">
        <f t="shared" si="98"/>
        <v>-280000</v>
      </c>
      <c r="L140" s="62">
        <f t="shared" si="99"/>
        <v>-280000</v>
      </c>
      <c r="M140" s="62">
        <f t="shared" si="100"/>
        <v>-280000</v>
      </c>
      <c r="N140" s="62">
        <f t="shared" si="101"/>
        <v>-280000</v>
      </c>
      <c r="O140" s="62">
        <f t="shared" si="102"/>
        <v>-280000</v>
      </c>
      <c r="P140" s="62">
        <f t="shared" si="103"/>
        <v>-280000</v>
      </c>
      <c r="Q140" s="62">
        <f t="shared" si="104"/>
        <v>-280000</v>
      </c>
      <c r="R140" s="62">
        <f t="shared" si="105"/>
        <v>-280000</v>
      </c>
      <c r="S140" s="62">
        <f t="shared" si="106"/>
        <v>-280000</v>
      </c>
      <c r="T140" s="62">
        <f t="shared" si="107"/>
        <v>-280000</v>
      </c>
      <c r="U140" s="62">
        <f t="shared" si="108"/>
        <v>-280000</v>
      </c>
      <c r="V140" s="62">
        <f t="shared" si="109"/>
        <v>-280000</v>
      </c>
      <c r="W140" s="62">
        <f t="shared" si="110"/>
        <v>-280000</v>
      </c>
      <c r="X140" s="62">
        <f t="shared" si="111"/>
        <v>-280000</v>
      </c>
      <c r="Y140" s="62">
        <f t="shared" si="112"/>
        <v>-280000</v>
      </c>
      <c r="Z140" s="62">
        <f t="shared" si="113"/>
        <v>-280000</v>
      </c>
      <c r="AA140" s="62">
        <f t="shared" si="114"/>
        <v>-280000</v>
      </c>
      <c r="AB140" s="62">
        <f t="shared" si="115"/>
        <v>-280000</v>
      </c>
      <c r="AC140" s="62">
        <f t="shared" si="116"/>
        <v>-280000</v>
      </c>
    </row>
    <row r="141" spans="1:44" x14ac:dyDescent="0.25">
      <c r="A141" s="30" t="str">
        <f t="shared" si="88"/>
        <v>WACC</v>
      </c>
      <c r="B141" s="62">
        <f t="shared" si="89"/>
        <v>0.06</v>
      </c>
      <c r="C141" s="62">
        <f t="shared" si="90"/>
        <v>0.06</v>
      </c>
      <c r="D141" s="62">
        <f t="shared" si="91"/>
        <v>0.06</v>
      </c>
      <c r="E141" s="62">
        <f t="shared" si="92"/>
        <v>0.06</v>
      </c>
      <c r="F141" s="62">
        <f t="shared" si="93"/>
        <v>0.06</v>
      </c>
      <c r="G141" s="62">
        <f t="shared" si="94"/>
        <v>0.06</v>
      </c>
      <c r="H141" s="62">
        <f t="shared" si="95"/>
        <v>0.06</v>
      </c>
      <c r="I141" s="62">
        <f t="shared" si="96"/>
        <v>0.06</v>
      </c>
      <c r="J141" s="62">
        <f t="shared" si="97"/>
        <v>0.06</v>
      </c>
      <c r="K141" s="62">
        <f t="shared" si="98"/>
        <v>0.06</v>
      </c>
      <c r="L141" s="62">
        <f t="shared" si="99"/>
        <v>0.06</v>
      </c>
      <c r="M141" s="62">
        <f t="shared" si="100"/>
        <v>0.06</v>
      </c>
      <c r="N141" s="62">
        <f t="shared" si="101"/>
        <v>0.06</v>
      </c>
      <c r="O141" s="62">
        <f t="shared" si="102"/>
        <v>0.06</v>
      </c>
      <c r="P141" s="62">
        <f t="shared" si="103"/>
        <v>0.06</v>
      </c>
      <c r="Q141" s="62">
        <f t="shared" si="104"/>
        <v>0.06</v>
      </c>
      <c r="R141" s="62">
        <f t="shared" si="105"/>
        <v>0.06</v>
      </c>
      <c r="S141" s="62">
        <f t="shared" si="106"/>
        <v>0.06</v>
      </c>
      <c r="T141" s="62">
        <f t="shared" si="107"/>
        <v>0.06</v>
      </c>
      <c r="U141" s="62">
        <f t="shared" si="108"/>
        <v>0.06</v>
      </c>
      <c r="V141" s="62">
        <f t="shared" si="109"/>
        <v>0.06</v>
      </c>
      <c r="W141" s="62">
        <f t="shared" si="110"/>
        <v>0.06</v>
      </c>
      <c r="X141" s="62">
        <f t="shared" si="111"/>
        <v>0.06</v>
      </c>
      <c r="Y141" s="62">
        <f t="shared" si="112"/>
        <v>0.06</v>
      </c>
      <c r="Z141" s="62">
        <f t="shared" si="113"/>
        <v>0.06</v>
      </c>
      <c r="AA141" s="62">
        <f t="shared" si="114"/>
        <v>0.06</v>
      </c>
      <c r="AB141" s="62">
        <f t="shared" si="115"/>
        <v>0.06</v>
      </c>
      <c r="AC141" s="62">
        <f t="shared" si="116"/>
        <v>0.06</v>
      </c>
    </row>
    <row r="142" spans="1:44" x14ac:dyDescent="0.25">
      <c r="A142" s="30" t="str">
        <f t="shared" si="88"/>
        <v>Opex fix (admin, crew, insurance)</v>
      </c>
      <c r="B142" s="62">
        <f t="shared" si="89"/>
        <v>620000</v>
      </c>
      <c r="C142" s="62">
        <f t="shared" si="90"/>
        <v>620000</v>
      </c>
      <c r="D142" s="62">
        <f t="shared" si="91"/>
        <v>620000</v>
      </c>
      <c r="E142" s="62">
        <f t="shared" si="92"/>
        <v>620000</v>
      </c>
      <c r="F142" s="62">
        <f t="shared" si="93"/>
        <v>620000</v>
      </c>
      <c r="G142" s="62">
        <f t="shared" si="94"/>
        <v>620000</v>
      </c>
      <c r="H142" s="62">
        <f t="shared" si="95"/>
        <v>620000</v>
      </c>
      <c r="I142" s="62">
        <f t="shared" si="96"/>
        <v>620000</v>
      </c>
      <c r="J142" s="62">
        <f t="shared" si="97"/>
        <v>620000</v>
      </c>
      <c r="K142" s="62">
        <f t="shared" si="98"/>
        <v>620000</v>
      </c>
      <c r="L142" s="62">
        <f t="shared" si="99"/>
        <v>620000</v>
      </c>
      <c r="M142" s="62">
        <f t="shared" si="100"/>
        <v>620000</v>
      </c>
      <c r="N142" s="62">
        <f t="shared" si="101"/>
        <v>620000</v>
      </c>
      <c r="O142" s="62">
        <f t="shared" si="102"/>
        <v>620000</v>
      </c>
      <c r="P142" s="62">
        <f t="shared" si="103"/>
        <v>620000</v>
      </c>
      <c r="Q142" s="62">
        <f t="shared" si="104"/>
        <v>620000</v>
      </c>
      <c r="R142" s="62">
        <f t="shared" si="105"/>
        <v>620000</v>
      </c>
      <c r="S142" s="62">
        <f t="shared" si="106"/>
        <v>620000</v>
      </c>
      <c r="T142" s="62">
        <f t="shared" si="107"/>
        <v>620000</v>
      </c>
      <c r="U142" s="62">
        <f t="shared" si="108"/>
        <v>620000</v>
      </c>
      <c r="V142" s="62">
        <f t="shared" si="109"/>
        <v>620000</v>
      </c>
      <c r="W142" s="62">
        <f t="shared" si="110"/>
        <v>620000</v>
      </c>
      <c r="X142" s="62">
        <f t="shared" si="111"/>
        <v>620000</v>
      </c>
      <c r="Y142" s="62">
        <f t="shared" si="112"/>
        <v>620000</v>
      </c>
      <c r="Z142" s="62">
        <f t="shared" si="113"/>
        <v>620000</v>
      </c>
      <c r="AA142" s="62">
        <f t="shared" si="114"/>
        <v>620000</v>
      </c>
      <c r="AB142" s="62">
        <f t="shared" si="115"/>
        <v>620000</v>
      </c>
      <c r="AC142" s="62">
        <f t="shared" si="116"/>
        <v>620000</v>
      </c>
    </row>
    <row r="143" spans="1:44" x14ac:dyDescent="0.25">
      <c r="A143" s="30" t="str">
        <f t="shared" si="88"/>
        <v>Opex maintenance &amp; repair</v>
      </c>
      <c r="B143" s="62">
        <f t="shared" si="89"/>
        <v>1050000</v>
      </c>
      <c r="C143" s="62">
        <f t="shared" si="90"/>
        <v>1050000</v>
      </c>
      <c r="D143" s="62">
        <f t="shared" si="91"/>
        <v>1050000</v>
      </c>
      <c r="E143" s="62">
        <f t="shared" si="92"/>
        <v>1050000</v>
      </c>
      <c r="F143" s="62">
        <f t="shared" si="93"/>
        <v>1050000</v>
      </c>
      <c r="G143" s="62">
        <f t="shared" si="94"/>
        <v>1050000</v>
      </c>
      <c r="H143" s="62">
        <f t="shared" si="95"/>
        <v>1050000</v>
      </c>
      <c r="I143" s="62">
        <f t="shared" si="96"/>
        <v>1050000</v>
      </c>
      <c r="J143" s="62">
        <f t="shared" si="97"/>
        <v>1050000</v>
      </c>
      <c r="K143" s="62">
        <f t="shared" si="98"/>
        <v>1050000</v>
      </c>
      <c r="L143" s="62">
        <f t="shared" si="99"/>
        <v>1050000</v>
      </c>
      <c r="M143" s="62">
        <f t="shared" si="100"/>
        <v>1050000</v>
      </c>
      <c r="N143" s="62">
        <f t="shared" si="101"/>
        <v>1050000</v>
      </c>
      <c r="O143" s="62">
        <f t="shared" si="102"/>
        <v>1050000</v>
      </c>
      <c r="P143" s="62">
        <f t="shared" si="103"/>
        <v>1050000</v>
      </c>
      <c r="Q143" s="62">
        <f t="shared" si="104"/>
        <v>1050000</v>
      </c>
      <c r="R143" s="62">
        <f t="shared" si="105"/>
        <v>1050000</v>
      </c>
      <c r="S143" s="62">
        <f t="shared" si="106"/>
        <v>1050000</v>
      </c>
      <c r="T143" s="62">
        <f t="shared" si="107"/>
        <v>1050000</v>
      </c>
      <c r="U143" s="62">
        <f t="shared" si="108"/>
        <v>1050000</v>
      </c>
      <c r="V143" s="62">
        <f t="shared" si="109"/>
        <v>1050000</v>
      </c>
      <c r="W143" s="62">
        <f t="shared" si="110"/>
        <v>1050000</v>
      </c>
      <c r="X143" s="62">
        <f t="shared" si="111"/>
        <v>1050000</v>
      </c>
      <c r="Y143" s="62">
        <f t="shared" si="112"/>
        <v>1050000</v>
      </c>
      <c r="Z143" s="62">
        <f t="shared" si="113"/>
        <v>1050000</v>
      </c>
      <c r="AA143" s="62">
        <f t="shared" si="114"/>
        <v>1050000</v>
      </c>
      <c r="AB143" s="62">
        <f t="shared" si="115"/>
        <v>1050000</v>
      </c>
      <c r="AC143" s="62">
        <f t="shared" si="116"/>
        <v>1050000</v>
      </c>
    </row>
    <row r="144" spans="1:44" x14ac:dyDescent="0.25">
      <c r="A144" s="30" t="str">
        <f t="shared" si="88"/>
        <v>Opex var (mode-fees, shunting)</v>
      </c>
      <c r="B144" s="62">
        <f t="shared" si="89"/>
        <v>3.6414565826330532</v>
      </c>
      <c r="C144" s="62">
        <f t="shared" si="90"/>
        <v>3.6414565826330532</v>
      </c>
      <c r="D144" s="62">
        <f t="shared" si="91"/>
        <v>3.6414565826330532</v>
      </c>
      <c r="E144" s="62">
        <f t="shared" si="92"/>
        <v>3.6414565826330532</v>
      </c>
      <c r="F144" s="62">
        <f t="shared" si="93"/>
        <v>3.6414565826330532</v>
      </c>
      <c r="G144" s="62">
        <f t="shared" si="94"/>
        <v>3.6414565826330532</v>
      </c>
      <c r="H144" s="62">
        <f t="shared" si="95"/>
        <v>3.6414565826330532</v>
      </c>
      <c r="I144" s="62">
        <f t="shared" si="96"/>
        <v>3.6414565826330532</v>
      </c>
      <c r="J144" s="62">
        <f t="shared" si="97"/>
        <v>3.6414565826330532</v>
      </c>
      <c r="K144" s="62">
        <f t="shared" si="98"/>
        <v>3.6414565826330532</v>
      </c>
      <c r="L144" s="62">
        <f t="shared" si="99"/>
        <v>3.6414565826330532</v>
      </c>
      <c r="M144" s="62">
        <f t="shared" si="100"/>
        <v>3.6414565826330532</v>
      </c>
      <c r="N144" s="62">
        <f t="shared" si="101"/>
        <v>3.6414565826330532</v>
      </c>
      <c r="O144" s="62">
        <f t="shared" si="102"/>
        <v>3.6414565826330532</v>
      </c>
      <c r="P144" s="62">
        <f t="shared" si="103"/>
        <v>3.6414565826330532</v>
      </c>
      <c r="Q144" s="62">
        <f t="shared" si="104"/>
        <v>3.6414565826330532</v>
      </c>
      <c r="R144" s="62">
        <f t="shared" si="105"/>
        <v>3.6414565826330532</v>
      </c>
      <c r="S144" s="62">
        <f t="shared" si="106"/>
        <v>3.6414565826330532</v>
      </c>
      <c r="T144" s="62">
        <f t="shared" si="107"/>
        <v>3.6414565826330532</v>
      </c>
      <c r="U144" s="62">
        <f t="shared" si="108"/>
        <v>3.6414565826330532</v>
      </c>
      <c r="V144" s="62">
        <f t="shared" si="109"/>
        <v>3.6414565826330532</v>
      </c>
      <c r="W144" s="62">
        <f t="shared" si="110"/>
        <v>3.6414565826330532</v>
      </c>
      <c r="X144" s="62">
        <f t="shared" si="111"/>
        <v>3.6414565826330532</v>
      </c>
      <c r="Y144" s="62">
        <f t="shared" si="112"/>
        <v>3.6414565826330532</v>
      </c>
      <c r="Z144" s="62">
        <f t="shared" si="113"/>
        <v>3.6414565826330532</v>
      </c>
      <c r="AA144" s="62">
        <f t="shared" si="114"/>
        <v>3.6414565826330532</v>
      </c>
      <c r="AB144" s="62">
        <f t="shared" si="115"/>
        <v>3.6414565826330532</v>
      </c>
      <c r="AC144" s="62">
        <f t="shared" si="116"/>
        <v>3.6414565826330532</v>
      </c>
    </row>
    <row r="145" spans="1:29" x14ac:dyDescent="0.25">
      <c r="A145" s="30" t="str">
        <f t="shared" si="88"/>
        <v>Fuel Economy</v>
      </c>
      <c r="B145" s="62">
        <f t="shared" si="89"/>
        <v>76.777599999999993</v>
      </c>
      <c r="C145" s="62">
        <f t="shared" si="90"/>
        <v>76.777599999999993</v>
      </c>
      <c r="D145" s="62">
        <f t="shared" si="91"/>
        <v>76.777599999999993</v>
      </c>
      <c r="E145" s="62">
        <f t="shared" si="92"/>
        <v>76.777599999999993</v>
      </c>
      <c r="F145" s="62">
        <f t="shared" si="93"/>
        <v>76.777599999999993</v>
      </c>
      <c r="G145" s="62">
        <f t="shared" si="94"/>
        <v>76.777599999999993</v>
      </c>
      <c r="H145" s="62">
        <f t="shared" si="95"/>
        <v>76.777599999999993</v>
      </c>
      <c r="I145" s="62">
        <f t="shared" si="96"/>
        <v>76.777599999999993</v>
      </c>
      <c r="J145" s="62">
        <f t="shared" si="97"/>
        <v>76.777599999999993</v>
      </c>
      <c r="K145" s="62">
        <f t="shared" si="98"/>
        <v>76.777599999999993</v>
      </c>
      <c r="L145" s="62">
        <f t="shared" si="99"/>
        <v>76.777599999999993</v>
      </c>
      <c r="M145" s="62">
        <f t="shared" si="100"/>
        <v>76.777599999999993</v>
      </c>
      <c r="N145" s="62">
        <f t="shared" si="101"/>
        <v>76.777599999999993</v>
      </c>
      <c r="O145" s="62">
        <f t="shared" si="102"/>
        <v>76.777599999999993</v>
      </c>
      <c r="P145" s="62">
        <f t="shared" si="103"/>
        <v>76.777599999999993</v>
      </c>
      <c r="Q145" s="62">
        <f t="shared" si="104"/>
        <v>76.777599999999993</v>
      </c>
      <c r="R145" s="62">
        <f t="shared" si="105"/>
        <v>76.777599999999993</v>
      </c>
      <c r="S145" s="62">
        <f t="shared" si="106"/>
        <v>76.777599999999993</v>
      </c>
      <c r="T145" s="62">
        <f t="shared" si="107"/>
        <v>76.777599999999993</v>
      </c>
      <c r="U145" s="62">
        <f t="shared" si="108"/>
        <v>76.777599999999993</v>
      </c>
      <c r="V145" s="62">
        <f t="shared" si="109"/>
        <v>76.777599999999993</v>
      </c>
      <c r="W145" s="62">
        <f t="shared" si="110"/>
        <v>76.777599999999993</v>
      </c>
      <c r="X145" s="62">
        <f t="shared" si="111"/>
        <v>76.777599999999993</v>
      </c>
      <c r="Y145" s="62">
        <f t="shared" si="112"/>
        <v>76.777599999999993</v>
      </c>
      <c r="Z145" s="62">
        <f t="shared" si="113"/>
        <v>76.777599999999993</v>
      </c>
      <c r="AA145" s="62">
        <f t="shared" si="114"/>
        <v>76.777599999999993</v>
      </c>
      <c r="AB145" s="62">
        <f t="shared" si="115"/>
        <v>76.777599999999993</v>
      </c>
      <c r="AC145" s="62">
        <f t="shared" si="116"/>
        <v>76.777599999999993</v>
      </c>
    </row>
    <row r="146" spans="1:29" x14ac:dyDescent="0.25">
      <c r="A146" s="30" t="str">
        <f t="shared" si="88"/>
        <v>Fuel Cost</v>
      </c>
      <c r="B146" s="62">
        <f>'Parameter Input'!J8</f>
        <v>6.4802641056422569E-2</v>
      </c>
      <c r="C146" s="62">
        <f>'Parameter Input'!K8</f>
        <v>6.3089795918367345E-2</v>
      </c>
      <c r="D146" s="62">
        <f>'Parameter Input'!L8</f>
        <v>6.1376950780312127E-2</v>
      </c>
      <c r="E146" s="62">
        <f>'Parameter Input'!M8</f>
        <v>5.9664105642256909E-2</v>
      </c>
      <c r="F146" s="62">
        <f>'Parameter Input'!N8</f>
        <v>5.7951260504201692E-2</v>
      </c>
      <c r="G146" s="62">
        <f>'Parameter Input'!O8</f>
        <v>5.6238415366146474E-2</v>
      </c>
      <c r="H146" s="62">
        <f>'Parameter Input'!P8</f>
        <v>5.4525570228091257E-2</v>
      </c>
      <c r="I146" s="62">
        <f>'Parameter Input'!Q8</f>
        <v>5.2812725090036025E-2</v>
      </c>
      <c r="J146" s="62">
        <f>'Parameter Input'!R8</f>
        <v>5.2313145258103252E-2</v>
      </c>
      <c r="K146" s="62">
        <f>'Parameter Input'!S8</f>
        <v>5.181356542617048E-2</v>
      </c>
      <c r="L146" s="62">
        <f>'Parameter Input'!T8</f>
        <v>5.1313985594237707E-2</v>
      </c>
      <c r="M146" s="62">
        <f>'Parameter Input'!U8</f>
        <v>5.0814405762304934E-2</v>
      </c>
      <c r="N146" s="62">
        <f>'Parameter Input'!V8</f>
        <v>5.0314825930372155E-2</v>
      </c>
      <c r="O146" s="62">
        <f>'Parameter Input'!W8</f>
        <v>4.9815246098439382E-2</v>
      </c>
      <c r="P146" s="62">
        <f>'Parameter Input'!X8</f>
        <v>4.931566626650661E-2</v>
      </c>
      <c r="Q146" s="62">
        <f>'Parameter Input'!Y8</f>
        <v>4.8816086434573837E-2</v>
      </c>
      <c r="R146" s="62">
        <f>'Parameter Input'!Z8</f>
        <v>4.8316506602641064E-2</v>
      </c>
      <c r="S146" s="62">
        <f>'Parameter Input'!AA8</f>
        <v>4.7816926770708292E-2</v>
      </c>
      <c r="T146" s="62">
        <f>'Parameter Input'!AB8</f>
        <v>4.7317346938775519E-2</v>
      </c>
      <c r="U146" s="62">
        <f>'Parameter Input'!AC8</f>
        <v>4.6817767106842746E-2</v>
      </c>
      <c r="V146" s="62">
        <f>'Parameter Input'!AD8</f>
        <v>4.6318187274909974E-2</v>
      </c>
      <c r="W146" s="62">
        <f>'Parameter Input'!AE8</f>
        <v>4.5818607442977201E-2</v>
      </c>
      <c r="X146" s="62">
        <f>'Parameter Input'!AF8</f>
        <v>4.5319027611044428E-2</v>
      </c>
      <c r="Y146" s="62">
        <f>'Parameter Input'!AG8</f>
        <v>4.4819447779111656E-2</v>
      </c>
      <c r="Z146" s="62">
        <f>'Parameter Input'!AH8</f>
        <v>4.4319867947178883E-2</v>
      </c>
      <c r="AA146" s="62">
        <f>'Parameter Input'!AI8</f>
        <v>4.382028811524611E-2</v>
      </c>
      <c r="AB146" s="62">
        <f>'Parameter Input'!AJ8</f>
        <v>4.3320708283313338E-2</v>
      </c>
      <c r="AC146" s="62">
        <f>'Parameter Input'!AK8</f>
        <v>4.2821128451380565E-2</v>
      </c>
    </row>
    <row r="147" spans="1:29" x14ac:dyDescent="0.25">
      <c r="A147" s="30" t="str">
        <f t="shared" si="88"/>
        <v>Emission Cost</v>
      </c>
      <c r="B147" s="66">
        <f>$B127+($C127-$B127)*(1-Q127)</f>
        <v>0</v>
      </c>
      <c r="C147" s="66">
        <f t="shared" ref="C147:AC147" si="117">$B127+($C127-$B127)*(1-R127)</f>
        <v>0</v>
      </c>
      <c r="D147" s="66">
        <f t="shared" si="117"/>
        <v>0</v>
      </c>
      <c r="E147" s="66">
        <f t="shared" si="117"/>
        <v>0</v>
      </c>
      <c r="F147" s="66">
        <f t="shared" si="117"/>
        <v>0</v>
      </c>
      <c r="G147" s="66">
        <f t="shared" si="117"/>
        <v>0</v>
      </c>
      <c r="H147" s="66">
        <f t="shared" si="117"/>
        <v>0</v>
      </c>
      <c r="I147" s="66">
        <f t="shared" si="117"/>
        <v>0</v>
      </c>
      <c r="J147" s="66">
        <f t="shared" si="117"/>
        <v>0</v>
      </c>
      <c r="K147" s="66">
        <f t="shared" si="117"/>
        <v>0</v>
      </c>
      <c r="L147" s="66">
        <f t="shared" si="117"/>
        <v>0</v>
      </c>
      <c r="M147" s="66">
        <f t="shared" si="117"/>
        <v>0</v>
      </c>
      <c r="N147" s="66">
        <f t="shared" si="117"/>
        <v>0</v>
      </c>
      <c r="O147" s="66">
        <f t="shared" si="117"/>
        <v>0</v>
      </c>
      <c r="P147" s="66">
        <f t="shared" si="117"/>
        <v>0</v>
      </c>
      <c r="Q147" s="66">
        <f t="shared" si="117"/>
        <v>0</v>
      </c>
      <c r="R147" s="66">
        <f t="shared" si="117"/>
        <v>0</v>
      </c>
      <c r="S147" s="66">
        <f t="shared" si="117"/>
        <v>0</v>
      </c>
      <c r="T147" s="66">
        <f t="shared" si="117"/>
        <v>0</v>
      </c>
      <c r="U147" s="66">
        <f t="shared" si="117"/>
        <v>0</v>
      </c>
      <c r="V147" s="66">
        <f t="shared" si="117"/>
        <v>0</v>
      </c>
      <c r="W147" s="66">
        <f t="shared" si="117"/>
        <v>0</v>
      </c>
      <c r="X147" s="66">
        <f t="shared" si="117"/>
        <v>0</v>
      </c>
      <c r="Y147" s="66">
        <f t="shared" si="117"/>
        <v>0</v>
      </c>
      <c r="Z147" s="66">
        <f t="shared" si="117"/>
        <v>0</v>
      </c>
      <c r="AA147" s="66">
        <f t="shared" si="117"/>
        <v>0</v>
      </c>
      <c r="AB147" s="66">
        <f t="shared" si="117"/>
        <v>0</v>
      </c>
      <c r="AC147" s="66">
        <f t="shared" si="117"/>
        <v>0</v>
      </c>
    </row>
    <row r="148" spans="1:29" x14ac:dyDescent="0.25">
      <c r="A148" s="30" t="str">
        <f t="shared" si="88"/>
        <v>Lifetime vehicle</v>
      </c>
      <c r="B148" s="62">
        <f>$B128+($C128-$B128)*(1-Q128)</f>
        <v>20</v>
      </c>
      <c r="C148" s="62">
        <f t="shared" ref="C148:L150" si="118">$B128+($C128-$B128)*(1-R128)</f>
        <v>20</v>
      </c>
      <c r="D148" s="62">
        <f t="shared" si="118"/>
        <v>20</v>
      </c>
      <c r="E148" s="62">
        <f t="shared" si="118"/>
        <v>20</v>
      </c>
      <c r="F148" s="62">
        <f t="shared" si="118"/>
        <v>20</v>
      </c>
      <c r="G148" s="62">
        <f t="shared" si="118"/>
        <v>20</v>
      </c>
      <c r="H148" s="62">
        <f t="shared" si="118"/>
        <v>20</v>
      </c>
      <c r="I148" s="62">
        <f t="shared" si="118"/>
        <v>20</v>
      </c>
      <c r="J148" s="62">
        <f t="shared" si="118"/>
        <v>20</v>
      </c>
      <c r="K148" s="62">
        <f t="shared" si="118"/>
        <v>20</v>
      </c>
      <c r="L148" s="62">
        <f t="shared" si="118"/>
        <v>20</v>
      </c>
      <c r="M148" s="62">
        <f t="shared" ref="M148:V150" si="119">$B128+($C128-$B128)*(1-AB128)</f>
        <v>20</v>
      </c>
      <c r="N148" s="62">
        <f t="shared" si="119"/>
        <v>20</v>
      </c>
      <c r="O148" s="62">
        <f t="shared" si="119"/>
        <v>20</v>
      </c>
      <c r="P148" s="62">
        <f t="shared" si="119"/>
        <v>20</v>
      </c>
      <c r="Q148" s="62">
        <f t="shared" si="119"/>
        <v>20</v>
      </c>
      <c r="R148" s="62">
        <f t="shared" si="119"/>
        <v>20</v>
      </c>
      <c r="S148" s="62">
        <f t="shared" si="119"/>
        <v>20</v>
      </c>
      <c r="T148" s="62">
        <f t="shared" si="119"/>
        <v>20</v>
      </c>
      <c r="U148" s="62">
        <f t="shared" si="119"/>
        <v>20</v>
      </c>
      <c r="V148" s="62">
        <f t="shared" si="119"/>
        <v>20</v>
      </c>
      <c r="W148" s="62">
        <f t="shared" ref="W148:AC150" si="120">$B128+($C128-$B128)*(1-AL128)</f>
        <v>20</v>
      </c>
      <c r="X148" s="62">
        <f t="shared" si="120"/>
        <v>20</v>
      </c>
      <c r="Y148" s="62">
        <f t="shared" si="120"/>
        <v>20</v>
      </c>
      <c r="Z148" s="62">
        <f t="shared" si="120"/>
        <v>20</v>
      </c>
      <c r="AA148" s="62">
        <f t="shared" si="120"/>
        <v>20</v>
      </c>
      <c r="AB148" s="62">
        <f t="shared" si="120"/>
        <v>20</v>
      </c>
      <c r="AC148" s="62">
        <f t="shared" si="120"/>
        <v>20</v>
      </c>
    </row>
    <row r="149" spans="1:29" x14ac:dyDescent="0.25">
      <c r="A149" s="30" t="str">
        <f t="shared" si="88"/>
        <v>Lifetime costumization</v>
      </c>
      <c r="B149" s="62">
        <f>$B129+($C129-$B129)*(1-Q129)</f>
        <v>30</v>
      </c>
      <c r="C149" s="62">
        <f t="shared" si="118"/>
        <v>30</v>
      </c>
      <c r="D149" s="62">
        <f t="shared" si="118"/>
        <v>30</v>
      </c>
      <c r="E149" s="62">
        <f t="shared" si="118"/>
        <v>30</v>
      </c>
      <c r="F149" s="62">
        <f t="shared" si="118"/>
        <v>30</v>
      </c>
      <c r="G149" s="62">
        <f t="shared" si="118"/>
        <v>30</v>
      </c>
      <c r="H149" s="62">
        <f t="shared" si="118"/>
        <v>30</v>
      </c>
      <c r="I149" s="62">
        <f t="shared" si="118"/>
        <v>30</v>
      </c>
      <c r="J149" s="62">
        <f t="shared" si="118"/>
        <v>30</v>
      </c>
      <c r="K149" s="62">
        <f t="shared" si="118"/>
        <v>30</v>
      </c>
      <c r="L149" s="62">
        <f t="shared" si="118"/>
        <v>30</v>
      </c>
      <c r="M149" s="62">
        <f t="shared" si="119"/>
        <v>30</v>
      </c>
      <c r="N149" s="62">
        <f t="shared" si="119"/>
        <v>30</v>
      </c>
      <c r="O149" s="62">
        <f t="shared" si="119"/>
        <v>30</v>
      </c>
      <c r="P149" s="62">
        <f t="shared" si="119"/>
        <v>30</v>
      </c>
      <c r="Q149" s="62">
        <f t="shared" si="119"/>
        <v>30</v>
      </c>
      <c r="R149" s="62">
        <f t="shared" si="119"/>
        <v>30</v>
      </c>
      <c r="S149" s="62">
        <f t="shared" si="119"/>
        <v>30</v>
      </c>
      <c r="T149" s="62">
        <f t="shared" si="119"/>
        <v>30</v>
      </c>
      <c r="U149" s="62">
        <f t="shared" si="119"/>
        <v>30</v>
      </c>
      <c r="V149" s="62">
        <f t="shared" si="119"/>
        <v>30</v>
      </c>
      <c r="W149" s="62">
        <f t="shared" si="120"/>
        <v>30</v>
      </c>
      <c r="X149" s="62">
        <f t="shared" si="120"/>
        <v>30</v>
      </c>
      <c r="Y149" s="62">
        <f t="shared" si="120"/>
        <v>30</v>
      </c>
      <c r="Z149" s="62">
        <f t="shared" si="120"/>
        <v>30</v>
      </c>
      <c r="AA149" s="62">
        <f t="shared" si="120"/>
        <v>30</v>
      </c>
      <c r="AB149" s="62">
        <f t="shared" si="120"/>
        <v>30</v>
      </c>
      <c r="AC149" s="62">
        <f t="shared" si="120"/>
        <v>30</v>
      </c>
    </row>
    <row r="150" spans="1:29" x14ac:dyDescent="0.25">
      <c r="A150" s="30" t="str">
        <f t="shared" si="88"/>
        <v>Tonnage .</v>
      </c>
      <c r="B150" s="62">
        <f>$B130+($C130-$B130)*(1-Q130)</f>
        <v>2240</v>
      </c>
      <c r="C150" s="62">
        <f t="shared" si="118"/>
        <v>2240</v>
      </c>
      <c r="D150" s="62">
        <f t="shared" si="118"/>
        <v>2240</v>
      </c>
      <c r="E150" s="62">
        <f t="shared" si="118"/>
        <v>2240</v>
      </c>
      <c r="F150" s="62">
        <f t="shared" si="118"/>
        <v>2240</v>
      </c>
      <c r="G150" s="62">
        <f t="shared" si="118"/>
        <v>2240</v>
      </c>
      <c r="H150" s="62">
        <f t="shared" si="118"/>
        <v>2240</v>
      </c>
      <c r="I150" s="62">
        <f t="shared" si="118"/>
        <v>2240</v>
      </c>
      <c r="J150" s="62">
        <f t="shared" si="118"/>
        <v>2240</v>
      </c>
      <c r="K150" s="62">
        <f t="shared" si="118"/>
        <v>2240</v>
      </c>
      <c r="L150" s="62">
        <f t="shared" si="118"/>
        <v>2240</v>
      </c>
      <c r="M150" s="62">
        <f t="shared" si="119"/>
        <v>2240</v>
      </c>
      <c r="N150" s="62">
        <f t="shared" si="119"/>
        <v>2240</v>
      </c>
      <c r="O150" s="62">
        <f t="shared" si="119"/>
        <v>2240</v>
      </c>
      <c r="P150" s="62">
        <f t="shared" si="119"/>
        <v>2240</v>
      </c>
      <c r="Q150" s="62">
        <f t="shared" si="119"/>
        <v>2240</v>
      </c>
      <c r="R150" s="62">
        <f t="shared" si="119"/>
        <v>2240</v>
      </c>
      <c r="S150" s="62">
        <f t="shared" si="119"/>
        <v>2240</v>
      </c>
      <c r="T150" s="62">
        <f t="shared" si="119"/>
        <v>2240</v>
      </c>
      <c r="U150" s="62">
        <f t="shared" si="119"/>
        <v>2240</v>
      </c>
      <c r="V150" s="62">
        <f t="shared" si="119"/>
        <v>2240</v>
      </c>
      <c r="W150" s="62">
        <f t="shared" si="120"/>
        <v>2240</v>
      </c>
      <c r="X150" s="62">
        <f t="shared" si="120"/>
        <v>2240</v>
      </c>
      <c r="Y150" s="62">
        <f t="shared" si="120"/>
        <v>2240</v>
      </c>
      <c r="Z150" s="62">
        <f t="shared" si="120"/>
        <v>2240</v>
      </c>
      <c r="AA150" s="62">
        <f t="shared" si="120"/>
        <v>2240</v>
      </c>
      <c r="AB150" s="62">
        <f t="shared" si="120"/>
        <v>2240</v>
      </c>
      <c r="AC150" s="62">
        <f t="shared" si="120"/>
        <v>2240</v>
      </c>
    </row>
    <row r="151" spans="1:29" x14ac:dyDescent="0.25">
      <c r="A151" s="30" t="str">
        <f t="shared" si="88"/>
        <v>Market failure (av. utilization)</v>
      </c>
      <c r="B151" s="62">
        <f t="shared" ref="B151:K152" si="121">($B131+($C131-$B131)*(1-Q131))*B$44</f>
        <v>955.73333333333335</v>
      </c>
      <c r="C151" s="62">
        <f t="shared" si="121"/>
        <v>955.73333333333335</v>
      </c>
      <c r="D151" s="62">
        <f t="shared" si="121"/>
        <v>955.73333333333335</v>
      </c>
      <c r="E151" s="62">
        <f t="shared" si="121"/>
        <v>955.73333333333335</v>
      </c>
      <c r="F151" s="62">
        <f t="shared" si="121"/>
        <v>955.73333333333335</v>
      </c>
      <c r="G151" s="62">
        <f t="shared" si="121"/>
        <v>955.73333333333335</v>
      </c>
      <c r="H151" s="62">
        <f t="shared" si="121"/>
        <v>955.73333333333335</v>
      </c>
      <c r="I151" s="62">
        <f t="shared" si="121"/>
        <v>955.73333333333335</v>
      </c>
      <c r="J151" s="62">
        <f t="shared" si="121"/>
        <v>955.73333333333335</v>
      </c>
      <c r="K151" s="62">
        <f t="shared" si="121"/>
        <v>955.73333333333335</v>
      </c>
      <c r="L151" s="62">
        <f t="shared" ref="L151:U152" si="122">($B131+($C131-$B131)*(1-AA131))*L$44</f>
        <v>955.73333333333335</v>
      </c>
      <c r="M151" s="62">
        <f t="shared" si="122"/>
        <v>955.73333333333335</v>
      </c>
      <c r="N151" s="62">
        <f t="shared" si="122"/>
        <v>955.73333333333335</v>
      </c>
      <c r="O151" s="62">
        <f t="shared" si="122"/>
        <v>955.73333333333335</v>
      </c>
      <c r="P151" s="62">
        <f t="shared" si="122"/>
        <v>955.73333333333335</v>
      </c>
      <c r="Q151" s="62">
        <f t="shared" si="122"/>
        <v>955.73333333333335</v>
      </c>
      <c r="R151" s="62">
        <f t="shared" si="122"/>
        <v>955.73333333333335</v>
      </c>
      <c r="S151" s="62">
        <f t="shared" si="122"/>
        <v>955.73333333333335</v>
      </c>
      <c r="T151" s="62">
        <f t="shared" si="122"/>
        <v>955.73333333333335</v>
      </c>
      <c r="U151" s="62">
        <f t="shared" si="122"/>
        <v>955.73333333333335</v>
      </c>
      <c r="V151" s="62">
        <f t="shared" ref="V151:AC152" si="123">($B131+($C131-$B131)*(1-AK131))*V$44</f>
        <v>955.73333333333335</v>
      </c>
      <c r="W151" s="62">
        <f t="shared" si="123"/>
        <v>955.73333333333335</v>
      </c>
      <c r="X151" s="62">
        <f t="shared" si="123"/>
        <v>955.73333333333335</v>
      </c>
      <c r="Y151" s="62">
        <f t="shared" si="123"/>
        <v>955.73333333333335</v>
      </c>
      <c r="Z151" s="62">
        <f t="shared" si="123"/>
        <v>955.73333333333335</v>
      </c>
      <c r="AA151" s="62">
        <f t="shared" si="123"/>
        <v>955.73333333333335</v>
      </c>
      <c r="AB151" s="62">
        <f t="shared" si="123"/>
        <v>955.73333333333335</v>
      </c>
      <c r="AC151" s="62">
        <f t="shared" si="123"/>
        <v>955.73333333333335</v>
      </c>
    </row>
    <row r="152" spans="1:29" x14ac:dyDescent="0.25">
      <c r="A152" s="30" t="s">
        <v>73</v>
      </c>
      <c r="B152" s="62">
        <f t="shared" si="121"/>
        <v>0</v>
      </c>
      <c r="C152" s="62">
        <f t="shared" si="121"/>
        <v>0</v>
      </c>
      <c r="D152" s="62">
        <f t="shared" si="121"/>
        <v>0</v>
      </c>
      <c r="E152" s="62">
        <f t="shared" si="121"/>
        <v>0</v>
      </c>
      <c r="F152" s="62">
        <f t="shared" si="121"/>
        <v>0</v>
      </c>
      <c r="G152" s="62">
        <f t="shared" si="121"/>
        <v>0</v>
      </c>
      <c r="H152" s="62">
        <f t="shared" si="121"/>
        <v>0</v>
      </c>
      <c r="I152" s="62">
        <f t="shared" si="121"/>
        <v>0</v>
      </c>
      <c r="J152" s="62">
        <f t="shared" si="121"/>
        <v>0</v>
      </c>
      <c r="K152" s="62">
        <f t="shared" si="121"/>
        <v>0</v>
      </c>
      <c r="L152" s="62">
        <f t="shared" si="122"/>
        <v>0</v>
      </c>
      <c r="M152" s="62">
        <f t="shared" si="122"/>
        <v>0</v>
      </c>
      <c r="N152" s="62">
        <f t="shared" si="122"/>
        <v>0</v>
      </c>
      <c r="O152" s="62">
        <f t="shared" si="122"/>
        <v>0</v>
      </c>
      <c r="P152" s="62">
        <f t="shared" si="122"/>
        <v>0</v>
      </c>
      <c r="Q152" s="62">
        <f t="shared" si="122"/>
        <v>0</v>
      </c>
      <c r="R152" s="62">
        <f t="shared" si="122"/>
        <v>0</v>
      </c>
      <c r="S152" s="62">
        <f t="shared" si="122"/>
        <v>0</v>
      </c>
      <c r="T152" s="62">
        <f t="shared" si="122"/>
        <v>0</v>
      </c>
      <c r="U152" s="62">
        <f t="shared" si="122"/>
        <v>0</v>
      </c>
      <c r="V152" s="62">
        <f t="shared" si="123"/>
        <v>0</v>
      </c>
      <c r="W152" s="62">
        <f t="shared" si="123"/>
        <v>0</v>
      </c>
      <c r="X152" s="62">
        <f t="shared" si="123"/>
        <v>0</v>
      </c>
      <c r="Y152" s="62">
        <f t="shared" si="123"/>
        <v>0</v>
      </c>
      <c r="Z152" s="62">
        <f t="shared" si="123"/>
        <v>0</v>
      </c>
      <c r="AA152" s="62">
        <f t="shared" si="123"/>
        <v>0</v>
      </c>
      <c r="AB152" s="62">
        <f t="shared" si="123"/>
        <v>0</v>
      </c>
      <c r="AC152" s="62">
        <f t="shared" si="123"/>
        <v>0</v>
      </c>
    </row>
    <row r="153" spans="1:29" x14ac:dyDescent="0.25">
      <c r="A153" s="30" t="str">
        <f>A133</f>
        <v>Annual Mileage</v>
      </c>
      <c r="B153" s="62">
        <f t="shared" ref="B153:AC153" si="124">$B133+($C133-$B133)*(1-Q133)</f>
        <v>178500</v>
      </c>
      <c r="C153" s="62">
        <f t="shared" si="124"/>
        <v>178500</v>
      </c>
      <c r="D153" s="62">
        <f t="shared" si="124"/>
        <v>178500</v>
      </c>
      <c r="E153" s="62">
        <f t="shared" si="124"/>
        <v>178500</v>
      </c>
      <c r="F153" s="62">
        <f t="shared" si="124"/>
        <v>178500</v>
      </c>
      <c r="G153" s="62">
        <f t="shared" si="124"/>
        <v>178500</v>
      </c>
      <c r="H153" s="62">
        <f t="shared" si="124"/>
        <v>178500</v>
      </c>
      <c r="I153" s="62">
        <f t="shared" si="124"/>
        <v>178500</v>
      </c>
      <c r="J153" s="62">
        <f t="shared" si="124"/>
        <v>178500</v>
      </c>
      <c r="K153" s="62">
        <f t="shared" si="124"/>
        <v>178500</v>
      </c>
      <c r="L153" s="62">
        <f t="shared" si="124"/>
        <v>178500</v>
      </c>
      <c r="M153" s="62">
        <f t="shared" si="124"/>
        <v>178500</v>
      </c>
      <c r="N153" s="62">
        <f t="shared" si="124"/>
        <v>178500</v>
      </c>
      <c r="O153" s="62">
        <f t="shared" si="124"/>
        <v>178500</v>
      </c>
      <c r="P153" s="62">
        <f t="shared" si="124"/>
        <v>178500</v>
      </c>
      <c r="Q153" s="62">
        <f t="shared" si="124"/>
        <v>178500</v>
      </c>
      <c r="R153" s="62">
        <f t="shared" si="124"/>
        <v>178500</v>
      </c>
      <c r="S153" s="62">
        <f t="shared" si="124"/>
        <v>178500</v>
      </c>
      <c r="T153" s="62">
        <f t="shared" si="124"/>
        <v>178500</v>
      </c>
      <c r="U153" s="62">
        <f t="shared" si="124"/>
        <v>178500</v>
      </c>
      <c r="V153" s="62">
        <f t="shared" si="124"/>
        <v>178500</v>
      </c>
      <c r="W153" s="62">
        <f t="shared" si="124"/>
        <v>178500</v>
      </c>
      <c r="X153" s="62">
        <f t="shared" si="124"/>
        <v>178500</v>
      </c>
      <c r="Y153" s="62">
        <f t="shared" si="124"/>
        <v>178500</v>
      </c>
      <c r="Z153" s="62">
        <f t="shared" si="124"/>
        <v>178500</v>
      </c>
      <c r="AA153" s="62">
        <f t="shared" si="124"/>
        <v>178500</v>
      </c>
      <c r="AB153" s="62">
        <f t="shared" si="124"/>
        <v>178500</v>
      </c>
      <c r="AC153" s="62">
        <f t="shared" si="12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5">((1+C141)^C148)*C141/(((1+C141)^C148)-1)*(C137)</f>
        <v>305145.94941897993</v>
      </c>
      <c r="D156" s="63">
        <f t="shared" si="125"/>
        <v>305145.94941897993</v>
      </c>
      <c r="E156" s="63">
        <f t="shared" si="125"/>
        <v>305145.94941897993</v>
      </c>
      <c r="F156" s="63">
        <f t="shared" si="125"/>
        <v>305145.94941897993</v>
      </c>
      <c r="G156" s="63">
        <f t="shared" si="125"/>
        <v>305145.94941897993</v>
      </c>
      <c r="H156" s="63">
        <f t="shared" si="125"/>
        <v>305145.94941897993</v>
      </c>
      <c r="I156" s="63">
        <f t="shared" si="125"/>
        <v>305145.94941897993</v>
      </c>
      <c r="J156" s="63">
        <f t="shared" si="125"/>
        <v>305145.94941897993</v>
      </c>
      <c r="K156" s="63">
        <f t="shared" si="125"/>
        <v>305145.94941897993</v>
      </c>
      <c r="L156" s="63">
        <f t="shared" si="125"/>
        <v>305145.94941897993</v>
      </c>
      <c r="M156" s="63">
        <f t="shared" si="125"/>
        <v>305145.94941897993</v>
      </c>
      <c r="N156" s="63">
        <f t="shared" si="125"/>
        <v>305145.94941897993</v>
      </c>
      <c r="O156" s="63">
        <f t="shared" si="125"/>
        <v>305145.94941897993</v>
      </c>
      <c r="P156" s="63">
        <f t="shared" si="125"/>
        <v>305145.94941897993</v>
      </c>
      <c r="Q156" s="63">
        <f t="shared" si="125"/>
        <v>305145.94941897993</v>
      </c>
      <c r="R156" s="63">
        <f t="shared" si="125"/>
        <v>305145.94941897993</v>
      </c>
      <c r="S156" s="63">
        <f t="shared" si="125"/>
        <v>305145.94941897993</v>
      </c>
      <c r="T156" s="63">
        <f t="shared" si="125"/>
        <v>305145.94941897993</v>
      </c>
      <c r="U156" s="63">
        <f t="shared" si="125"/>
        <v>305145.94941897993</v>
      </c>
      <c r="V156" s="63">
        <f t="shared" si="125"/>
        <v>305145.94941897993</v>
      </c>
      <c r="W156" s="63">
        <f t="shared" si="125"/>
        <v>305145.94941897993</v>
      </c>
      <c r="X156" s="63">
        <f t="shared" si="125"/>
        <v>305145.94941897993</v>
      </c>
      <c r="Y156" s="63">
        <f t="shared" si="125"/>
        <v>305145.94941897993</v>
      </c>
      <c r="Z156" s="63">
        <f t="shared" si="125"/>
        <v>305145.94941897993</v>
      </c>
      <c r="AA156" s="63">
        <f t="shared" si="125"/>
        <v>305145.94941897993</v>
      </c>
      <c r="AB156" s="63">
        <f t="shared" si="125"/>
        <v>305145.94941897993</v>
      </c>
      <c r="AC156" s="63">
        <f t="shared" si="125"/>
        <v>305145.94941897993</v>
      </c>
    </row>
    <row r="157" spans="1:29" x14ac:dyDescent="0.25">
      <c r="A157" s="30" t="str">
        <f>A138</f>
        <v>Residual value (vehicle)</v>
      </c>
      <c r="B157" s="62">
        <f>((1+B141)^B148)*B141/(((1+B141)^B148)-1)*(B138)</f>
        <v>-45369.034506436277</v>
      </c>
      <c r="C157" s="62">
        <f t="shared" ref="C157:AC157" si="126">((1+C141)^C148)*C141/(((1+C141)^C148)-1)*(C138)</f>
        <v>-45196.542704314146</v>
      </c>
      <c r="D157" s="62">
        <f t="shared" si="126"/>
        <v>-44951.629072308999</v>
      </c>
      <c r="E157" s="62">
        <f t="shared" si="126"/>
        <v>-44605.467188167124</v>
      </c>
      <c r="F157" s="62">
        <f t="shared" si="126"/>
        <v>-44119.462148109647</v>
      </c>
      <c r="G157" s="62">
        <f t="shared" si="126"/>
        <v>-43443.738717137028</v>
      </c>
      <c r="H157" s="62">
        <f t="shared" si="126"/>
        <v>-42517.347172137401</v>
      </c>
      <c r="I157" s="62">
        <f t="shared" si="126"/>
        <v>-41272.376203762586</v>
      </c>
      <c r="J157" s="62">
        <f t="shared" si="126"/>
        <v>-39644.958637393647</v>
      </c>
      <c r="K157" s="62">
        <f t="shared" si="126"/>
        <v>-37595.501281822799</v>
      </c>
      <c r="L157" s="62">
        <f t="shared" si="126"/>
        <v>-35136.211284820376</v>
      </c>
      <c r="M157" s="62">
        <f t="shared" si="126"/>
        <v>-32355.310948630464</v>
      </c>
      <c r="N157" s="62">
        <f t="shared" si="126"/>
        <v>-29419.525873461753</v>
      </c>
      <c r="O157" s="62">
        <f t="shared" si="126"/>
        <v>-26541.511557340396</v>
      </c>
      <c r="P157" s="62">
        <f t="shared" si="126"/>
        <v>-23921.595885610663</v>
      </c>
      <c r="Q157" s="62">
        <f t="shared" si="126"/>
        <v>-21695.040647806538</v>
      </c>
      <c r="R157" s="62">
        <f t="shared" si="126"/>
        <v>-19911.968655776182</v>
      </c>
      <c r="S157" s="62">
        <f t="shared" si="126"/>
        <v>-18551.40558747459</v>
      </c>
      <c r="T157" s="62">
        <f t="shared" si="126"/>
        <v>-17551.282614957105</v>
      </c>
      <c r="U157" s="62">
        <f t="shared" si="126"/>
        <v>-16836.209158050464</v>
      </c>
      <c r="V157" s="62">
        <f t="shared" si="126"/>
        <v>-16335.048266557109</v>
      </c>
      <c r="W157" s="62">
        <f t="shared" si="126"/>
        <v>-15988.715286779448</v>
      </c>
      <c r="X157" s="62">
        <f t="shared" si="126"/>
        <v>-15751.702370283236</v>
      </c>
      <c r="Y157" s="62">
        <f t="shared" si="126"/>
        <v>-15590.58521762073</v>
      </c>
      <c r="Z157" s="62">
        <f t="shared" si="126"/>
        <v>-15481.559033229796</v>
      </c>
      <c r="AA157" s="62">
        <f t="shared" si="126"/>
        <v>-15408.009855414111</v>
      </c>
      <c r="AB157" s="62">
        <f t="shared" si="126"/>
        <v>-15358.496914269901</v>
      </c>
      <c r="AC157" s="62">
        <f t="shared" si="126"/>
        <v>-15325.211858527608</v>
      </c>
    </row>
    <row r="158" spans="1:29" x14ac:dyDescent="0.25">
      <c r="A158" s="30" t="str">
        <f>A139</f>
        <v>Capex costumization</v>
      </c>
      <c r="B158" s="62">
        <f>((1+B141)^B149)*B141/(((1+B141)^B149)-1)*(B139)</f>
        <v>406833.9043442643</v>
      </c>
      <c r="C158" s="62">
        <f t="shared" ref="C158:AC158" si="127">((1+C141)^C149)*C141/(((1+C141)^C149)-1)*(C139)</f>
        <v>406833.9043442643</v>
      </c>
      <c r="D158" s="62">
        <f t="shared" si="127"/>
        <v>406833.9043442643</v>
      </c>
      <c r="E158" s="62">
        <f t="shared" si="127"/>
        <v>406833.9043442643</v>
      </c>
      <c r="F158" s="62">
        <f t="shared" si="127"/>
        <v>406833.9043442643</v>
      </c>
      <c r="G158" s="62">
        <f t="shared" si="127"/>
        <v>406833.9043442643</v>
      </c>
      <c r="H158" s="62">
        <f t="shared" si="127"/>
        <v>406833.9043442643</v>
      </c>
      <c r="I158" s="62">
        <f t="shared" si="127"/>
        <v>406833.9043442643</v>
      </c>
      <c r="J158" s="62">
        <f t="shared" si="127"/>
        <v>406833.9043442643</v>
      </c>
      <c r="K158" s="62">
        <f t="shared" si="127"/>
        <v>406833.9043442643</v>
      </c>
      <c r="L158" s="62">
        <f t="shared" si="127"/>
        <v>406833.9043442643</v>
      </c>
      <c r="M158" s="62">
        <f t="shared" si="127"/>
        <v>406833.9043442643</v>
      </c>
      <c r="N158" s="62">
        <f t="shared" si="127"/>
        <v>406833.9043442643</v>
      </c>
      <c r="O158" s="62">
        <f t="shared" si="127"/>
        <v>406833.9043442643</v>
      </c>
      <c r="P158" s="62">
        <f t="shared" si="127"/>
        <v>406833.9043442643</v>
      </c>
      <c r="Q158" s="62">
        <f t="shared" si="127"/>
        <v>406833.9043442643</v>
      </c>
      <c r="R158" s="62">
        <f t="shared" si="127"/>
        <v>406833.9043442643</v>
      </c>
      <c r="S158" s="62">
        <f t="shared" si="127"/>
        <v>406833.9043442643</v>
      </c>
      <c r="T158" s="62">
        <f t="shared" si="127"/>
        <v>406833.9043442643</v>
      </c>
      <c r="U158" s="62">
        <f t="shared" si="127"/>
        <v>406833.9043442643</v>
      </c>
      <c r="V158" s="62">
        <f t="shared" si="127"/>
        <v>406833.9043442643</v>
      </c>
      <c r="W158" s="62">
        <f t="shared" si="127"/>
        <v>406833.9043442643</v>
      </c>
      <c r="X158" s="62">
        <f t="shared" si="127"/>
        <v>406833.9043442643</v>
      </c>
      <c r="Y158" s="62">
        <f t="shared" si="127"/>
        <v>406833.9043442643</v>
      </c>
      <c r="Z158" s="62">
        <f t="shared" si="127"/>
        <v>406833.9043442643</v>
      </c>
      <c r="AA158" s="62">
        <f t="shared" si="127"/>
        <v>406833.9043442643</v>
      </c>
      <c r="AB158" s="62">
        <f t="shared" si="127"/>
        <v>406833.9043442643</v>
      </c>
      <c r="AC158" s="62">
        <f t="shared" si="127"/>
        <v>406833.9043442643</v>
      </c>
    </row>
    <row r="159" spans="1:29" x14ac:dyDescent="0.25">
      <c r="A159" s="30" t="str">
        <f>A140</f>
        <v>Residual value (costumization)</v>
      </c>
      <c r="B159" s="62">
        <f>((1+B141)^B149)*B141/(((1+B141)^B149)-1)*(B140)</f>
        <v>-20341.695217213215</v>
      </c>
      <c r="C159" s="62">
        <f t="shared" ref="C159:AC159" si="128">((1+C141)^C149)*C141/(((1+C141)^C149)-1)*(C140)</f>
        <v>-20341.695217213215</v>
      </c>
      <c r="D159" s="62">
        <f t="shared" si="128"/>
        <v>-20341.695217213215</v>
      </c>
      <c r="E159" s="62">
        <f t="shared" si="128"/>
        <v>-20341.695217213215</v>
      </c>
      <c r="F159" s="62">
        <f t="shared" si="128"/>
        <v>-20341.695217213215</v>
      </c>
      <c r="G159" s="62">
        <f t="shared" si="128"/>
        <v>-20341.695217213215</v>
      </c>
      <c r="H159" s="62">
        <f t="shared" si="128"/>
        <v>-20341.695217213215</v>
      </c>
      <c r="I159" s="62">
        <f t="shared" si="128"/>
        <v>-20341.695217213215</v>
      </c>
      <c r="J159" s="62">
        <f t="shared" si="128"/>
        <v>-20341.695217213215</v>
      </c>
      <c r="K159" s="62">
        <f t="shared" si="128"/>
        <v>-20341.695217213215</v>
      </c>
      <c r="L159" s="62">
        <f t="shared" si="128"/>
        <v>-20341.695217213215</v>
      </c>
      <c r="M159" s="62">
        <f t="shared" si="128"/>
        <v>-20341.695217213215</v>
      </c>
      <c r="N159" s="62">
        <f t="shared" si="128"/>
        <v>-20341.695217213215</v>
      </c>
      <c r="O159" s="62">
        <f t="shared" si="128"/>
        <v>-20341.695217213215</v>
      </c>
      <c r="P159" s="62">
        <f t="shared" si="128"/>
        <v>-20341.695217213215</v>
      </c>
      <c r="Q159" s="62">
        <f t="shared" si="128"/>
        <v>-20341.695217213215</v>
      </c>
      <c r="R159" s="62">
        <f t="shared" si="128"/>
        <v>-20341.695217213215</v>
      </c>
      <c r="S159" s="62">
        <f t="shared" si="128"/>
        <v>-20341.695217213215</v>
      </c>
      <c r="T159" s="62">
        <f t="shared" si="128"/>
        <v>-20341.695217213215</v>
      </c>
      <c r="U159" s="62">
        <f t="shared" si="128"/>
        <v>-20341.695217213215</v>
      </c>
      <c r="V159" s="62">
        <f t="shared" si="128"/>
        <v>-20341.695217213215</v>
      </c>
      <c r="W159" s="62">
        <f t="shared" si="128"/>
        <v>-20341.695217213215</v>
      </c>
      <c r="X159" s="62">
        <f t="shared" si="128"/>
        <v>-20341.695217213215</v>
      </c>
      <c r="Y159" s="62">
        <f t="shared" si="128"/>
        <v>-20341.695217213215</v>
      </c>
      <c r="Z159" s="62">
        <f t="shared" si="128"/>
        <v>-20341.695217213215</v>
      </c>
      <c r="AA159" s="62">
        <f t="shared" si="128"/>
        <v>-20341.695217213215</v>
      </c>
      <c r="AB159" s="62">
        <f t="shared" si="128"/>
        <v>-20341.695217213215</v>
      </c>
      <c r="AC159" s="62">
        <f t="shared" si="128"/>
        <v>-20341.695217213215</v>
      </c>
    </row>
    <row r="160" spans="1:29" x14ac:dyDescent="0.25">
      <c r="A160" s="30" t="str">
        <f t="shared" ref="A160:AC160" si="129">A142</f>
        <v>Opex fix (admin, crew, insurance)</v>
      </c>
      <c r="B160" s="62">
        <f t="shared" si="129"/>
        <v>620000</v>
      </c>
      <c r="C160" s="62">
        <f t="shared" si="129"/>
        <v>620000</v>
      </c>
      <c r="D160" s="62">
        <f t="shared" si="129"/>
        <v>620000</v>
      </c>
      <c r="E160" s="62">
        <f t="shared" si="129"/>
        <v>620000</v>
      </c>
      <c r="F160" s="62">
        <f t="shared" si="129"/>
        <v>620000</v>
      </c>
      <c r="G160" s="62">
        <f t="shared" si="129"/>
        <v>620000</v>
      </c>
      <c r="H160" s="62">
        <f t="shared" si="129"/>
        <v>620000</v>
      </c>
      <c r="I160" s="62">
        <f t="shared" si="129"/>
        <v>620000</v>
      </c>
      <c r="J160" s="62">
        <f t="shared" si="129"/>
        <v>620000</v>
      </c>
      <c r="K160" s="62">
        <f t="shared" si="129"/>
        <v>620000</v>
      </c>
      <c r="L160" s="62">
        <f t="shared" si="129"/>
        <v>620000</v>
      </c>
      <c r="M160" s="62">
        <f t="shared" si="129"/>
        <v>620000</v>
      </c>
      <c r="N160" s="62">
        <f t="shared" si="129"/>
        <v>620000</v>
      </c>
      <c r="O160" s="62">
        <f t="shared" si="129"/>
        <v>620000</v>
      </c>
      <c r="P160" s="62">
        <f t="shared" si="129"/>
        <v>620000</v>
      </c>
      <c r="Q160" s="62">
        <f t="shared" si="129"/>
        <v>620000</v>
      </c>
      <c r="R160" s="62">
        <f t="shared" si="129"/>
        <v>620000</v>
      </c>
      <c r="S160" s="62">
        <f t="shared" si="129"/>
        <v>620000</v>
      </c>
      <c r="T160" s="62">
        <f t="shared" si="129"/>
        <v>620000</v>
      </c>
      <c r="U160" s="62">
        <f t="shared" si="129"/>
        <v>620000</v>
      </c>
      <c r="V160" s="62">
        <f t="shared" si="129"/>
        <v>620000</v>
      </c>
      <c r="W160" s="62">
        <f t="shared" si="129"/>
        <v>620000</v>
      </c>
      <c r="X160" s="62">
        <f t="shared" si="129"/>
        <v>620000</v>
      </c>
      <c r="Y160" s="62">
        <f t="shared" si="129"/>
        <v>620000</v>
      </c>
      <c r="Z160" s="62">
        <f t="shared" si="129"/>
        <v>620000</v>
      </c>
      <c r="AA160" s="62">
        <f t="shared" si="129"/>
        <v>620000</v>
      </c>
      <c r="AB160" s="62">
        <f t="shared" si="129"/>
        <v>620000</v>
      </c>
      <c r="AC160" s="62">
        <f t="shared" si="129"/>
        <v>620000</v>
      </c>
    </row>
    <row r="161" spans="1:29" x14ac:dyDescent="0.25">
      <c r="A161" s="30" t="str">
        <f t="shared" ref="A161:AC161" si="130">A143</f>
        <v>Opex maintenance &amp; repair</v>
      </c>
      <c r="B161" s="62">
        <f t="shared" si="130"/>
        <v>1050000</v>
      </c>
      <c r="C161" s="62">
        <f t="shared" si="130"/>
        <v>1050000</v>
      </c>
      <c r="D161" s="62">
        <f t="shared" si="130"/>
        <v>1050000</v>
      </c>
      <c r="E161" s="62">
        <f t="shared" si="130"/>
        <v>1050000</v>
      </c>
      <c r="F161" s="62">
        <f t="shared" si="130"/>
        <v>1050000</v>
      </c>
      <c r="G161" s="62">
        <f t="shared" si="130"/>
        <v>1050000</v>
      </c>
      <c r="H161" s="62">
        <f t="shared" si="130"/>
        <v>1050000</v>
      </c>
      <c r="I161" s="62">
        <f t="shared" si="130"/>
        <v>1050000</v>
      </c>
      <c r="J161" s="62">
        <f t="shared" si="130"/>
        <v>1050000</v>
      </c>
      <c r="K161" s="62">
        <f t="shared" si="130"/>
        <v>1050000</v>
      </c>
      <c r="L161" s="62">
        <f t="shared" si="130"/>
        <v>1050000</v>
      </c>
      <c r="M161" s="62">
        <f t="shared" si="130"/>
        <v>1050000</v>
      </c>
      <c r="N161" s="62">
        <f t="shared" si="130"/>
        <v>1050000</v>
      </c>
      <c r="O161" s="62">
        <f t="shared" si="130"/>
        <v>1050000</v>
      </c>
      <c r="P161" s="62">
        <f t="shared" si="130"/>
        <v>1050000</v>
      </c>
      <c r="Q161" s="62">
        <f t="shared" si="130"/>
        <v>1050000</v>
      </c>
      <c r="R161" s="62">
        <f t="shared" si="130"/>
        <v>1050000</v>
      </c>
      <c r="S161" s="62">
        <f t="shared" si="130"/>
        <v>1050000</v>
      </c>
      <c r="T161" s="62">
        <f t="shared" si="130"/>
        <v>1050000</v>
      </c>
      <c r="U161" s="62">
        <f t="shared" si="130"/>
        <v>1050000</v>
      </c>
      <c r="V161" s="62">
        <f t="shared" si="130"/>
        <v>1050000</v>
      </c>
      <c r="W161" s="62">
        <f t="shared" si="130"/>
        <v>1050000</v>
      </c>
      <c r="X161" s="62">
        <f t="shared" si="130"/>
        <v>1050000</v>
      </c>
      <c r="Y161" s="62">
        <f t="shared" si="130"/>
        <v>1050000</v>
      </c>
      <c r="Z161" s="62">
        <f t="shared" si="130"/>
        <v>1050000</v>
      </c>
      <c r="AA161" s="62">
        <f t="shared" si="130"/>
        <v>1050000</v>
      </c>
      <c r="AB161" s="62">
        <f t="shared" si="130"/>
        <v>1050000</v>
      </c>
      <c r="AC161" s="62">
        <f t="shared" si="130"/>
        <v>1050000</v>
      </c>
    </row>
    <row r="162" spans="1:29" x14ac:dyDescent="0.25">
      <c r="A162" s="30" t="str">
        <f>A144</f>
        <v>Opex var (mode-fees, shunting)</v>
      </c>
      <c r="B162" s="62">
        <f>B144*B153</f>
        <v>650000</v>
      </c>
      <c r="C162" s="62">
        <f t="shared" ref="C162:AC162" si="131">C144*C153</f>
        <v>650000</v>
      </c>
      <c r="D162" s="62">
        <f t="shared" si="131"/>
        <v>650000</v>
      </c>
      <c r="E162" s="62">
        <f t="shared" si="131"/>
        <v>650000</v>
      </c>
      <c r="F162" s="62">
        <f t="shared" si="131"/>
        <v>650000</v>
      </c>
      <c r="G162" s="62">
        <f t="shared" si="131"/>
        <v>650000</v>
      </c>
      <c r="H162" s="62">
        <f t="shared" si="131"/>
        <v>650000</v>
      </c>
      <c r="I162" s="62">
        <f t="shared" si="131"/>
        <v>650000</v>
      </c>
      <c r="J162" s="62">
        <f t="shared" si="131"/>
        <v>650000</v>
      </c>
      <c r="K162" s="62">
        <f t="shared" si="131"/>
        <v>650000</v>
      </c>
      <c r="L162" s="62">
        <f t="shared" si="131"/>
        <v>650000</v>
      </c>
      <c r="M162" s="62">
        <f t="shared" si="131"/>
        <v>650000</v>
      </c>
      <c r="N162" s="62">
        <f t="shared" si="131"/>
        <v>650000</v>
      </c>
      <c r="O162" s="62">
        <f t="shared" si="131"/>
        <v>650000</v>
      </c>
      <c r="P162" s="62">
        <f t="shared" si="131"/>
        <v>650000</v>
      </c>
      <c r="Q162" s="62">
        <f t="shared" si="131"/>
        <v>650000</v>
      </c>
      <c r="R162" s="62">
        <f t="shared" si="131"/>
        <v>650000</v>
      </c>
      <c r="S162" s="62">
        <f t="shared" si="131"/>
        <v>650000</v>
      </c>
      <c r="T162" s="62">
        <f t="shared" si="131"/>
        <v>650000</v>
      </c>
      <c r="U162" s="62">
        <f t="shared" si="131"/>
        <v>650000</v>
      </c>
      <c r="V162" s="62">
        <f t="shared" si="131"/>
        <v>650000</v>
      </c>
      <c r="W162" s="62">
        <f t="shared" si="131"/>
        <v>650000</v>
      </c>
      <c r="X162" s="62">
        <f t="shared" si="131"/>
        <v>650000</v>
      </c>
      <c r="Y162" s="62">
        <f t="shared" si="131"/>
        <v>650000</v>
      </c>
      <c r="Z162" s="62">
        <f t="shared" si="131"/>
        <v>650000</v>
      </c>
      <c r="AA162" s="62">
        <f t="shared" si="131"/>
        <v>650000</v>
      </c>
      <c r="AB162" s="62">
        <f t="shared" si="131"/>
        <v>650000</v>
      </c>
      <c r="AC162" s="62">
        <f t="shared" si="131"/>
        <v>650000</v>
      </c>
    </row>
    <row r="163" spans="1:29" x14ac:dyDescent="0.25">
      <c r="A163" s="30" t="str">
        <f>A146</f>
        <v>Fuel Cost</v>
      </c>
      <c r="B163" s="62">
        <f>B145*B146*B153</f>
        <v>888107.33883428562</v>
      </c>
      <c r="C163" s="62">
        <f t="shared" ref="C163:AC163" si="132">C145*C146*C153</f>
        <v>864633.13604571414</v>
      </c>
      <c r="D163" s="62">
        <f t="shared" si="132"/>
        <v>841158.93325714278</v>
      </c>
      <c r="E163" s="62">
        <f t="shared" si="132"/>
        <v>817684.73046857142</v>
      </c>
      <c r="F163" s="62">
        <f t="shared" si="132"/>
        <v>794210.52768000006</v>
      </c>
      <c r="G163" s="62">
        <f t="shared" si="132"/>
        <v>770736.3248914287</v>
      </c>
      <c r="H163" s="62">
        <f t="shared" si="132"/>
        <v>747262.12210285733</v>
      </c>
      <c r="I163" s="62">
        <f t="shared" si="132"/>
        <v>723787.91931428586</v>
      </c>
      <c r="J163" s="62">
        <f t="shared" si="132"/>
        <v>716941.27683428582</v>
      </c>
      <c r="K163" s="62">
        <f t="shared" si="132"/>
        <v>710094.63435428578</v>
      </c>
      <c r="L163" s="62">
        <f t="shared" si="132"/>
        <v>703247.99187428586</v>
      </c>
      <c r="M163" s="62">
        <f t="shared" si="132"/>
        <v>696401.34939428582</v>
      </c>
      <c r="N163" s="62">
        <f t="shared" si="132"/>
        <v>689554.70691428578</v>
      </c>
      <c r="O163" s="62">
        <f t="shared" si="132"/>
        <v>682708.06443428574</v>
      </c>
      <c r="P163" s="62">
        <f t="shared" si="132"/>
        <v>675861.4219542857</v>
      </c>
      <c r="Q163" s="62">
        <f t="shared" si="132"/>
        <v>669014.77947428578</v>
      </c>
      <c r="R163" s="62">
        <f t="shared" si="132"/>
        <v>662168.13699428574</v>
      </c>
      <c r="S163" s="62">
        <f t="shared" si="132"/>
        <v>655321.4945142857</v>
      </c>
      <c r="T163" s="62">
        <f t="shared" si="132"/>
        <v>648474.85203428578</v>
      </c>
      <c r="U163" s="62">
        <f t="shared" si="132"/>
        <v>641628.20955428574</v>
      </c>
      <c r="V163" s="62">
        <f t="shared" si="132"/>
        <v>634781.5670742857</v>
      </c>
      <c r="W163" s="62">
        <f t="shared" si="132"/>
        <v>627934.92459428578</v>
      </c>
      <c r="X163" s="62">
        <f t="shared" si="132"/>
        <v>621088.28211428586</v>
      </c>
      <c r="Y163" s="62">
        <f t="shared" si="132"/>
        <v>614241.63963428582</v>
      </c>
      <c r="Z163" s="62">
        <f t="shared" si="132"/>
        <v>607394.99715428578</v>
      </c>
      <c r="AA163" s="62">
        <f t="shared" si="132"/>
        <v>600548.35467428586</v>
      </c>
      <c r="AB163" s="62">
        <f t="shared" si="132"/>
        <v>593701.71219428582</v>
      </c>
      <c r="AC163" s="62">
        <f t="shared" si="132"/>
        <v>586855.06971428578</v>
      </c>
    </row>
    <row r="164" spans="1:29" ht="15.75" thickBot="1" x14ac:dyDescent="0.3">
      <c r="A164" s="59" t="str">
        <f>A127</f>
        <v>Emission Cost</v>
      </c>
      <c r="B164" s="62">
        <f>B147*B153</f>
        <v>0</v>
      </c>
      <c r="C164" s="62">
        <f t="shared" ref="C164:AC164" si="133">C147*C153</f>
        <v>0</v>
      </c>
      <c r="D164" s="62">
        <f t="shared" si="133"/>
        <v>0</v>
      </c>
      <c r="E164" s="62">
        <f t="shared" si="133"/>
        <v>0</v>
      </c>
      <c r="F164" s="62">
        <f t="shared" si="133"/>
        <v>0</v>
      </c>
      <c r="G164" s="62">
        <f t="shared" si="133"/>
        <v>0</v>
      </c>
      <c r="H164" s="62">
        <f t="shared" si="133"/>
        <v>0</v>
      </c>
      <c r="I164" s="62">
        <f t="shared" si="133"/>
        <v>0</v>
      </c>
      <c r="J164" s="62">
        <f t="shared" si="133"/>
        <v>0</v>
      </c>
      <c r="K164" s="62">
        <f t="shared" si="133"/>
        <v>0</v>
      </c>
      <c r="L164" s="62">
        <f t="shared" si="133"/>
        <v>0</v>
      </c>
      <c r="M164" s="62">
        <f t="shared" si="133"/>
        <v>0</v>
      </c>
      <c r="N164" s="62">
        <f t="shared" si="133"/>
        <v>0</v>
      </c>
      <c r="O164" s="62">
        <f t="shared" si="133"/>
        <v>0</v>
      </c>
      <c r="P164" s="62">
        <f t="shared" si="133"/>
        <v>0</v>
      </c>
      <c r="Q164" s="62">
        <f t="shared" si="133"/>
        <v>0</v>
      </c>
      <c r="R164" s="62">
        <f t="shared" si="133"/>
        <v>0</v>
      </c>
      <c r="S164" s="62">
        <f t="shared" si="133"/>
        <v>0</v>
      </c>
      <c r="T164" s="62">
        <f t="shared" si="133"/>
        <v>0</v>
      </c>
      <c r="U164" s="62">
        <f t="shared" si="133"/>
        <v>0</v>
      </c>
      <c r="V164" s="62">
        <f t="shared" si="133"/>
        <v>0</v>
      </c>
      <c r="W164" s="62">
        <f t="shared" si="133"/>
        <v>0</v>
      </c>
      <c r="X164" s="62">
        <f t="shared" si="133"/>
        <v>0</v>
      </c>
      <c r="Y164" s="62">
        <f t="shared" si="133"/>
        <v>0</v>
      </c>
      <c r="Z164" s="62">
        <f t="shared" si="133"/>
        <v>0</v>
      </c>
      <c r="AA164" s="62">
        <f t="shared" si="133"/>
        <v>0</v>
      </c>
      <c r="AB164" s="62">
        <f t="shared" si="133"/>
        <v>0</v>
      </c>
      <c r="AC164" s="62">
        <f t="shared" si="133"/>
        <v>0</v>
      </c>
    </row>
    <row r="165" spans="1:29" ht="15.75" thickBot="1" x14ac:dyDescent="0.3">
      <c r="A165" s="31" t="s">
        <v>209</v>
      </c>
      <c r="B165" s="64">
        <f>B156+B157+B158+B159+B160+B161+B162+B163+B164</f>
        <v>3854376.4628738803</v>
      </c>
      <c r="C165" s="64">
        <f t="shared" ref="C165:AC165" si="134">C156+C157+C158+C159+C160+C161+C162+C163+C164</f>
        <v>3831074.7518874314</v>
      </c>
      <c r="D165" s="64">
        <f t="shared" si="134"/>
        <v>3807845.462730865</v>
      </c>
      <c r="E165" s="64">
        <f t="shared" si="134"/>
        <v>3784717.4218264353</v>
      </c>
      <c r="F165" s="64">
        <f t="shared" si="134"/>
        <v>3761729.2240779214</v>
      </c>
      <c r="G165" s="64">
        <f t="shared" si="134"/>
        <v>3738930.744720323</v>
      </c>
      <c r="H165" s="64">
        <f t="shared" si="134"/>
        <v>3716382.9334767507</v>
      </c>
      <c r="I165" s="64">
        <f t="shared" si="134"/>
        <v>3694153.7016565539</v>
      </c>
      <c r="J165" s="64">
        <f t="shared" si="134"/>
        <v>3688934.4767429233</v>
      </c>
      <c r="K165" s="64">
        <f t="shared" si="134"/>
        <v>3684137.2916184943</v>
      </c>
      <c r="L165" s="64">
        <f t="shared" si="134"/>
        <v>3679749.9391354965</v>
      </c>
      <c r="M165" s="64">
        <f t="shared" si="134"/>
        <v>3675684.1969916867</v>
      </c>
      <c r="N165" s="64">
        <f t="shared" si="134"/>
        <v>3671773.3395868549</v>
      </c>
      <c r="O165" s="64">
        <f t="shared" si="134"/>
        <v>3667804.7114229766</v>
      </c>
      <c r="P165" s="64">
        <f t="shared" si="134"/>
        <v>3663577.9846147061</v>
      </c>
      <c r="Q165" s="64">
        <f t="shared" si="134"/>
        <v>3658957.8973725103</v>
      </c>
      <c r="R165" s="64">
        <f t="shared" si="134"/>
        <v>3653894.3268845407</v>
      </c>
      <c r="S165" s="64">
        <f t="shared" si="134"/>
        <v>3648408.2474728422</v>
      </c>
      <c r="T165" s="64">
        <f t="shared" si="134"/>
        <v>3642561.7279653596</v>
      </c>
      <c r="U165" s="64">
        <f t="shared" si="134"/>
        <v>3636430.1589422664</v>
      </c>
      <c r="V165" s="64">
        <f t="shared" si="134"/>
        <v>3630084.6773537598</v>
      </c>
      <c r="W165" s="64">
        <f t="shared" si="134"/>
        <v>3623584.3678535372</v>
      </c>
      <c r="X165" s="64">
        <f t="shared" si="134"/>
        <v>3616974.7382900338</v>
      </c>
      <c r="Y165" s="64">
        <f t="shared" si="134"/>
        <v>3610289.2129626963</v>
      </c>
      <c r="Z165" s="64">
        <f t="shared" si="134"/>
        <v>3603551.5966670867</v>
      </c>
      <c r="AA165" s="64">
        <f t="shared" si="134"/>
        <v>3596778.5033649025</v>
      </c>
      <c r="AB165" s="64">
        <f t="shared" si="134"/>
        <v>3589981.3738260469</v>
      </c>
      <c r="AC165" s="64">
        <f t="shared" si="134"/>
        <v>3583168.0164017892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5">A156</f>
        <v>Capex vehicle</v>
      </c>
      <c r="B168" s="65">
        <f>((1+B141)^B148)*B141/(((1+B141)^B148)-1)*(B137)/B153</f>
        <v>1.7095011171931649</v>
      </c>
      <c r="C168" s="65">
        <f t="shared" ref="C168:AC168" si="136">((1+C141)^C148)*C141/(((1+C141)^C148)-1)*(C137)/C153</f>
        <v>1.7095011171931649</v>
      </c>
      <c r="D168" s="65">
        <f t="shared" si="136"/>
        <v>1.7095011171931649</v>
      </c>
      <c r="E168" s="65">
        <f t="shared" si="136"/>
        <v>1.7095011171931649</v>
      </c>
      <c r="F168" s="65">
        <f t="shared" si="136"/>
        <v>1.7095011171931649</v>
      </c>
      <c r="G168" s="65">
        <f t="shared" si="136"/>
        <v>1.7095011171931649</v>
      </c>
      <c r="H168" s="65">
        <f t="shared" si="136"/>
        <v>1.7095011171931649</v>
      </c>
      <c r="I168" s="65">
        <f t="shared" si="136"/>
        <v>1.7095011171931649</v>
      </c>
      <c r="J168" s="65">
        <f t="shared" si="136"/>
        <v>1.7095011171931649</v>
      </c>
      <c r="K168" s="65">
        <f t="shared" si="136"/>
        <v>1.7095011171931649</v>
      </c>
      <c r="L168" s="65">
        <f t="shared" si="136"/>
        <v>1.7095011171931649</v>
      </c>
      <c r="M168" s="65">
        <f t="shared" si="136"/>
        <v>1.7095011171931649</v>
      </c>
      <c r="N168" s="65">
        <f t="shared" si="136"/>
        <v>1.7095011171931649</v>
      </c>
      <c r="O168" s="65">
        <f t="shared" si="136"/>
        <v>1.7095011171931649</v>
      </c>
      <c r="P168" s="65">
        <f t="shared" si="136"/>
        <v>1.7095011171931649</v>
      </c>
      <c r="Q168" s="65">
        <f t="shared" si="136"/>
        <v>1.7095011171931649</v>
      </c>
      <c r="R168" s="65">
        <f t="shared" si="136"/>
        <v>1.7095011171931649</v>
      </c>
      <c r="S168" s="65">
        <f t="shared" si="136"/>
        <v>1.7095011171931649</v>
      </c>
      <c r="T168" s="65">
        <f t="shared" si="136"/>
        <v>1.7095011171931649</v>
      </c>
      <c r="U168" s="65">
        <f t="shared" si="136"/>
        <v>1.7095011171931649</v>
      </c>
      <c r="V168" s="65">
        <f t="shared" si="136"/>
        <v>1.7095011171931649</v>
      </c>
      <c r="W168" s="65">
        <f t="shared" si="136"/>
        <v>1.7095011171931649</v>
      </c>
      <c r="X168" s="65">
        <f t="shared" si="136"/>
        <v>1.7095011171931649</v>
      </c>
      <c r="Y168" s="65">
        <f t="shared" si="136"/>
        <v>1.7095011171931649</v>
      </c>
      <c r="Z168" s="65">
        <f t="shared" si="136"/>
        <v>1.7095011171931649</v>
      </c>
      <c r="AA168" s="65">
        <f t="shared" si="136"/>
        <v>1.7095011171931649</v>
      </c>
      <c r="AB168" s="65">
        <f t="shared" si="136"/>
        <v>1.7095011171931649</v>
      </c>
      <c r="AC168" s="65">
        <f t="shared" si="136"/>
        <v>1.7095011171931649</v>
      </c>
    </row>
    <row r="169" spans="1:29" x14ac:dyDescent="0.25">
      <c r="A169" s="30" t="str">
        <f t="shared" si="135"/>
        <v>Residual value (vehicle)</v>
      </c>
      <c r="B169" s="66">
        <f>((1+B141)^B148)*B141/(((1+B141)^B148)-1)*(B138)/B153</f>
        <v>-0.25416826054025926</v>
      </c>
      <c r="C169" s="66">
        <f t="shared" ref="C169:AC169" si="137">((1+C141)^C148)*C141/(((1+C141)^C148)-1)*(C138)/C153</f>
        <v>-0.2532019199121241</v>
      </c>
      <c r="D169" s="66">
        <f t="shared" si="137"/>
        <v>-0.25182985474682912</v>
      </c>
      <c r="E169" s="66">
        <f t="shared" si="137"/>
        <v>-0.24989057248272897</v>
      </c>
      <c r="F169" s="66">
        <f t="shared" si="137"/>
        <v>-0.24716785517148263</v>
      </c>
      <c r="G169" s="66">
        <f t="shared" si="137"/>
        <v>-0.2433822897318601</v>
      </c>
      <c r="H169" s="66">
        <f t="shared" si="137"/>
        <v>-0.23819242113242242</v>
      </c>
      <c r="I169" s="66">
        <f t="shared" si="137"/>
        <v>-0.23121779385861393</v>
      </c>
      <c r="J169" s="66">
        <f t="shared" si="137"/>
        <v>-0.22210060861284955</v>
      </c>
      <c r="K169" s="66">
        <f t="shared" si="137"/>
        <v>-0.21061905480012771</v>
      </c>
      <c r="L169" s="66">
        <f t="shared" si="137"/>
        <v>-0.19684151980291528</v>
      </c>
      <c r="M169" s="66">
        <f t="shared" si="137"/>
        <v>-0.18126224621081494</v>
      </c>
      <c r="N169" s="66">
        <f t="shared" si="137"/>
        <v>-0.16481527099978574</v>
      </c>
      <c r="O169" s="66">
        <f t="shared" si="137"/>
        <v>-0.14869194149770532</v>
      </c>
      <c r="P169" s="66">
        <f t="shared" si="137"/>
        <v>-0.13401454277653033</v>
      </c>
      <c r="Q169" s="66">
        <f t="shared" si="137"/>
        <v>-0.12154084396530274</v>
      </c>
      <c r="R169" s="66">
        <f t="shared" si="137"/>
        <v>-0.11155164513039878</v>
      </c>
      <c r="S169" s="66">
        <f t="shared" si="137"/>
        <v>-0.10392944306708454</v>
      </c>
      <c r="T169" s="66">
        <f t="shared" si="137"/>
        <v>-9.8326513249059416E-2</v>
      </c>
      <c r="U169" s="66">
        <f t="shared" si="137"/>
        <v>-9.4320499484876544E-2</v>
      </c>
      <c r="V169" s="66">
        <f t="shared" si="137"/>
        <v>-9.1512875442896963E-2</v>
      </c>
      <c r="W169" s="66">
        <f t="shared" si="137"/>
        <v>-8.9572634659828843E-2</v>
      </c>
      <c r="X169" s="66">
        <f t="shared" si="137"/>
        <v>-8.8244831206068547E-2</v>
      </c>
      <c r="Y169" s="66">
        <f t="shared" si="137"/>
        <v>-8.734221410431782E-2</v>
      </c>
      <c r="Z169" s="66">
        <f t="shared" si="137"/>
        <v>-8.6731423155348999E-2</v>
      </c>
      <c r="AA169" s="66">
        <f t="shared" si="137"/>
        <v>-8.631938294349642E-2</v>
      </c>
      <c r="AB169" s="66">
        <f t="shared" si="137"/>
        <v>-8.6041999519719331E-2</v>
      </c>
      <c r="AC169" s="66">
        <f t="shared" si="137"/>
        <v>-8.5855528619202287E-2</v>
      </c>
    </row>
    <row r="170" spans="1:29" x14ac:dyDescent="0.25">
      <c r="A170" s="30" t="str">
        <f t="shared" si="135"/>
        <v>Capex costumization</v>
      </c>
      <c r="B170" s="66">
        <f>((1+B141)^B149)*B141/(((1+B141)^B149)-1)*(B139)/B153</f>
        <v>2.2791815369426573</v>
      </c>
      <c r="C170" s="66">
        <f t="shared" ref="C170:AC170" si="138">((1+C141)^C149)*C141/(((1+C141)^C149)-1)*(C139)/C153</f>
        <v>2.2791815369426573</v>
      </c>
      <c r="D170" s="66">
        <f t="shared" si="138"/>
        <v>2.2791815369426573</v>
      </c>
      <c r="E170" s="66">
        <f t="shared" si="138"/>
        <v>2.2791815369426573</v>
      </c>
      <c r="F170" s="66">
        <f t="shared" si="138"/>
        <v>2.2791815369426573</v>
      </c>
      <c r="G170" s="66">
        <f t="shared" si="138"/>
        <v>2.2791815369426573</v>
      </c>
      <c r="H170" s="66">
        <f t="shared" si="138"/>
        <v>2.2791815369426573</v>
      </c>
      <c r="I170" s="66">
        <f t="shared" si="138"/>
        <v>2.2791815369426573</v>
      </c>
      <c r="J170" s="66">
        <f t="shared" si="138"/>
        <v>2.2791815369426573</v>
      </c>
      <c r="K170" s="66">
        <f t="shared" si="138"/>
        <v>2.2791815369426573</v>
      </c>
      <c r="L170" s="66">
        <f t="shared" si="138"/>
        <v>2.2791815369426573</v>
      </c>
      <c r="M170" s="66">
        <f t="shared" si="138"/>
        <v>2.2791815369426573</v>
      </c>
      <c r="N170" s="66">
        <f t="shared" si="138"/>
        <v>2.2791815369426573</v>
      </c>
      <c r="O170" s="66">
        <f t="shared" si="138"/>
        <v>2.2791815369426573</v>
      </c>
      <c r="P170" s="66">
        <f t="shared" si="138"/>
        <v>2.2791815369426573</v>
      </c>
      <c r="Q170" s="66">
        <f t="shared" si="138"/>
        <v>2.2791815369426573</v>
      </c>
      <c r="R170" s="66">
        <f t="shared" si="138"/>
        <v>2.2791815369426573</v>
      </c>
      <c r="S170" s="66">
        <f t="shared" si="138"/>
        <v>2.2791815369426573</v>
      </c>
      <c r="T170" s="66">
        <f t="shared" si="138"/>
        <v>2.2791815369426573</v>
      </c>
      <c r="U170" s="66">
        <f t="shared" si="138"/>
        <v>2.2791815369426573</v>
      </c>
      <c r="V170" s="66">
        <f t="shared" si="138"/>
        <v>2.2791815369426573</v>
      </c>
      <c r="W170" s="66">
        <f t="shared" si="138"/>
        <v>2.2791815369426573</v>
      </c>
      <c r="X170" s="66">
        <f t="shared" si="138"/>
        <v>2.2791815369426573</v>
      </c>
      <c r="Y170" s="66">
        <f t="shared" si="138"/>
        <v>2.2791815369426573</v>
      </c>
      <c r="Z170" s="66">
        <f t="shared" si="138"/>
        <v>2.2791815369426573</v>
      </c>
      <c r="AA170" s="66">
        <f t="shared" si="138"/>
        <v>2.2791815369426573</v>
      </c>
      <c r="AB170" s="66">
        <f t="shared" si="138"/>
        <v>2.2791815369426573</v>
      </c>
      <c r="AC170" s="66">
        <f t="shared" si="138"/>
        <v>2.2791815369426573</v>
      </c>
    </row>
    <row r="171" spans="1:29" x14ac:dyDescent="0.25">
      <c r="A171" s="30" t="str">
        <f t="shared" si="135"/>
        <v>Residual value (costumization)</v>
      </c>
      <c r="B171" s="66">
        <f>((1+B141)^B149)*B141/(((1+B141)^B149)-1)*(B140)/B153</f>
        <v>-0.11395907684713286</v>
      </c>
      <c r="C171" s="66">
        <f t="shared" ref="C171:AC171" si="139">((1+C141)^C149)*C141/(((1+C141)^C149)-1)*(C140)/C153</f>
        <v>-0.11395907684713286</v>
      </c>
      <c r="D171" s="66">
        <f t="shared" si="139"/>
        <v>-0.11395907684713286</v>
      </c>
      <c r="E171" s="66">
        <f t="shared" si="139"/>
        <v>-0.11395907684713286</v>
      </c>
      <c r="F171" s="66">
        <f t="shared" si="139"/>
        <v>-0.11395907684713286</v>
      </c>
      <c r="G171" s="66">
        <f t="shared" si="139"/>
        <v>-0.11395907684713286</v>
      </c>
      <c r="H171" s="66">
        <f t="shared" si="139"/>
        <v>-0.11395907684713286</v>
      </c>
      <c r="I171" s="66">
        <f t="shared" si="139"/>
        <v>-0.11395907684713286</v>
      </c>
      <c r="J171" s="66">
        <f t="shared" si="139"/>
        <v>-0.11395907684713286</v>
      </c>
      <c r="K171" s="66">
        <f t="shared" si="139"/>
        <v>-0.11395907684713286</v>
      </c>
      <c r="L171" s="66">
        <f t="shared" si="139"/>
        <v>-0.11395907684713286</v>
      </c>
      <c r="M171" s="66">
        <f t="shared" si="139"/>
        <v>-0.11395907684713286</v>
      </c>
      <c r="N171" s="66">
        <f t="shared" si="139"/>
        <v>-0.11395907684713286</v>
      </c>
      <c r="O171" s="66">
        <f t="shared" si="139"/>
        <v>-0.11395907684713286</v>
      </c>
      <c r="P171" s="66">
        <f t="shared" si="139"/>
        <v>-0.11395907684713286</v>
      </c>
      <c r="Q171" s="66">
        <f t="shared" si="139"/>
        <v>-0.11395907684713286</v>
      </c>
      <c r="R171" s="66">
        <f t="shared" si="139"/>
        <v>-0.11395907684713286</v>
      </c>
      <c r="S171" s="66">
        <f t="shared" si="139"/>
        <v>-0.11395907684713286</v>
      </c>
      <c r="T171" s="66">
        <f t="shared" si="139"/>
        <v>-0.11395907684713286</v>
      </c>
      <c r="U171" s="66">
        <f t="shared" si="139"/>
        <v>-0.11395907684713286</v>
      </c>
      <c r="V171" s="66">
        <f t="shared" si="139"/>
        <v>-0.11395907684713286</v>
      </c>
      <c r="W171" s="66">
        <f t="shared" si="139"/>
        <v>-0.11395907684713286</v>
      </c>
      <c r="X171" s="66">
        <f t="shared" si="139"/>
        <v>-0.11395907684713286</v>
      </c>
      <c r="Y171" s="66">
        <f t="shared" si="139"/>
        <v>-0.11395907684713286</v>
      </c>
      <c r="Z171" s="66">
        <f t="shared" si="139"/>
        <v>-0.11395907684713286</v>
      </c>
      <c r="AA171" s="66">
        <f t="shared" si="139"/>
        <v>-0.11395907684713286</v>
      </c>
      <c r="AB171" s="66">
        <f t="shared" si="139"/>
        <v>-0.11395907684713286</v>
      </c>
      <c r="AC171" s="66">
        <f t="shared" si="139"/>
        <v>-0.11395907684713286</v>
      </c>
    </row>
    <row r="172" spans="1:29" x14ac:dyDescent="0.25">
      <c r="A172" s="30" t="str">
        <f t="shared" si="135"/>
        <v>Opex fix (admin, crew, insurance)</v>
      </c>
      <c r="B172" s="66">
        <f>B142/B153</f>
        <v>3.473389355742297</v>
      </c>
      <c r="C172" s="66">
        <f t="shared" ref="C172:AC172" si="140">C142/C153</f>
        <v>3.473389355742297</v>
      </c>
      <c r="D172" s="66">
        <f t="shared" si="140"/>
        <v>3.473389355742297</v>
      </c>
      <c r="E172" s="66">
        <f t="shared" si="140"/>
        <v>3.473389355742297</v>
      </c>
      <c r="F172" s="66">
        <f t="shared" si="140"/>
        <v>3.473389355742297</v>
      </c>
      <c r="G172" s="66">
        <f t="shared" si="140"/>
        <v>3.473389355742297</v>
      </c>
      <c r="H172" s="66">
        <f t="shared" si="140"/>
        <v>3.473389355742297</v>
      </c>
      <c r="I172" s="66">
        <f t="shared" si="140"/>
        <v>3.473389355742297</v>
      </c>
      <c r="J172" s="66">
        <f t="shared" si="140"/>
        <v>3.473389355742297</v>
      </c>
      <c r="K172" s="66">
        <f t="shared" si="140"/>
        <v>3.473389355742297</v>
      </c>
      <c r="L172" s="66">
        <f t="shared" si="140"/>
        <v>3.473389355742297</v>
      </c>
      <c r="M172" s="66">
        <f t="shared" si="140"/>
        <v>3.473389355742297</v>
      </c>
      <c r="N172" s="66">
        <f t="shared" si="140"/>
        <v>3.473389355742297</v>
      </c>
      <c r="O172" s="66">
        <f t="shared" si="140"/>
        <v>3.473389355742297</v>
      </c>
      <c r="P172" s="66">
        <f t="shared" si="140"/>
        <v>3.473389355742297</v>
      </c>
      <c r="Q172" s="66">
        <f t="shared" si="140"/>
        <v>3.473389355742297</v>
      </c>
      <c r="R172" s="66">
        <f t="shared" si="140"/>
        <v>3.473389355742297</v>
      </c>
      <c r="S172" s="66">
        <f t="shared" si="140"/>
        <v>3.473389355742297</v>
      </c>
      <c r="T172" s="66">
        <f t="shared" si="140"/>
        <v>3.473389355742297</v>
      </c>
      <c r="U172" s="66">
        <f t="shared" si="140"/>
        <v>3.473389355742297</v>
      </c>
      <c r="V172" s="66">
        <f t="shared" si="140"/>
        <v>3.473389355742297</v>
      </c>
      <c r="W172" s="66">
        <f t="shared" si="140"/>
        <v>3.473389355742297</v>
      </c>
      <c r="X172" s="66">
        <f t="shared" si="140"/>
        <v>3.473389355742297</v>
      </c>
      <c r="Y172" s="66">
        <f t="shared" si="140"/>
        <v>3.473389355742297</v>
      </c>
      <c r="Z172" s="66">
        <f t="shared" si="140"/>
        <v>3.473389355742297</v>
      </c>
      <c r="AA172" s="66">
        <f t="shared" si="140"/>
        <v>3.473389355742297</v>
      </c>
      <c r="AB172" s="66">
        <f t="shared" si="140"/>
        <v>3.473389355742297</v>
      </c>
      <c r="AC172" s="66">
        <f t="shared" si="140"/>
        <v>3.473389355742297</v>
      </c>
    </row>
    <row r="173" spans="1:29" x14ac:dyDescent="0.25">
      <c r="A173" s="30" t="str">
        <f t="shared" si="135"/>
        <v>Opex maintenance &amp; repair</v>
      </c>
      <c r="B173" s="66">
        <f>B143/B153</f>
        <v>5.882352941176471</v>
      </c>
      <c r="C173" s="66">
        <f t="shared" ref="C173:AC173" si="141">C143/C153</f>
        <v>5.882352941176471</v>
      </c>
      <c r="D173" s="66">
        <f t="shared" si="141"/>
        <v>5.882352941176471</v>
      </c>
      <c r="E173" s="66">
        <f t="shared" si="141"/>
        <v>5.882352941176471</v>
      </c>
      <c r="F173" s="66">
        <f t="shared" si="141"/>
        <v>5.882352941176471</v>
      </c>
      <c r="G173" s="66">
        <f t="shared" si="141"/>
        <v>5.882352941176471</v>
      </c>
      <c r="H173" s="66">
        <f t="shared" si="141"/>
        <v>5.882352941176471</v>
      </c>
      <c r="I173" s="66">
        <f t="shared" si="141"/>
        <v>5.882352941176471</v>
      </c>
      <c r="J173" s="66">
        <f t="shared" si="141"/>
        <v>5.882352941176471</v>
      </c>
      <c r="K173" s="66">
        <f t="shared" si="141"/>
        <v>5.882352941176471</v>
      </c>
      <c r="L173" s="66">
        <f t="shared" si="141"/>
        <v>5.882352941176471</v>
      </c>
      <c r="M173" s="66">
        <f t="shared" si="141"/>
        <v>5.882352941176471</v>
      </c>
      <c r="N173" s="66">
        <f t="shared" si="141"/>
        <v>5.882352941176471</v>
      </c>
      <c r="O173" s="66">
        <f t="shared" si="141"/>
        <v>5.882352941176471</v>
      </c>
      <c r="P173" s="66">
        <f t="shared" si="141"/>
        <v>5.882352941176471</v>
      </c>
      <c r="Q173" s="66">
        <f t="shared" si="141"/>
        <v>5.882352941176471</v>
      </c>
      <c r="R173" s="66">
        <f t="shared" si="141"/>
        <v>5.882352941176471</v>
      </c>
      <c r="S173" s="66">
        <f t="shared" si="141"/>
        <v>5.882352941176471</v>
      </c>
      <c r="T173" s="66">
        <f t="shared" si="141"/>
        <v>5.882352941176471</v>
      </c>
      <c r="U173" s="66">
        <f t="shared" si="141"/>
        <v>5.882352941176471</v>
      </c>
      <c r="V173" s="66">
        <f t="shared" si="141"/>
        <v>5.882352941176471</v>
      </c>
      <c r="W173" s="66">
        <f t="shared" si="141"/>
        <v>5.882352941176471</v>
      </c>
      <c r="X173" s="66">
        <f t="shared" si="141"/>
        <v>5.882352941176471</v>
      </c>
      <c r="Y173" s="66">
        <f t="shared" si="141"/>
        <v>5.882352941176471</v>
      </c>
      <c r="Z173" s="66">
        <f t="shared" si="141"/>
        <v>5.882352941176471</v>
      </c>
      <c r="AA173" s="66">
        <f t="shared" si="141"/>
        <v>5.882352941176471</v>
      </c>
      <c r="AB173" s="66">
        <f t="shared" si="141"/>
        <v>5.882352941176471</v>
      </c>
      <c r="AC173" s="66">
        <f t="shared" si="141"/>
        <v>5.882352941176471</v>
      </c>
    </row>
    <row r="174" spans="1:29" x14ac:dyDescent="0.25">
      <c r="A174" s="30" t="str">
        <f t="shared" si="135"/>
        <v>Opex var (mode-fees, shunting)</v>
      </c>
      <c r="B174" s="66">
        <f>B144*B153/B153</f>
        <v>3.6414565826330532</v>
      </c>
      <c r="C174" s="66">
        <f t="shared" ref="C174:AC174" si="142">C144*C153/C153</f>
        <v>3.6414565826330532</v>
      </c>
      <c r="D174" s="66">
        <f t="shared" si="142"/>
        <v>3.6414565826330532</v>
      </c>
      <c r="E174" s="66">
        <f t="shared" si="142"/>
        <v>3.6414565826330532</v>
      </c>
      <c r="F174" s="66">
        <f t="shared" si="142"/>
        <v>3.6414565826330532</v>
      </c>
      <c r="G174" s="66">
        <f t="shared" si="142"/>
        <v>3.6414565826330532</v>
      </c>
      <c r="H174" s="66">
        <f t="shared" si="142"/>
        <v>3.6414565826330532</v>
      </c>
      <c r="I174" s="66">
        <f t="shared" si="142"/>
        <v>3.6414565826330532</v>
      </c>
      <c r="J174" s="66">
        <f t="shared" si="142"/>
        <v>3.6414565826330532</v>
      </c>
      <c r="K174" s="66">
        <f t="shared" si="142"/>
        <v>3.6414565826330532</v>
      </c>
      <c r="L174" s="66">
        <f t="shared" si="142"/>
        <v>3.6414565826330532</v>
      </c>
      <c r="M174" s="66">
        <f t="shared" si="142"/>
        <v>3.6414565826330532</v>
      </c>
      <c r="N174" s="66">
        <f t="shared" si="142"/>
        <v>3.6414565826330532</v>
      </c>
      <c r="O174" s="66">
        <f t="shared" si="142"/>
        <v>3.6414565826330532</v>
      </c>
      <c r="P174" s="66">
        <f t="shared" si="142"/>
        <v>3.6414565826330532</v>
      </c>
      <c r="Q174" s="66">
        <f t="shared" si="142"/>
        <v>3.6414565826330532</v>
      </c>
      <c r="R174" s="66">
        <f t="shared" si="142"/>
        <v>3.6414565826330532</v>
      </c>
      <c r="S174" s="66">
        <f t="shared" si="142"/>
        <v>3.6414565826330532</v>
      </c>
      <c r="T174" s="66">
        <f t="shared" si="142"/>
        <v>3.6414565826330532</v>
      </c>
      <c r="U174" s="66">
        <f t="shared" si="142"/>
        <v>3.6414565826330532</v>
      </c>
      <c r="V174" s="66">
        <f t="shared" si="142"/>
        <v>3.6414565826330532</v>
      </c>
      <c r="W174" s="66">
        <f t="shared" si="142"/>
        <v>3.6414565826330532</v>
      </c>
      <c r="X174" s="66">
        <f t="shared" si="142"/>
        <v>3.6414565826330532</v>
      </c>
      <c r="Y174" s="66">
        <f t="shared" si="142"/>
        <v>3.6414565826330532</v>
      </c>
      <c r="Z174" s="66">
        <f t="shared" si="142"/>
        <v>3.6414565826330532</v>
      </c>
      <c r="AA174" s="66">
        <f t="shared" si="142"/>
        <v>3.6414565826330532</v>
      </c>
      <c r="AB174" s="66">
        <f t="shared" si="142"/>
        <v>3.6414565826330532</v>
      </c>
      <c r="AC174" s="66">
        <f t="shared" si="142"/>
        <v>3.6414565826330532</v>
      </c>
    </row>
    <row r="175" spans="1:29" x14ac:dyDescent="0.25">
      <c r="A175" s="30" t="str">
        <f t="shared" si="135"/>
        <v>Fuel Cost</v>
      </c>
      <c r="B175" s="66">
        <f>B145*B146*B153/B153</f>
        <v>4.9753912539735889</v>
      </c>
      <c r="C175" s="66">
        <f t="shared" ref="C175:AC175" si="143">C145*C146*C153/C153</f>
        <v>4.8438831151020398</v>
      </c>
      <c r="D175" s="66">
        <f t="shared" si="143"/>
        <v>4.7123749762304916</v>
      </c>
      <c r="E175" s="66">
        <f t="shared" si="143"/>
        <v>4.5808668373589434</v>
      </c>
      <c r="F175" s="66">
        <f t="shared" si="143"/>
        <v>4.4493586984873952</v>
      </c>
      <c r="G175" s="66">
        <f t="shared" si="143"/>
        <v>4.317850559615847</v>
      </c>
      <c r="H175" s="66">
        <f t="shared" si="143"/>
        <v>4.1863424207442987</v>
      </c>
      <c r="I175" s="66">
        <f t="shared" si="143"/>
        <v>4.0548342818727496</v>
      </c>
      <c r="J175" s="66">
        <f t="shared" si="143"/>
        <v>4.016477741368548</v>
      </c>
      <c r="K175" s="66">
        <f t="shared" si="143"/>
        <v>3.9781212008643463</v>
      </c>
      <c r="L175" s="66">
        <f t="shared" si="143"/>
        <v>3.9397646603601451</v>
      </c>
      <c r="M175" s="66">
        <f t="shared" si="143"/>
        <v>3.9014081198559429</v>
      </c>
      <c r="N175" s="66">
        <f t="shared" si="143"/>
        <v>3.8630515793517413</v>
      </c>
      <c r="O175" s="66">
        <f t="shared" si="143"/>
        <v>3.8246950388475391</v>
      </c>
      <c r="P175" s="66">
        <f t="shared" si="143"/>
        <v>3.7863384983433375</v>
      </c>
      <c r="Q175" s="66">
        <f t="shared" si="143"/>
        <v>3.7479819578391362</v>
      </c>
      <c r="R175" s="66">
        <f t="shared" si="143"/>
        <v>3.7096254173349341</v>
      </c>
      <c r="S175" s="66">
        <f t="shared" si="143"/>
        <v>3.6712688768307324</v>
      </c>
      <c r="T175" s="66">
        <f t="shared" si="143"/>
        <v>3.6329123363265308</v>
      </c>
      <c r="U175" s="66">
        <f t="shared" si="143"/>
        <v>3.5945557958223291</v>
      </c>
      <c r="V175" s="66">
        <f t="shared" si="143"/>
        <v>3.556199255318127</v>
      </c>
      <c r="W175" s="66">
        <f t="shared" si="143"/>
        <v>3.5178427148139257</v>
      </c>
      <c r="X175" s="66">
        <f t="shared" si="143"/>
        <v>3.4794861743097245</v>
      </c>
      <c r="Y175" s="66">
        <f t="shared" si="143"/>
        <v>3.4411296338055228</v>
      </c>
      <c r="Z175" s="66">
        <f t="shared" si="143"/>
        <v>3.4027730933013207</v>
      </c>
      <c r="AA175" s="66">
        <f t="shared" si="143"/>
        <v>3.3644165527971195</v>
      </c>
      <c r="AB175" s="66">
        <f t="shared" si="143"/>
        <v>3.3260600122929178</v>
      </c>
      <c r="AC175" s="66">
        <f t="shared" si="143"/>
        <v>3.2877034717887157</v>
      </c>
    </row>
    <row r="176" spans="1:29" ht="15.75" thickBot="1" x14ac:dyDescent="0.3">
      <c r="A176" s="59" t="str">
        <f>A127</f>
        <v>Emission Cost</v>
      </c>
      <c r="B176" s="66">
        <f>B147</f>
        <v>0</v>
      </c>
      <c r="C176" s="66">
        <f t="shared" ref="C176:AC176" si="144">C147</f>
        <v>0</v>
      </c>
      <c r="D176" s="66">
        <f t="shared" si="144"/>
        <v>0</v>
      </c>
      <c r="E176" s="66">
        <f t="shared" si="144"/>
        <v>0</v>
      </c>
      <c r="F176" s="66">
        <f t="shared" si="144"/>
        <v>0</v>
      </c>
      <c r="G176" s="66">
        <f t="shared" si="144"/>
        <v>0</v>
      </c>
      <c r="H176" s="66">
        <f t="shared" si="144"/>
        <v>0</v>
      </c>
      <c r="I176" s="66">
        <f t="shared" si="144"/>
        <v>0</v>
      </c>
      <c r="J176" s="66">
        <f t="shared" si="144"/>
        <v>0</v>
      </c>
      <c r="K176" s="66">
        <f t="shared" si="144"/>
        <v>0</v>
      </c>
      <c r="L176" s="66">
        <f t="shared" si="144"/>
        <v>0</v>
      </c>
      <c r="M176" s="66">
        <f t="shared" si="144"/>
        <v>0</v>
      </c>
      <c r="N176" s="66">
        <f t="shared" si="144"/>
        <v>0</v>
      </c>
      <c r="O176" s="66">
        <f t="shared" si="144"/>
        <v>0</v>
      </c>
      <c r="P176" s="66">
        <f t="shared" si="144"/>
        <v>0</v>
      </c>
      <c r="Q176" s="66">
        <f t="shared" si="144"/>
        <v>0</v>
      </c>
      <c r="R176" s="66">
        <f t="shared" si="144"/>
        <v>0</v>
      </c>
      <c r="S176" s="66">
        <f t="shared" si="144"/>
        <v>0</v>
      </c>
      <c r="T176" s="66">
        <f t="shared" si="144"/>
        <v>0</v>
      </c>
      <c r="U176" s="66">
        <f t="shared" si="144"/>
        <v>0</v>
      </c>
      <c r="V176" s="66">
        <f t="shared" si="144"/>
        <v>0</v>
      </c>
      <c r="W176" s="66">
        <f t="shared" si="144"/>
        <v>0</v>
      </c>
      <c r="X176" s="66">
        <f t="shared" si="144"/>
        <v>0</v>
      </c>
      <c r="Y176" s="66">
        <f t="shared" si="144"/>
        <v>0</v>
      </c>
      <c r="Z176" s="66">
        <f t="shared" si="144"/>
        <v>0</v>
      </c>
      <c r="AA176" s="66">
        <f t="shared" si="144"/>
        <v>0</v>
      </c>
      <c r="AB176" s="66">
        <f t="shared" si="144"/>
        <v>0</v>
      </c>
      <c r="AC176" s="66">
        <f t="shared" si="144"/>
        <v>0</v>
      </c>
    </row>
    <row r="177" spans="1:29" ht="15.75" thickBot="1" x14ac:dyDescent="0.3">
      <c r="A177" s="31" t="s">
        <v>63</v>
      </c>
      <c r="B177" s="76">
        <f>B168+B169+B170-B171+B172+B173+B174+B175+B176</f>
        <v>21.821063603968106</v>
      </c>
      <c r="C177" s="76">
        <f t="shared" ref="C177:AC177" si="145">C168+C169+C170-C171+C172+C173+C174+C175+C176</f>
        <v>21.690521805724693</v>
      </c>
      <c r="D177" s="76">
        <f t="shared" si="145"/>
        <v>21.560385732018439</v>
      </c>
      <c r="E177" s="76">
        <f t="shared" si="145"/>
        <v>21.43081687541099</v>
      </c>
      <c r="F177" s="76">
        <f t="shared" si="145"/>
        <v>21.302031453850688</v>
      </c>
      <c r="G177" s="76">
        <f t="shared" si="145"/>
        <v>21.174308880418764</v>
      </c>
      <c r="H177" s="76">
        <f t="shared" si="145"/>
        <v>21.047990610146655</v>
      </c>
      <c r="I177" s="76">
        <f t="shared" si="145"/>
        <v>20.923457098548912</v>
      </c>
      <c r="J177" s="76">
        <f t="shared" si="145"/>
        <v>20.894217743290476</v>
      </c>
      <c r="K177" s="76">
        <f t="shared" si="145"/>
        <v>20.867342756598998</v>
      </c>
      <c r="L177" s="76">
        <f t="shared" si="145"/>
        <v>20.842763751092004</v>
      </c>
      <c r="M177" s="76">
        <f t="shared" si="145"/>
        <v>20.819986484179907</v>
      </c>
      <c r="N177" s="76">
        <f t="shared" si="145"/>
        <v>20.798076918886732</v>
      </c>
      <c r="O177" s="76">
        <f t="shared" si="145"/>
        <v>20.775843707884611</v>
      </c>
      <c r="P177" s="76">
        <f t="shared" si="145"/>
        <v>20.752164566101584</v>
      </c>
      <c r="Q177" s="76">
        <f t="shared" si="145"/>
        <v>20.726281724408611</v>
      </c>
      <c r="R177" s="76">
        <f t="shared" si="145"/>
        <v>20.697914382739313</v>
      </c>
      <c r="S177" s="76">
        <f t="shared" si="145"/>
        <v>20.667180044298426</v>
      </c>
      <c r="T177" s="76">
        <f t="shared" si="145"/>
        <v>20.634426433612248</v>
      </c>
      <c r="U177" s="76">
        <f t="shared" si="145"/>
        <v>20.600075906872231</v>
      </c>
      <c r="V177" s="76">
        <f t="shared" si="145"/>
        <v>20.564526990410005</v>
      </c>
      <c r="W177" s="76">
        <f t="shared" si="145"/>
        <v>20.528110690688877</v>
      </c>
      <c r="X177" s="76">
        <f t="shared" si="145"/>
        <v>20.491081953638432</v>
      </c>
      <c r="Y177" s="76">
        <f t="shared" si="145"/>
        <v>20.453628030235983</v>
      </c>
      <c r="Z177" s="76">
        <f t="shared" si="145"/>
        <v>20.415882280680748</v>
      </c>
      <c r="AA177" s="76">
        <f t="shared" si="145"/>
        <v>20.3779377803884</v>
      </c>
      <c r="AB177" s="76">
        <f t="shared" si="145"/>
        <v>20.339858623307975</v>
      </c>
      <c r="AC177" s="76">
        <f t="shared" si="145"/>
        <v>20.301688553704292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6">A156</f>
        <v>Capex vehicle</v>
      </c>
      <c r="B180" s="65">
        <f>((1+B141)^B148)*B141/(((1+B141)^B148)-1)*(B137)/B153/(B150)</f>
        <v>7.6317014160409149E-4</v>
      </c>
      <c r="C180" s="65">
        <f t="shared" ref="C180:AC180" si="147">((1+C141)^C148)*C141/(((1+C141)^C148)-1)*(C137)/C153/(C150)</f>
        <v>7.6317014160409149E-4</v>
      </c>
      <c r="D180" s="65">
        <f t="shared" si="147"/>
        <v>7.6317014160409149E-4</v>
      </c>
      <c r="E180" s="65">
        <f t="shared" si="147"/>
        <v>7.6317014160409149E-4</v>
      </c>
      <c r="F180" s="65">
        <f t="shared" si="147"/>
        <v>7.6317014160409149E-4</v>
      </c>
      <c r="G180" s="65">
        <f t="shared" si="147"/>
        <v>7.6317014160409149E-4</v>
      </c>
      <c r="H180" s="65">
        <f t="shared" si="147"/>
        <v>7.6317014160409149E-4</v>
      </c>
      <c r="I180" s="65">
        <f t="shared" si="147"/>
        <v>7.6317014160409149E-4</v>
      </c>
      <c r="J180" s="65">
        <f t="shared" si="147"/>
        <v>7.6317014160409149E-4</v>
      </c>
      <c r="K180" s="65">
        <f t="shared" si="147"/>
        <v>7.6317014160409149E-4</v>
      </c>
      <c r="L180" s="65">
        <f t="shared" si="147"/>
        <v>7.6317014160409149E-4</v>
      </c>
      <c r="M180" s="65">
        <f t="shared" si="147"/>
        <v>7.6317014160409149E-4</v>
      </c>
      <c r="N180" s="65">
        <f t="shared" si="147"/>
        <v>7.6317014160409149E-4</v>
      </c>
      <c r="O180" s="65">
        <f t="shared" si="147"/>
        <v>7.6317014160409149E-4</v>
      </c>
      <c r="P180" s="65">
        <f t="shared" si="147"/>
        <v>7.6317014160409149E-4</v>
      </c>
      <c r="Q180" s="65">
        <f t="shared" si="147"/>
        <v>7.6317014160409149E-4</v>
      </c>
      <c r="R180" s="65">
        <f t="shared" si="147"/>
        <v>7.6317014160409149E-4</v>
      </c>
      <c r="S180" s="65">
        <f t="shared" si="147"/>
        <v>7.6317014160409149E-4</v>
      </c>
      <c r="T180" s="65">
        <f t="shared" si="147"/>
        <v>7.6317014160409149E-4</v>
      </c>
      <c r="U180" s="65">
        <f t="shared" si="147"/>
        <v>7.6317014160409149E-4</v>
      </c>
      <c r="V180" s="65">
        <f t="shared" si="147"/>
        <v>7.6317014160409149E-4</v>
      </c>
      <c r="W180" s="65">
        <f t="shared" si="147"/>
        <v>7.6317014160409149E-4</v>
      </c>
      <c r="X180" s="65">
        <f t="shared" si="147"/>
        <v>7.6317014160409149E-4</v>
      </c>
      <c r="Y180" s="65">
        <f t="shared" si="147"/>
        <v>7.6317014160409149E-4</v>
      </c>
      <c r="Z180" s="65">
        <f t="shared" si="147"/>
        <v>7.6317014160409149E-4</v>
      </c>
      <c r="AA180" s="65">
        <f t="shared" si="147"/>
        <v>7.6317014160409149E-4</v>
      </c>
      <c r="AB180" s="65">
        <f t="shared" si="147"/>
        <v>7.6317014160409149E-4</v>
      </c>
      <c r="AC180" s="65">
        <f t="shared" si="147"/>
        <v>7.6317014160409149E-4</v>
      </c>
    </row>
    <row r="181" spans="1:29" x14ac:dyDescent="0.25">
      <c r="A181" s="30" t="str">
        <f t="shared" si="146"/>
        <v>Residual value (vehicle)</v>
      </c>
      <c r="B181" s="68">
        <f>((1+B141)^B148)*B141/(((1+B141)^B148)-1)*(B138)/B153/(B150)</f>
        <v>-1.1346797345547289E-4</v>
      </c>
      <c r="C181" s="68">
        <f t="shared" ref="C181:AC181" si="148">((1+C141)^C148)*C141/(((1+C141)^C148)-1)*(C138)/C153/(C150)</f>
        <v>-1.1303657138934111E-4</v>
      </c>
      <c r="D181" s="68">
        <f t="shared" si="148"/>
        <v>-1.1242404229769157E-4</v>
      </c>
      <c r="E181" s="68">
        <f t="shared" si="148"/>
        <v>-1.1155829128693258E-4</v>
      </c>
      <c r="F181" s="68">
        <f t="shared" si="148"/>
        <v>-1.1034279248726903E-4</v>
      </c>
      <c r="G181" s="68">
        <f t="shared" si="148"/>
        <v>-1.0865280791600897E-4</v>
      </c>
      <c r="H181" s="68">
        <f t="shared" si="148"/>
        <v>-1.0633590229126001E-4</v>
      </c>
      <c r="I181" s="68">
        <f t="shared" si="148"/>
        <v>-1.0322222940116694E-4</v>
      </c>
      <c r="J181" s="68">
        <f t="shared" si="148"/>
        <v>-9.9152057416450692E-5</v>
      </c>
      <c r="K181" s="68">
        <f t="shared" si="148"/>
        <v>-9.4026363750057009E-5</v>
      </c>
      <c r="L181" s="68">
        <f t="shared" si="148"/>
        <v>-8.7875678483444322E-5</v>
      </c>
      <c r="M181" s="68">
        <f t="shared" si="148"/>
        <v>-8.0920645629828101E-5</v>
      </c>
      <c r="N181" s="68">
        <f t="shared" si="148"/>
        <v>-7.357824598204721E-5</v>
      </c>
      <c r="O181" s="68">
        <f t="shared" si="148"/>
        <v>-6.6380331025761298E-5</v>
      </c>
      <c r="P181" s="68">
        <f t="shared" si="148"/>
        <v>-5.982792088237961E-5</v>
      </c>
      <c r="Q181" s="68">
        <f t="shared" si="148"/>
        <v>-5.4259305341653007E-5</v>
      </c>
      <c r="R181" s="68">
        <f t="shared" si="148"/>
        <v>-4.9799841576070884E-5</v>
      </c>
      <c r="S181" s="68">
        <f t="shared" si="148"/>
        <v>-4.6397072797805602E-5</v>
      </c>
      <c r="T181" s="68">
        <f t="shared" si="148"/>
        <v>-4.3895764843330094E-5</v>
      </c>
      <c r="U181" s="68">
        <f t="shared" si="148"/>
        <v>-4.2107365841462744E-5</v>
      </c>
      <c r="V181" s="68">
        <f t="shared" si="148"/>
        <v>-4.0853962251293284E-5</v>
      </c>
      <c r="W181" s="68">
        <f t="shared" si="148"/>
        <v>-3.9987783330280735E-5</v>
      </c>
      <c r="X181" s="68">
        <f t="shared" si="148"/>
        <v>-3.93950139312806E-5</v>
      </c>
      <c r="Y181" s="68">
        <f t="shared" si="148"/>
        <v>-3.8992059867999029E-5</v>
      </c>
      <c r="Z181" s="68">
        <f t="shared" si="148"/>
        <v>-3.8719385337209372E-5</v>
      </c>
      <c r="AA181" s="68">
        <f t="shared" si="148"/>
        <v>-3.8535438814060903E-5</v>
      </c>
      <c r="AB181" s="68">
        <f t="shared" si="148"/>
        <v>-3.8411606928446129E-5</v>
      </c>
      <c r="AC181" s="68">
        <f t="shared" si="148"/>
        <v>-3.832836099071531E-5</v>
      </c>
    </row>
    <row r="182" spans="1:29" x14ac:dyDescent="0.25">
      <c r="A182" s="30" t="str">
        <f t="shared" si="146"/>
        <v>Capex costumization</v>
      </c>
      <c r="B182" s="66">
        <f>((1+B141)^B149)*B141/(((1+B141)^B149)-1)*(B139)/B153/(B150)</f>
        <v>1.0174917575636864E-3</v>
      </c>
      <c r="C182" s="66">
        <f t="shared" ref="C182:AC182" si="149">((1+C141)^C149)*C141/(((1+C141)^C149)-1)*(C139)/C153/(C150)</f>
        <v>1.0174917575636864E-3</v>
      </c>
      <c r="D182" s="66">
        <f t="shared" si="149"/>
        <v>1.0174917575636864E-3</v>
      </c>
      <c r="E182" s="66">
        <f t="shared" si="149"/>
        <v>1.0174917575636864E-3</v>
      </c>
      <c r="F182" s="66">
        <f t="shared" si="149"/>
        <v>1.0174917575636864E-3</v>
      </c>
      <c r="G182" s="66">
        <f t="shared" si="149"/>
        <v>1.0174917575636864E-3</v>
      </c>
      <c r="H182" s="66">
        <f t="shared" si="149"/>
        <v>1.0174917575636864E-3</v>
      </c>
      <c r="I182" s="66">
        <f t="shared" si="149"/>
        <v>1.0174917575636864E-3</v>
      </c>
      <c r="J182" s="66">
        <f t="shared" si="149"/>
        <v>1.0174917575636864E-3</v>
      </c>
      <c r="K182" s="66">
        <f t="shared" si="149"/>
        <v>1.0174917575636864E-3</v>
      </c>
      <c r="L182" s="66">
        <f t="shared" si="149"/>
        <v>1.0174917575636864E-3</v>
      </c>
      <c r="M182" s="66">
        <f t="shared" si="149"/>
        <v>1.0174917575636864E-3</v>
      </c>
      <c r="N182" s="66">
        <f t="shared" si="149"/>
        <v>1.0174917575636864E-3</v>
      </c>
      <c r="O182" s="66">
        <f t="shared" si="149"/>
        <v>1.0174917575636864E-3</v>
      </c>
      <c r="P182" s="66">
        <f t="shared" si="149"/>
        <v>1.0174917575636864E-3</v>
      </c>
      <c r="Q182" s="66">
        <f t="shared" si="149"/>
        <v>1.0174917575636864E-3</v>
      </c>
      <c r="R182" s="66">
        <f t="shared" si="149"/>
        <v>1.0174917575636864E-3</v>
      </c>
      <c r="S182" s="66">
        <f t="shared" si="149"/>
        <v>1.0174917575636864E-3</v>
      </c>
      <c r="T182" s="66">
        <f t="shared" si="149"/>
        <v>1.0174917575636864E-3</v>
      </c>
      <c r="U182" s="66">
        <f t="shared" si="149"/>
        <v>1.0174917575636864E-3</v>
      </c>
      <c r="V182" s="66">
        <f t="shared" si="149"/>
        <v>1.0174917575636864E-3</v>
      </c>
      <c r="W182" s="66">
        <f t="shared" si="149"/>
        <v>1.0174917575636864E-3</v>
      </c>
      <c r="X182" s="66">
        <f t="shared" si="149"/>
        <v>1.0174917575636864E-3</v>
      </c>
      <c r="Y182" s="66">
        <f t="shared" si="149"/>
        <v>1.0174917575636864E-3</v>
      </c>
      <c r="Z182" s="66">
        <f t="shared" si="149"/>
        <v>1.0174917575636864E-3</v>
      </c>
      <c r="AA182" s="66">
        <f t="shared" si="149"/>
        <v>1.0174917575636864E-3</v>
      </c>
      <c r="AB182" s="66">
        <f t="shared" si="149"/>
        <v>1.0174917575636864E-3</v>
      </c>
      <c r="AC182" s="66">
        <f t="shared" si="149"/>
        <v>1.0174917575636864E-3</v>
      </c>
    </row>
    <row r="183" spans="1:29" x14ac:dyDescent="0.25">
      <c r="A183" s="30" t="str">
        <f t="shared" si="146"/>
        <v>Residual value (costumization)</v>
      </c>
      <c r="B183" s="69">
        <f>((1+B141)^B149)*B141/(((1+B141)^B149)-1)*(B140)/B153/(B150)</f>
        <v>-5.0874587878184312E-5</v>
      </c>
      <c r="C183" s="69">
        <f t="shared" ref="C183:AC183" si="150">((1+C141)^C149)*C141/(((1+C141)^C149)-1)*(C140)/C153/(C150)</f>
        <v>-5.0874587878184312E-5</v>
      </c>
      <c r="D183" s="69">
        <f t="shared" si="150"/>
        <v>-5.0874587878184312E-5</v>
      </c>
      <c r="E183" s="69">
        <f t="shared" si="150"/>
        <v>-5.0874587878184312E-5</v>
      </c>
      <c r="F183" s="69">
        <f t="shared" si="150"/>
        <v>-5.0874587878184312E-5</v>
      </c>
      <c r="G183" s="69">
        <f t="shared" si="150"/>
        <v>-5.0874587878184312E-5</v>
      </c>
      <c r="H183" s="69">
        <f t="shared" si="150"/>
        <v>-5.0874587878184312E-5</v>
      </c>
      <c r="I183" s="69">
        <f t="shared" si="150"/>
        <v>-5.0874587878184312E-5</v>
      </c>
      <c r="J183" s="69">
        <f t="shared" si="150"/>
        <v>-5.0874587878184312E-5</v>
      </c>
      <c r="K183" s="69">
        <f t="shared" si="150"/>
        <v>-5.0874587878184312E-5</v>
      </c>
      <c r="L183" s="69">
        <f t="shared" si="150"/>
        <v>-5.0874587878184312E-5</v>
      </c>
      <c r="M183" s="69">
        <f t="shared" si="150"/>
        <v>-5.0874587878184312E-5</v>
      </c>
      <c r="N183" s="69">
        <f t="shared" si="150"/>
        <v>-5.0874587878184312E-5</v>
      </c>
      <c r="O183" s="69">
        <f t="shared" si="150"/>
        <v>-5.0874587878184312E-5</v>
      </c>
      <c r="P183" s="69">
        <f t="shared" si="150"/>
        <v>-5.0874587878184312E-5</v>
      </c>
      <c r="Q183" s="69">
        <f t="shared" si="150"/>
        <v>-5.0874587878184312E-5</v>
      </c>
      <c r="R183" s="69">
        <f t="shared" si="150"/>
        <v>-5.0874587878184312E-5</v>
      </c>
      <c r="S183" s="69">
        <f t="shared" si="150"/>
        <v>-5.0874587878184312E-5</v>
      </c>
      <c r="T183" s="69">
        <f t="shared" si="150"/>
        <v>-5.0874587878184312E-5</v>
      </c>
      <c r="U183" s="69">
        <f t="shared" si="150"/>
        <v>-5.0874587878184312E-5</v>
      </c>
      <c r="V183" s="69">
        <f t="shared" si="150"/>
        <v>-5.0874587878184312E-5</v>
      </c>
      <c r="W183" s="69">
        <f t="shared" si="150"/>
        <v>-5.0874587878184312E-5</v>
      </c>
      <c r="X183" s="69">
        <f t="shared" si="150"/>
        <v>-5.0874587878184312E-5</v>
      </c>
      <c r="Y183" s="69">
        <f t="shared" si="150"/>
        <v>-5.0874587878184312E-5</v>
      </c>
      <c r="Z183" s="69">
        <f t="shared" si="150"/>
        <v>-5.0874587878184312E-5</v>
      </c>
      <c r="AA183" s="69">
        <f t="shared" si="150"/>
        <v>-5.0874587878184312E-5</v>
      </c>
      <c r="AB183" s="69">
        <f t="shared" si="150"/>
        <v>-5.0874587878184312E-5</v>
      </c>
      <c r="AC183" s="69">
        <f t="shared" si="150"/>
        <v>-5.0874587878184312E-5</v>
      </c>
    </row>
    <row r="184" spans="1:29" x14ac:dyDescent="0.25">
      <c r="A184" s="30" t="str">
        <f t="shared" si="146"/>
        <v>Opex fix (admin, crew, insurance)</v>
      </c>
      <c r="B184" s="66">
        <f>B142/B153/(B150)</f>
        <v>1.5506202480992397E-3</v>
      </c>
      <c r="C184" s="66">
        <f t="shared" ref="C184:AC184" si="151">C142/C153/(C150)</f>
        <v>1.5506202480992397E-3</v>
      </c>
      <c r="D184" s="66">
        <f t="shared" si="151"/>
        <v>1.5506202480992397E-3</v>
      </c>
      <c r="E184" s="66">
        <f t="shared" si="151"/>
        <v>1.5506202480992397E-3</v>
      </c>
      <c r="F184" s="66">
        <f t="shared" si="151"/>
        <v>1.5506202480992397E-3</v>
      </c>
      <c r="G184" s="66">
        <f t="shared" si="151"/>
        <v>1.5506202480992397E-3</v>
      </c>
      <c r="H184" s="66">
        <f t="shared" si="151"/>
        <v>1.5506202480992397E-3</v>
      </c>
      <c r="I184" s="66">
        <f t="shared" si="151"/>
        <v>1.5506202480992397E-3</v>
      </c>
      <c r="J184" s="66">
        <f t="shared" si="151"/>
        <v>1.5506202480992397E-3</v>
      </c>
      <c r="K184" s="66">
        <f t="shared" si="151"/>
        <v>1.5506202480992397E-3</v>
      </c>
      <c r="L184" s="66">
        <f t="shared" si="151"/>
        <v>1.5506202480992397E-3</v>
      </c>
      <c r="M184" s="66">
        <f t="shared" si="151"/>
        <v>1.5506202480992397E-3</v>
      </c>
      <c r="N184" s="66">
        <f t="shared" si="151"/>
        <v>1.5506202480992397E-3</v>
      </c>
      <c r="O184" s="66">
        <f t="shared" si="151"/>
        <v>1.5506202480992397E-3</v>
      </c>
      <c r="P184" s="66">
        <f t="shared" si="151"/>
        <v>1.5506202480992397E-3</v>
      </c>
      <c r="Q184" s="66">
        <f t="shared" si="151"/>
        <v>1.5506202480992397E-3</v>
      </c>
      <c r="R184" s="66">
        <f t="shared" si="151"/>
        <v>1.5506202480992397E-3</v>
      </c>
      <c r="S184" s="66">
        <f t="shared" si="151"/>
        <v>1.5506202480992397E-3</v>
      </c>
      <c r="T184" s="66">
        <f t="shared" si="151"/>
        <v>1.5506202480992397E-3</v>
      </c>
      <c r="U184" s="66">
        <f t="shared" si="151"/>
        <v>1.5506202480992397E-3</v>
      </c>
      <c r="V184" s="66">
        <f t="shared" si="151"/>
        <v>1.5506202480992397E-3</v>
      </c>
      <c r="W184" s="66">
        <f t="shared" si="151"/>
        <v>1.5506202480992397E-3</v>
      </c>
      <c r="X184" s="66">
        <f t="shared" si="151"/>
        <v>1.5506202480992397E-3</v>
      </c>
      <c r="Y184" s="66">
        <f t="shared" si="151"/>
        <v>1.5506202480992397E-3</v>
      </c>
      <c r="Z184" s="66">
        <f t="shared" si="151"/>
        <v>1.5506202480992397E-3</v>
      </c>
      <c r="AA184" s="66">
        <f t="shared" si="151"/>
        <v>1.5506202480992397E-3</v>
      </c>
      <c r="AB184" s="66">
        <f t="shared" si="151"/>
        <v>1.5506202480992397E-3</v>
      </c>
      <c r="AC184" s="66">
        <f t="shared" si="151"/>
        <v>1.5506202480992397E-3</v>
      </c>
    </row>
    <row r="185" spans="1:29" x14ac:dyDescent="0.25">
      <c r="A185" s="30" t="str">
        <f t="shared" si="146"/>
        <v>Opex maintenance &amp; repair</v>
      </c>
      <c r="B185" s="66">
        <f>B143/B153/(B150)</f>
        <v>2.6260504201680674E-3</v>
      </c>
      <c r="C185" s="66">
        <f t="shared" ref="C185:AC185" si="152">C143/C153/(C150)</f>
        <v>2.6260504201680674E-3</v>
      </c>
      <c r="D185" s="66">
        <f t="shared" si="152"/>
        <v>2.6260504201680674E-3</v>
      </c>
      <c r="E185" s="66">
        <f t="shared" si="152"/>
        <v>2.6260504201680674E-3</v>
      </c>
      <c r="F185" s="66">
        <f t="shared" si="152"/>
        <v>2.6260504201680674E-3</v>
      </c>
      <c r="G185" s="66">
        <f t="shared" si="152"/>
        <v>2.6260504201680674E-3</v>
      </c>
      <c r="H185" s="66">
        <f t="shared" si="152"/>
        <v>2.6260504201680674E-3</v>
      </c>
      <c r="I185" s="66">
        <f t="shared" si="152"/>
        <v>2.6260504201680674E-3</v>
      </c>
      <c r="J185" s="66">
        <f t="shared" si="152"/>
        <v>2.6260504201680674E-3</v>
      </c>
      <c r="K185" s="66">
        <f t="shared" si="152"/>
        <v>2.6260504201680674E-3</v>
      </c>
      <c r="L185" s="66">
        <f t="shared" si="152"/>
        <v>2.6260504201680674E-3</v>
      </c>
      <c r="M185" s="66">
        <f t="shared" si="152"/>
        <v>2.6260504201680674E-3</v>
      </c>
      <c r="N185" s="66">
        <f t="shared" si="152"/>
        <v>2.6260504201680674E-3</v>
      </c>
      <c r="O185" s="66">
        <f t="shared" si="152"/>
        <v>2.6260504201680674E-3</v>
      </c>
      <c r="P185" s="66">
        <f t="shared" si="152"/>
        <v>2.6260504201680674E-3</v>
      </c>
      <c r="Q185" s="66">
        <f t="shared" si="152"/>
        <v>2.6260504201680674E-3</v>
      </c>
      <c r="R185" s="66">
        <f t="shared" si="152"/>
        <v>2.6260504201680674E-3</v>
      </c>
      <c r="S185" s="66">
        <f t="shared" si="152"/>
        <v>2.6260504201680674E-3</v>
      </c>
      <c r="T185" s="66">
        <f t="shared" si="152"/>
        <v>2.6260504201680674E-3</v>
      </c>
      <c r="U185" s="66">
        <f t="shared" si="152"/>
        <v>2.6260504201680674E-3</v>
      </c>
      <c r="V185" s="66">
        <f t="shared" si="152"/>
        <v>2.6260504201680674E-3</v>
      </c>
      <c r="W185" s="66">
        <f t="shared" si="152"/>
        <v>2.6260504201680674E-3</v>
      </c>
      <c r="X185" s="66">
        <f t="shared" si="152"/>
        <v>2.6260504201680674E-3</v>
      </c>
      <c r="Y185" s="66">
        <f t="shared" si="152"/>
        <v>2.6260504201680674E-3</v>
      </c>
      <c r="Z185" s="66">
        <f t="shared" si="152"/>
        <v>2.6260504201680674E-3</v>
      </c>
      <c r="AA185" s="66">
        <f t="shared" si="152"/>
        <v>2.6260504201680674E-3</v>
      </c>
      <c r="AB185" s="66">
        <f t="shared" si="152"/>
        <v>2.6260504201680674E-3</v>
      </c>
      <c r="AC185" s="66">
        <f t="shared" si="152"/>
        <v>2.6260504201680674E-3</v>
      </c>
    </row>
    <row r="186" spans="1:29" x14ac:dyDescent="0.25">
      <c r="A186" s="30" t="str">
        <f t="shared" si="146"/>
        <v>Opex var (mode-fees, shunting)</v>
      </c>
      <c r="B186" s="66">
        <f>B144*B153/B153/(B150)</f>
        <v>1.6256502601040416E-3</v>
      </c>
      <c r="C186" s="66">
        <f t="shared" ref="C186:AC186" si="153">C144*C153/C153/(C150)</f>
        <v>1.6256502601040416E-3</v>
      </c>
      <c r="D186" s="66">
        <f t="shared" si="153"/>
        <v>1.6256502601040416E-3</v>
      </c>
      <c r="E186" s="66">
        <f t="shared" si="153"/>
        <v>1.6256502601040416E-3</v>
      </c>
      <c r="F186" s="66">
        <f t="shared" si="153"/>
        <v>1.6256502601040416E-3</v>
      </c>
      <c r="G186" s="66">
        <f t="shared" si="153"/>
        <v>1.6256502601040416E-3</v>
      </c>
      <c r="H186" s="66">
        <f t="shared" si="153"/>
        <v>1.6256502601040416E-3</v>
      </c>
      <c r="I186" s="66">
        <f t="shared" si="153"/>
        <v>1.6256502601040416E-3</v>
      </c>
      <c r="J186" s="66">
        <f t="shared" si="153"/>
        <v>1.6256502601040416E-3</v>
      </c>
      <c r="K186" s="66">
        <f t="shared" si="153"/>
        <v>1.6256502601040416E-3</v>
      </c>
      <c r="L186" s="66">
        <f t="shared" si="153"/>
        <v>1.6256502601040416E-3</v>
      </c>
      <c r="M186" s="66">
        <f t="shared" si="153"/>
        <v>1.6256502601040416E-3</v>
      </c>
      <c r="N186" s="66">
        <f t="shared" si="153"/>
        <v>1.6256502601040416E-3</v>
      </c>
      <c r="O186" s="66">
        <f t="shared" si="153"/>
        <v>1.6256502601040416E-3</v>
      </c>
      <c r="P186" s="66">
        <f t="shared" si="153"/>
        <v>1.6256502601040416E-3</v>
      </c>
      <c r="Q186" s="66">
        <f t="shared" si="153"/>
        <v>1.6256502601040416E-3</v>
      </c>
      <c r="R186" s="66">
        <f t="shared" si="153"/>
        <v>1.6256502601040416E-3</v>
      </c>
      <c r="S186" s="66">
        <f t="shared" si="153"/>
        <v>1.6256502601040416E-3</v>
      </c>
      <c r="T186" s="66">
        <f t="shared" si="153"/>
        <v>1.6256502601040416E-3</v>
      </c>
      <c r="U186" s="66">
        <f t="shared" si="153"/>
        <v>1.6256502601040416E-3</v>
      </c>
      <c r="V186" s="66">
        <f t="shared" si="153"/>
        <v>1.6256502601040416E-3</v>
      </c>
      <c r="W186" s="66">
        <f t="shared" si="153"/>
        <v>1.6256502601040416E-3</v>
      </c>
      <c r="X186" s="66">
        <f t="shared" si="153"/>
        <v>1.6256502601040416E-3</v>
      </c>
      <c r="Y186" s="66">
        <f t="shared" si="153"/>
        <v>1.6256502601040416E-3</v>
      </c>
      <c r="Z186" s="66">
        <f t="shared" si="153"/>
        <v>1.6256502601040416E-3</v>
      </c>
      <c r="AA186" s="66">
        <f t="shared" si="153"/>
        <v>1.6256502601040416E-3</v>
      </c>
      <c r="AB186" s="66">
        <f t="shared" si="153"/>
        <v>1.6256502601040416E-3</v>
      </c>
      <c r="AC186" s="66">
        <f t="shared" si="153"/>
        <v>1.6256502601040416E-3</v>
      </c>
    </row>
    <row r="187" spans="1:29" x14ac:dyDescent="0.25">
      <c r="A187" s="30" t="str">
        <f t="shared" si="146"/>
        <v>Fuel Cost</v>
      </c>
      <c r="B187" s="66">
        <f>B145*B146*B153/B153/(B150)</f>
        <v>2.2211568098096379E-3</v>
      </c>
      <c r="C187" s="66">
        <f t="shared" ref="C187:AC187" si="154">C145*C146*C153/C153/(C150)</f>
        <v>2.162447819241982E-3</v>
      </c>
      <c r="D187" s="66">
        <f t="shared" si="154"/>
        <v>2.1037388286743266E-3</v>
      </c>
      <c r="E187" s="66">
        <f t="shared" si="154"/>
        <v>2.0450298381066712E-3</v>
      </c>
      <c r="F187" s="66">
        <f t="shared" si="154"/>
        <v>1.9863208475390157E-3</v>
      </c>
      <c r="G187" s="66">
        <f t="shared" si="154"/>
        <v>1.9276118569713603E-3</v>
      </c>
      <c r="H187" s="66">
        <f t="shared" si="154"/>
        <v>1.8689028664037048E-3</v>
      </c>
      <c r="I187" s="66">
        <f t="shared" si="154"/>
        <v>1.810193875836049E-3</v>
      </c>
      <c r="J187" s="66">
        <f t="shared" si="154"/>
        <v>1.793070420253816E-3</v>
      </c>
      <c r="K187" s="66">
        <f t="shared" si="154"/>
        <v>1.7759469646715831E-3</v>
      </c>
      <c r="L187" s="66">
        <f t="shared" si="154"/>
        <v>1.7588235090893504E-3</v>
      </c>
      <c r="M187" s="66">
        <f t="shared" si="154"/>
        <v>1.7417000535071175E-3</v>
      </c>
      <c r="N187" s="66">
        <f t="shared" si="154"/>
        <v>1.7245765979248845E-3</v>
      </c>
      <c r="O187" s="66">
        <f t="shared" si="154"/>
        <v>1.7074531423426514E-3</v>
      </c>
      <c r="P187" s="66">
        <f t="shared" si="154"/>
        <v>1.6903296867604185E-3</v>
      </c>
      <c r="Q187" s="66">
        <f t="shared" si="154"/>
        <v>1.6732062311781858E-3</v>
      </c>
      <c r="R187" s="66">
        <f t="shared" si="154"/>
        <v>1.6560827755959528E-3</v>
      </c>
      <c r="S187" s="66">
        <f t="shared" si="154"/>
        <v>1.6389593200137199E-3</v>
      </c>
      <c r="T187" s="66">
        <f t="shared" si="154"/>
        <v>1.621835864431487E-3</v>
      </c>
      <c r="U187" s="66">
        <f t="shared" si="154"/>
        <v>1.604712408849254E-3</v>
      </c>
      <c r="V187" s="66">
        <f t="shared" si="154"/>
        <v>1.5875889532670209E-3</v>
      </c>
      <c r="W187" s="66">
        <f t="shared" si="154"/>
        <v>1.5704654976847882E-3</v>
      </c>
      <c r="X187" s="66">
        <f t="shared" si="154"/>
        <v>1.5533420421025557E-3</v>
      </c>
      <c r="Y187" s="66">
        <f t="shared" si="154"/>
        <v>1.5362185865203228E-3</v>
      </c>
      <c r="Z187" s="66">
        <f t="shared" si="154"/>
        <v>1.5190951309380896E-3</v>
      </c>
      <c r="AA187" s="66">
        <f t="shared" si="154"/>
        <v>1.5019716753558569E-3</v>
      </c>
      <c r="AB187" s="66">
        <f t="shared" si="154"/>
        <v>1.484848219773624E-3</v>
      </c>
      <c r="AC187" s="66">
        <f t="shared" si="154"/>
        <v>1.4677247641913908E-3</v>
      </c>
    </row>
    <row r="188" spans="1:29" x14ac:dyDescent="0.25">
      <c r="A188" s="59" t="str">
        <f>A151</f>
        <v>Market failure (av. utilization)</v>
      </c>
      <c r="B188" s="66">
        <f t="shared" ref="B188:AC188" si="155">B177/B151-B177/B150</f>
        <v>1.3090202775817922E-2</v>
      </c>
      <c r="C188" s="66">
        <f t="shared" si="155"/>
        <v>1.3011892266268995E-2</v>
      </c>
      <c r="D188" s="66">
        <f t="shared" si="155"/>
        <v>1.2933825146160616E-2</v>
      </c>
      <c r="E188" s="66">
        <f t="shared" si="155"/>
        <v>1.2856098293006034E-2</v>
      </c>
      <c r="F188" s="66">
        <f t="shared" si="155"/>
        <v>1.2778841413442796E-2</v>
      </c>
      <c r="G188" s="66">
        <f t="shared" si="155"/>
        <v>1.2702222124135141E-2</v>
      </c>
      <c r="H188" s="66">
        <f t="shared" si="155"/>
        <v>1.2626445259993109E-2</v>
      </c>
      <c r="I188" s="66">
        <f t="shared" si="155"/>
        <v>1.2551739051863882E-2</v>
      </c>
      <c r="J188" s="66">
        <f t="shared" si="155"/>
        <v>1.2534198702029722E-2</v>
      </c>
      <c r="K188" s="66">
        <f t="shared" si="155"/>
        <v>1.2518076709455312E-2</v>
      </c>
      <c r="L188" s="66">
        <f t="shared" si="155"/>
        <v>1.2503332049343696E-2</v>
      </c>
      <c r="M188" s="66">
        <f t="shared" si="155"/>
        <v>1.2489668231302119E-2</v>
      </c>
      <c r="N188" s="66">
        <f t="shared" si="155"/>
        <v>1.2476524937390201E-2</v>
      </c>
      <c r="O188" s="66">
        <f t="shared" si="155"/>
        <v>1.2463187492174083E-2</v>
      </c>
      <c r="P188" s="66">
        <f t="shared" si="155"/>
        <v>1.2448982649865627E-2</v>
      </c>
      <c r="Q188" s="66">
        <f t="shared" si="155"/>
        <v>1.2433455833559853E-2</v>
      </c>
      <c r="R188" s="66">
        <f t="shared" si="155"/>
        <v>1.2416438594556227E-2</v>
      </c>
      <c r="S188" s="66">
        <f t="shared" si="155"/>
        <v>1.2398001421663397E-2</v>
      </c>
      <c r="T188" s="66">
        <f t="shared" si="155"/>
        <v>1.2378352910788598E-2</v>
      </c>
      <c r="U188" s="66">
        <f t="shared" si="155"/>
        <v>1.2357746428508731E-2</v>
      </c>
      <c r="V188" s="66">
        <f t="shared" si="155"/>
        <v>1.2336421046144394E-2</v>
      </c>
      <c r="W188" s="66">
        <f t="shared" si="155"/>
        <v>1.2314575330630883E-2</v>
      </c>
      <c r="X188" s="66">
        <f t="shared" si="155"/>
        <v>1.2292362221072162E-2</v>
      </c>
      <c r="Y188" s="66">
        <f t="shared" si="155"/>
        <v>1.2269894047156071E-2</v>
      </c>
      <c r="Z188" s="66">
        <f t="shared" si="155"/>
        <v>1.2247250810118192E-2</v>
      </c>
      <c r="AA188" s="66">
        <f t="shared" si="155"/>
        <v>1.222448834482005E-2</v>
      </c>
      <c r="AB188" s="66">
        <f t="shared" si="155"/>
        <v>1.220164510047772E-2</v>
      </c>
      <c r="AC188" s="66">
        <f t="shared" si="155"/>
        <v>1.217874731876792E-2</v>
      </c>
    </row>
    <row r="189" spans="1:29" x14ac:dyDescent="0.25">
      <c r="A189" s="59" t="str">
        <f>A152</f>
        <v>Payload loss (fuel)</v>
      </c>
      <c r="B189" s="66">
        <f>B177/(B150-B152)-B177/B150</f>
        <v>0</v>
      </c>
      <c r="C189" s="66">
        <f t="shared" ref="C189:AC189" si="156">C177/(C150-C152)-C177/C150</f>
        <v>0</v>
      </c>
      <c r="D189" s="66">
        <f t="shared" si="156"/>
        <v>0</v>
      </c>
      <c r="E189" s="66">
        <f t="shared" si="156"/>
        <v>0</v>
      </c>
      <c r="F189" s="66">
        <f t="shared" si="156"/>
        <v>0</v>
      </c>
      <c r="G189" s="66">
        <f t="shared" si="156"/>
        <v>0</v>
      </c>
      <c r="H189" s="66">
        <f t="shared" si="156"/>
        <v>0</v>
      </c>
      <c r="I189" s="66">
        <f t="shared" si="156"/>
        <v>0</v>
      </c>
      <c r="J189" s="66">
        <f t="shared" si="156"/>
        <v>0</v>
      </c>
      <c r="K189" s="66">
        <f t="shared" si="156"/>
        <v>0</v>
      </c>
      <c r="L189" s="66">
        <f t="shared" si="156"/>
        <v>0</v>
      </c>
      <c r="M189" s="66">
        <f t="shared" si="156"/>
        <v>0</v>
      </c>
      <c r="N189" s="66">
        <f t="shared" si="156"/>
        <v>0</v>
      </c>
      <c r="O189" s="66">
        <f t="shared" si="156"/>
        <v>0</v>
      </c>
      <c r="P189" s="66">
        <f t="shared" si="156"/>
        <v>0</v>
      </c>
      <c r="Q189" s="66">
        <f t="shared" si="156"/>
        <v>0</v>
      </c>
      <c r="R189" s="66">
        <f t="shared" si="156"/>
        <v>0</v>
      </c>
      <c r="S189" s="66">
        <f t="shared" si="156"/>
        <v>0</v>
      </c>
      <c r="T189" s="66">
        <f t="shared" si="156"/>
        <v>0</v>
      </c>
      <c r="U189" s="66">
        <f t="shared" si="156"/>
        <v>0</v>
      </c>
      <c r="V189" s="66">
        <f t="shared" si="156"/>
        <v>0</v>
      </c>
      <c r="W189" s="66">
        <f t="shared" si="156"/>
        <v>0</v>
      </c>
      <c r="X189" s="66">
        <f t="shared" si="156"/>
        <v>0</v>
      </c>
      <c r="Y189" s="66">
        <f t="shared" si="156"/>
        <v>0</v>
      </c>
      <c r="Z189" s="66">
        <f t="shared" si="156"/>
        <v>0</v>
      </c>
      <c r="AA189" s="66">
        <f t="shared" si="156"/>
        <v>0</v>
      </c>
      <c r="AB189" s="66">
        <f t="shared" si="156"/>
        <v>0</v>
      </c>
      <c r="AC189" s="66">
        <f t="shared" si="156"/>
        <v>0</v>
      </c>
    </row>
    <row r="190" spans="1:29" ht="15.75" thickBot="1" x14ac:dyDescent="0.3">
      <c r="A190" s="59" t="str">
        <f>A127</f>
        <v>Emission Cost</v>
      </c>
      <c r="B190" s="69">
        <f>B147*B153/B153/(B150)</f>
        <v>0</v>
      </c>
      <c r="C190" s="69">
        <f t="shared" ref="C190:AC190" si="157">C147*C153/C153/(C150)</f>
        <v>0</v>
      </c>
      <c r="D190" s="69">
        <f t="shared" si="157"/>
        <v>0</v>
      </c>
      <c r="E190" s="69">
        <f t="shared" si="157"/>
        <v>0</v>
      </c>
      <c r="F190" s="69">
        <f t="shared" si="157"/>
        <v>0</v>
      </c>
      <c r="G190" s="69">
        <f t="shared" si="157"/>
        <v>0</v>
      </c>
      <c r="H190" s="69">
        <f t="shared" si="157"/>
        <v>0</v>
      </c>
      <c r="I190" s="69">
        <f t="shared" si="157"/>
        <v>0</v>
      </c>
      <c r="J190" s="69">
        <f t="shared" si="157"/>
        <v>0</v>
      </c>
      <c r="K190" s="69">
        <f t="shared" si="157"/>
        <v>0</v>
      </c>
      <c r="L190" s="69">
        <f t="shared" si="157"/>
        <v>0</v>
      </c>
      <c r="M190" s="69">
        <f t="shared" si="157"/>
        <v>0</v>
      </c>
      <c r="N190" s="69">
        <f t="shared" si="157"/>
        <v>0</v>
      </c>
      <c r="O190" s="69">
        <f t="shared" si="157"/>
        <v>0</v>
      </c>
      <c r="P190" s="69">
        <f t="shared" si="157"/>
        <v>0</v>
      </c>
      <c r="Q190" s="69">
        <f t="shared" si="157"/>
        <v>0</v>
      </c>
      <c r="R190" s="69">
        <f t="shared" si="157"/>
        <v>0</v>
      </c>
      <c r="S190" s="69">
        <f t="shared" si="157"/>
        <v>0</v>
      </c>
      <c r="T190" s="69">
        <f t="shared" si="157"/>
        <v>0</v>
      </c>
      <c r="U190" s="69">
        <f t="shared" si="157"/>
        <v>0</v>
      </c>
      <c r="V190" s="69">
        <f t="shared" si="157"/>
        <v>0</v>
      </c>
      <c r="W190" s="69">
        <f t="shared" si="157"/>
        <v>0</v>
      </c>
      <c r="X190" s="69">
        <f t="shared" si="157"/>
        <v>0</v>
      </c>
      <c r="Y190" s="69">
        <f t="shared" si="157"/>
        <v>0</v>
      </c>
      <c r="Z190" s="69">
        <f t="shared" si="157"/>
        <v>0</v>
      </c>
      <c r="AA190" s="69">
        <f t="shared" si="157"/>
        <v>0</v>
      </c>
      <c r="AB190" s="69">
        <f t="shared" si="157"/>
        <v>0</v>
      </c>
      <c r="AC190" s="69">
        <f t="shared" si="157"/>
        <v>0</v>
      </c>
    </row>
    <row r="191" spans="1:29" ht="15.75" thickBot="1" x14ac:dyDescent="0.3">
      <c r="A191" s="31" t="s">
        <v>210</v>
      </c>
      <c r="B191" s="67">
        <f>B180+B181+B182+B183+B184+B185+B186+B187+B188+B189+B190</f>
        <v>2.2729999851833028E-2</v>
      </c>
      <c r="C191" s="67">
        <f t="shared" ref="C191:AC191" si="158">C180+C181+C182+C183+C184+C185+C186+C187+C188+C189+C190</f>
        <v>2.2593411753782579E-2</v>
      </c>
      <c r="D191" s="67">
        <f t="shared" si="158"/>
        <v>2.2457248172198192E-2</v>
      </c>
      <c r="E191" s="67">
        <f t="shared" si="158"/>
        <v>2.2321678079486713E-2</v>
      </c>
      <c r="F191" s="67">
        <f t="shared" si="158"/>
        <v>2.2186927708155488E-2</v>
      </c>
      <c r="G191" s="67">
        <f t="shared" si="158"/>
        <v>2.2053289412851437E-2</v>
      </c>
      <c r="H191" s="67">
        <f t="shared" si="158"/>
        <v>2.1921120463766496E-2</v>
      </c>
      <c r="I191" s="67">
        <f t="shared" si="158"/>
        <v>2.1790818937959706E-2</v>
      </c>
      <c r="J191" s="67">
        <f t="shared" si="158"/>
        <v>2.1760225304528029E-2</v>
      </c>
      <c r="K191" s="67">
        <f t="shared" si="158"/>
        <v>2.1732105550037781E-2</v>
      </c>
      <c r="L191" s="67">
        <f t="shared" si="158"/>
        <v>2.1706388119610544E-2</v>
      </c>
      <c r="M191" s="67">
        <f t="shared" si="158"/>
        <v>2.168255587884035E-2</v>
      </c>
      <c r="N191" s="67">
        <f t="shared" si="158"/>
        <v>2.1659631528993979E-2</v>
      </c>
      <c r="O191" s="67">
        <f t="shared" si="158"/>
        <v>2.1636368543151915E-2</v>
      </c>
      <c r="P191" s="67">
        <f t="shared" si="158"/>
        <v>2.1611592655404608E-2</v>
      </c>
      <c r="Q191" s="67">
        <f t="shared" si="158"/>
        <v>2.1584510999057328E-2</v>
      </c>
      <c r="R191" s="67">
        <f t="shared" si="158"/>
        <v>2.1554829768237051E-2</v>
      </c>
      <c r="S191" s="67">
        <f t="shared" si="158"/>
        <v>2.1522671908540254E-2</v>
      </c>
      <c r="T191" s="67">
        <f t="shared" si="158"/>
        <v>2.1488401250037696E-2</v>
      </c>
      <c r="U191" s="67">
        <f t="shared" si="158"/>
        <v>2.1452459711177464E-2</v>
      </c>
      <c r="V191" s="67">
        <f t="shared" si="158"/>
        <v>2.1415264276821062E-2</v>
      </c>
      <c r="W191" s="67">
        <f t="shared" si="158"/>
        <v>2.1377161284646333E-2</v>
      </c>
      <c r="X191" s="67">
        <f t="shared" si="158"/>
        <v>2.1338417488904381E-2</v>
      </c>
      <c r="Y191" s="67">
        <f t="shared" si="158"/>
        <v>2.1299228813469337E-2</v>
      </c>
      <c r="Z191" s="67">
        <f t="shared" si="158"/>
        <v>2.1259734795380014E-2</v>
      </c>
      <c r="AA191" s="67">
        <f t="shared" si="158"/>
        <v>2.1220032821022788E-2</v>
      </c>
      <c r="AB191" s="67">
        <f t="shared" si="158"/>
        <v>2.118018995298384E-2</v>
      </c>
      <c r="AC191" s="67">
        <f t="shared" si="158"/>
        <v>2.1140251961629539E-2</v>
      </c>
    </row>
    <row r="193" spans="2:2" x14ac:dyDescent="0.25">
      <c r="B193" s="40"/>
    </row>
    <row r="215" spans="1:44" s="3" customFormat="1" ht="21" x14ac:dyDescent="0.35">
      <c r="A215" s="2" t="str">
        <f>'Parameter Input'!A170</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Input'!$L$147</f>
        <v>3500000</v>
      </c>
      <c r="C225" s="42">
        <f>'Parameter Input'!$M$147</f>
        <v>3500000</v>
      </c>
      <c r="D225" s="1" t="s">
        <v>15</v>
      </c>
      <c r="L225" s="51">
        <f>'Parameter Input'!$O$147</f>
        <v>12</v>
      </c>
      <c r="M225" s="52">
        <v>0</v>
      </c>
      <c r="N225" s="52">
        <v>1</v>
      </c>
      <c r="O225" s="52">
        <f>'Parameter Input'!$P$147</f>
        <v>0.9</v>
      </c>
      <c r="P225" s="53">
        <f>'Parameter Input'!$Q$147</f>
        <v>0.4</v>
      </c>
      <c r="Q225" s="4">
        <f t="shared" ref="Q225:AR234" si="159">$N225+($M225-$N225)*((1/(1+EXP(-$P225*(Q$9-$L225)))^$O225))</f>
        <v>0.9867978615748374</v>
      </c>
      <c r="R225" s="4">
        <f t="shared" si="159"/>
        <v>0.98114509762858249</v>
      </c>
      <c r="S225" s="4">
        <f t="shared" si="159"/>
        <v>0.97311898315872036</v>
      </c>
      <c r="T225" s="4">
        <f t="shared" si="159"/>
        <v>0.96177484161592774</v>
      </c>
      <c r="U225" s="4">
        <f t="shared" si="159"/>
        <v>0.94584787155511363</v>
      </c>
      <c r="V225" s="4">
        <f t="shared" si="159"/>
        <v>0.92370360150141495</v>
      </c>
      <c r="W225" s="4">
        <f t="shared" si="159"/>
        <v>0.89334463567658451</v>
      </c>
      <c r="X225" s="4">
        <f t="shared" si="159"/>
        <v>0.85254543874327005</v>
      </c>
      <c r="Y225" s="4">
        <f t="shared" si="159"/>
        <v>0.79921300652623883</v>
      </c>
      <c r="Z225" s="4">
        <f t="shared" si="159"/>
        <v>0.73204982249993378</v>
      </c>
      <c r="AA225" s="4">
        <f t="shared" si="159"/>
        <v>0.65145592958786691</v>
      </c>
      <c r="AB225" s="4">
        <f t="shared" si="159"/>
        <v>0.56032247880849573</v>
      </c>
      <c r="AC225" s="4">
        <f t="shared" si="159"/>
        <v>0.46411326873185343</v>
      </c>
      <c r="AD225" s="4">
        <f t="shared" si="159"/>
        <v>0.36979727595523937</v>
      </c>
      <c r="AE225" s="4">
        <f t="shared" si="159"/>
        <v>0.28393948637231203</v>
      </c>
      <c r="AF225" s="4">
        <f t="shared" si="159"/>
        <v>0.21097259161117732</v>
      </c>
      <c r="AG225" s="4">
        <f t="shared" si="159"/>
        <v>0.15253917653798199</v>
      </c>
      <c r="AH225" s="4">
        <f t="shared" si="159"/>
        <v>0.10795188737709993</v>
      </c>
      <c r="AI225" s="4">
        <f t="shared" si="159"/>
        <v>7.5176653938091809E-2</v>
      </c>
      <c r="AJ225" s="4">
        <f t="shared" si="159"/>
        <v>5.1742836177502194E-2</v>
      </c>
      <c r="AK225" s="4">
        <f t="shared" si="159"/>
        <v>3.5319190625345942E-2</v>
      </c>
      <c r="AL225" s="4">
        <f t="shared" si="159"/>
        <v>2.3969442072658165E-2</v>
      </c>
      <c r="AM225" s="4">
        <f t="shared" si="159"/>
        <v>1.6202243558389728E-2</v>
      </c>
      <c r="AN225" s="4">
        <f t="shared" si="159"/>
        <v>1.0922240564108399E-2</v>
      </c>
      <c r="AO225" s="4">
        <f t="shared" si="159"/>
        <v>7.3493212906090566E-3</v>
      </c>
      <c r="AP225" s="4">
        <f t="shared" si="159"/>
        <v>4.9390262185057265E-3</v>
      </c>
      <c r="AQ225" s="4">
        <f t="shared" si="159"/>
        <v>3.3164275492956197E-3</v>
      </c>
      <c r="AR225" s="4">
        <f t="shared" si="159"/>
        <v>2.2256362146679809E-3</v>
      </c>
    </row>
    <row r="226" spans="1:44" x14ac:dyDescent="0.25">
      <c r="A226" s="24" t="s">
        <v>28</v>
      </c>
      <c r="B226" s="60">
        <f>'Parameter Input'!$L$148</f>
        <v>-525000</v>
      </c>
      <c r="C226" s="61">
        <f>'Parameter Input'!$M$148</f>
        <v>-175000</v>
      </c>
      <c r="D226" s="1" t="s">
        <v>15</v>
      </c>
      <c r="L226" s="54">
        <f>'Parameter Input'!$O$148</f>
        <v>12</v>
      </c>
      <c r="M226" s="37">
        <v>0</v>
      </c>
      <c r="N226" s="37">
        <v>1</v>
      </c>
      <c r="O226" s="37">
        <f>'Parameter Input'!$P$148</f>
        <v>0.9</v>
      </c>
      <c r="P226" s="55">
        <f>'Parameter Input'!$Q$148</f>
        <v>0.4</v>
      </c>
      <c r="Q226" s="4">
        <f t="shared" si="159"/>
        <v>0.9867978615748374</v>
      </c>
      <c r="R226" s="4">
        <f t="shared" si="159"/>
        <v>0.98114509762858249</v>
      </c>
      <c r="S226" s="4">
        <f t="shared" si="159"/>
        <v>0.97311898315872036</v>
      </c>
      <c r="T226" s="4">
        <f t="shared" si="159"/>
        <v>0.96177484161592774</v>
      </c>
      <c r="U226" s="4">
        <f t="shared" si="159"/>
        <v>0.94584787155511363</v>
      </c>
      <c r="V226" s="4">
        <f t="shared" si="159"/>
        <v>0.92370360150141495</v>
      </c>
      <c r="W226" s="4">
        <f t="shared" si="159"/>
        <v>0.89334463567658451</v>
      </c>
      <c r="X226" s="4">
        <f t="shared" si="159"/>
        <v>0.85254543874327005</v>
      </c>
      <c r="Y226" s="4">
        <f t="shared" si="159"/>
        <v>0.79921300652623883</v>
      </c>
      <c r="Z226" s="4">
        <f t="shared" si="159"/>
        <v>0.73204982249993378</v>
      </c>
      <c r="AA226" s="4">
        <f t="shared" si="159"/>
        <v>0.65145592958786691</v>
      </c>
      <c r="AB226" s="4">
        <f t="shared" si="159"/>
        <v>0.56032247880849573</v>
      </c>
      <c r="AC226" s="4">
        <f t="shared" si="159"/>
        <v>0.46411326873185343</v>
      </c>
      <c r="AD226" s="4">
        <f t="shared" si="159"/>
        <v>0.36979727595523937</v>
      </c>
      <c r="AE226" s="4">
        <f t="shared" si="159"/>
        <v>0.28393948637231203</v>
      </c>
      <c r="AF226" s="4">
        <f t="shared" si="159"/>
        <v>0.21097259161117732</v>
      </c>
      <c r="AG226" s="4">
        <f t="shared" si="159"/>
        <v>0.15253917653798199</v>
      </c>
      <c r="AH226" s="4">
        <f t="shared" si="159"/>
        <v>0.10795188737709993</v>
      </c>
      <c r="AI226" s="4">
        <f t="shared" si="159"/>
        <v>7.5176653938091809E-2</v>
      </c>
      <c r="AJ226" s="4">
        <f t="shared" si="159"/>
        <v>5.1742836177502194E-2</v>
      </c>
      <c r="AK226" s="4">
        <f t="shared" si="159"/>
        <v>3.5319190625345942E-2</v>
      </c>
      <c r="AL226" s="4">
        <f t="shared" si="159"/>
        <v>2.3969442072658165E-2</v>
      </c>
      <c r="AM226" s="4">
        <f t="shared" si="159"/>
        <v>1.6202243558389728E-2</v>
      </c>
      <c r="AN226" s="4">
        <f t="shared" si="159"/>
        <v>1.0922240564108399E-2</v>
      </c>
      <c r="AO226" s="4">
        <f t="shared" si="159"/>
        <v>7.3493212906090566E-3</v>
      </c>
      <c r="AP226" s="4">
        <f t="shared" si="159"/>
        <v>4.9390262185057265E-3</v>
      </c>
      <c r="AQ226" s="4">
        <f t="shared" si="159"/>
        <v>3.3164275492956197E-3</v>
      </c>
      <c r="AR226" s="4">
        <f t="shared" si="15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59"/>
        <v>0.9867978615748374</v>
      </c>
      <c r="R227" s="4">
        <f t="shared" si="159"/>
        <v>0.98114509762858249</v>
      </c>
      <c r="S227" s="4">
        <f t="shared" si="159"/>
        <v>0.97311898315872036</v>
      </c>
      <c r="T227" s="4">
        <f t="shared" si="159"/>
        <v>0.96177484161592774</v>
      </c>
      <c r="U227" s="4">
        <f t="shared" si="159"/>
        <v>0.94584787155511363</v>
      </c>
      <c r="V227" s="4">
        <f t="shared" si="159"/>
        <v>0.92370360150141495</v>
      </c>
      <c r="W227" s="4">
        <f t="shared" si="159"/>
        <v>0.89334463567658451</v>
      </c>
      <c r="X227" s="4">
        <f t="shared" si="159"/>
        <v>0.85254543874327005</v>
      </c>
      <c r="Y227" s="4">
        <f t="shared" si="159"/>
        <v>0.79921300652623883</v>
      </c>
      <c r="Z227" s="4">
        <f t="shared" si="159"/>
        <v>0.73204982249993378</v>
      </c>
      <c r="AA227" s="4">
        <f t="shared" si="159"/>
        <v>0.65145592958786691</v>
      </c>
      <c r="AB227" s="4">
        <f t="shared" si="159"/>
        <v>0.56032247880849573</v>
      </c>
      <c r="AC227" s="4">
        <f t="shared" si="159"/>
        <v>0.46411326873185343</v>
      </c>
      <c r="AD227" s="4">
        <f t="shared" si="159"/>
        <v>0.36979727595523937</v>
      </c>
      <c r="AE227" s="4">
        <f t="shared" si="159"/>
        <v>0.28393948637231203</v>
      </c>
      <c r="AF227" s="4">
        <f t="shared" si="159"/>
        <v>0.21097259161117732</v>
      </c>
      <c r="AG227" s="4">
        <f t="shared" si="159"/>
        <v>0.15253917653798199</v>
      </c>
      <c r="AH227" s="4">
        <f t="shared" si="159"/>
        <v>0.10795188737709993</v>
      </c>
      <c r="AI227" s="4">
        <f t="shared" si="159"/>
        <v>7.5176653938091809E-2</v>
      </c>
      <c r="AJ227" s="4">
        <f t="shared" si="159"/>
        <v>5.1742836177502194E-2</v>
      </c>
      <c r="AK227" s="4">
        <f t="shared" si="159"/>
        <v>3.5319190625345942E-2</v>
      </c>
      <c r="AL227" s="4">
        <f t="shared" si="159"/>
        <v>2.3969442072658165E-2</v>
      </c>
      <c r="AM227" s="4">
        <f t="shared" si="159"/>
        <v>1.6202243558389728E-2</v>
      </c>
      <c r="AN227" s="4">
        <f t="shared" si="159"/>
        <v>1.0922240564108399E-2</v>
      </c>
      <c r="AO227" s="4">
        <f t="shared" si="159"/>
        <v>7.3493212906090566E-3</v>
      </c>
      <c r="AP227" s="4">
        <f t="shared" si="159"/>
        <v>4.9390262185057265E-3</v>
      </c>
      <c r="AQ227" s="4">
        <f t="shared" si="159"/>
        <v>3.3164275492956197E-3</v>
      </c>
      <c r="AR227" s="4">
        <f t="shared" si="15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59"/>
        <v>0.9867978615748374</v>
      </c>
      <c r="R228" s="4">
        <f t="shared" si="159"/>
        <v>0.98114509762858249</v>
      </c>
      <c r="S228" s="4">
        <f t="shared" si="159"/>
        <v>0.97311898315872036</v>
      </c>
      <c r="T228" s="4">
        <f t="shared" si="159"/>
        <v>0.96177484161592774</v>
      </c>
      <c r="U228" s="4">
        <f t="shared" si="159"/>
        <v>0.94584787155511363</v>
      </c>
      <c r="V228" s="4">
        <f t="shared" si="159"/>
        <v>0.92370360150141495</v>
      </c>
      <c r="W228" s="4">
        <f t="shared" si="159"/>
        <v>0.89334463567658451</v>
      </c>
      <c r="X228" s="4">
        <f t="shared" si="159"/>
        <v>0.85254543874327005</v>
      </c>
      <c r="Y228" s="4">
        <f t="shared" si="159"/>
        <v>0.79921300652623883</v>
      </c>
      <c r="Z228" s="4">
        <f t="shared" si="159"/>
        <v>0.73204982249993378</v>
      </c>
      <c r="AA228" s="4">
        <f t="shared" si="159"/>
        <v>0.65145592958786691</v>
      </c>
      <c r="AB228" s="4">
        <f t="shared" si="159"/>
        <v>0.56032247880849573</v>
      </c>
      <c r="AC228" s="4">
        <f t="shared" si="159"/>
        <v>0.46411326873185343</v>
      </c>
      <c r="AD228" s="4">
        <f t="shared" si="159"/>
        <v>0.36979727595523937</v>
      </c>
      <c r="AE228" s="4">
        <f t="shared" si="159"/>
        <v>0.28393948637231203</v>
      </c>
      <c r="AF228" s="4">
        <f t="shared" si="159"/>
        <v>0.21097259161117732</v>
      </c>
      <c r="AG228" s="4">
        <f t="shared" si="159"/>
        <v>0.15253917653798199</v>
      </c>
      <c r="AH228" s="4">
        <f t="shared" si="159"/>
        <v>0.10795188737709993</v>
      </c>
      <c r="AI228" s="4">
        <f t="shared" si="159"/>
        <v>7.5176653938091809E-2</v>
      </c>
      <c r="AJ228" s="4">
        <f t="shared" si="159"/>
        <v>5.1742836177502194E-2</v>
      </c>
      <c r="AK228" s="4">
        <f t="shared" si="159"/>
        <v>3.5319190625345942E-2</v>
      </c>
      <c r="AL228" s="4">
        <f t="shared" si="159"/>
        <v>2.3969442072658165E-2</v>
      </c>
      <c r="AM228" s="4">
        <f t="shared" si="159"/>
        <v>1.6202243558389728E-2</v>
      </c>
      <c r="AN228" s="4">
        <f t="shared" si="159"/>
        <v>1.0922240564108399E-2</v>
      </c>
      <c r="AO228" s="4">
        <f t="shared" si="159"/>
        <v>7.3493212906090566E-3</v>
      </c>
      <c r="AP228" s="4">
        <f t="shared" si="159"/>
        <v>4.9390262185057265E-3</v>
      </c>
      <c r="AQ228" s="4">
        <f t="shared" si="159"/>
        <v>3.3164275492956197E-3</v>
      </c>
      <c r="AR228" s="4">
        <f t="shared" si="159"/>
        <v>2.2256362146679809E-3</v>
      </c>
    </row>
    <row r="229" spans="1:44" x14ac:dyDescent="0.25">
      <c r="A229" s="24" t="s">
        <v>79</v>
      </c>
      <c r="B229" s="45">
        <f>'Parameter Input'!$L$154</f>
        <v>0.06</v>
      </c>
      <c r="C229" s="46">
        <f>'Parameter Input'!$M$154</f>
        <v>0.06</v>
      </c>
      <c r="D229" s="1" t="s">
        <v>57</v>
      </c>
      <c r="L229" s="54">
        <f>'Parameter Input'!$O$154</f>
        <v>12</v>
      </c>
      <c r="M229" s="37">
        <v>0</v>
      </c>
      <c r="N229" s="37">
        <v>1</v>
      </c>
      <c r="O229" s="37">
        <f>'Parameter Input'!$P$154</f>
        <v>0.9</v>
      </c>
      <c r="P229" s="55">
        <f>'Parameter Input'!$Q$154</f>
        <v>0.4</v>
      </c>
      <c r="Q229" s="4">
        <f t="shared" si="159"/>
        <v>0.9867978615748374</v>
      </c>
      <c r="R229" s="4">
        <f t="shared" si="159"/>
        <v>0.98114509762858249</v>
      </c>
      <c r="S229" s="4">
        <f t="shared" si="159"/>
        <v>0.97311898315872036</v>
      </c>
      <c r="T229" s="4">
        <f t="shared" si="159"/>
        <v>0.96177484161592774</v>
      </c>
      <c r="U229" s="4">
        <f t="shared" si="159"/>
        <v>0.94584787155511363</v>
      </c>
      <c r="V229" s="4">
        <f t="shared" si="159"/>
        <v>0.92370360150141495</v>
      </c>
      <c r="W229" s="4">
        <f t="shared" si="159"/>
        <v>0.89334463567658451</v>
      </c>
      <c r="X229" s="4">
        <f t="shared" si="159"/>
        <v>0.85254543874327005</v>
      </c>
      <c r="Y229" s="4">
        <f t="shared" si="159"/>
        <v>0.79921300652623883</v>
      </c>
      <c r="Z229" s="4">
        <f t="shared" si="159"/>
        <v>0.73204982249993378</v>
      </c>
      <c r="AA229" s="4">
        <f t="shared" si="159"/>
        <v>0.65145592958786691</v>
      </c>
      <c r="AB229" s="4">
        <f t="shared" si="159"/>
        <v>0.56032247880849573</v>
      </c>
      <c r="AC229" s="4">
        <f t="shared" si="159"/>
        <v>0.46411326873185343</v>
      </c>
      <c r="AD229" s="4">
        <f t="shared" si="159"/>
        <v>0.36979727595523937</v>
      </c>
      <c r="AE229" s="4">
        <f t="shared" si="159"/>
        <v>0.28393948637231203</v>
      </c>
      <c r="AF229" s="4">
        <f t="shared" si="159"/>
        <v>0.21097259161117732</v>
      </c>
      <c r="AG229" s="4">
        <f t="shared" si="159"/>
        <v>0.15253917653798199</v>
      </c>
      <c r="AH229" s="4">
        <f t="shared" si="159"/>
        <v>0.10795188737709993</v>
      </c>
      <c r="AI229" s="4">
        <f t="shared" si="159"/>
        <v>7.5176653938091809E-2</v>
      </c>
      <c r="AJ229" s="4">
        <f t="shared" si="159"/>
        <v>5.1742836177502194E-2</v>
      </c>
      <c r="AK229" s="4">
        <f t="shared" si="159"/>
        <v>3.5319190625345942E-2</v>
      </c>
      <c r="AL229" s="4">
        <f t="shared" si="159"/>
        <v>2.3969442072658165E-2</v>
      </c>
      <c r="AM229" s="4">
        <f t="shared" si="159"/>
        <v>1.6202243558389728E-2</v>
      </c>
      <c r="AN229" s="4">
        <f t="shared" si="159"/>
        <v>1.0922240564108399E-2</v>
      </c>
      <c r="AO229" s="4">
        <f t="shared" si="159"/>
        <v>7.3493212906090566E-3</v>
      </c>
      <c r="AP229" s="4">
        <f t="shared" si="159"/>
        <v>4.9390262185057265E-3</v>
      </c>
      <c r="AQ229" s="4">
        <f t="shared" si="159"/>
        <v>3.3164275492956197E-3</v>
      </c>
      <c r="AR229" s="4">
        <f t="shared" si="15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59"/>
        <v>0.9867978615748374</v>
      </c>
      <c r="R230" s="4">
        <f t="shared" si="159"/>
        <v>0.98114509762858249</v>
      </c>
      <c r="S230" s="4">
        <f t="shared" si="159"/>
        <v>0.97311898315872036</v>
      </c>
      <c r="T230" s="4">
        <f t="shared" si="159"/>
        <v>0.96177484161592774</v>
      </c>
      <c r="U230" s="4">
        <f t="shared" si="159"/>
        <v>0.94584787155511363</v>
      </c>
      <c r="V230" s="4">
        <f t="shared" si="159"/>
        <v>0.92370360150141495</v>
      </c>
      <c r="W230" s="4">
        <f t="shared" si="159"/>
        <v>0.89334463567658451</v>
      </c>
      <c r="X230" s="4">
        <f t="shared" si="159"/>
        <v>0.85254543874327005</v>
      </c>
      <c r="Y230" s="4">
        <f t="shared" si="159"/>
        <v>0.79921300652623883</v>
      </c>
      <c r="Z230" s="4">
        <f t="shared" si="159"/>
        <v>0.73204982249993378</v>
      </c>
      <c r="AA230" s="4">
        <f t="shared" si="159"/>
        <v>0.65145592958786691</v>
      </c>
      <c r="AB230" s="4">
        <f t="shared" si="159"/>
        <v>0.56032247880849573</v>
      </c>
      <c r="AC230" s="4">
        <f t="shared" si="159"/>
        <v>0.46411326873185343</v>
      </c>
      <c r="AD230" s="4">
        <f t="shared" si="159"/>
        <v>0.36979727595523937</v>
      </c>
      <c r="AE230" s="4">
        <f t="shared" si="159"/>
        <v>0.28393948637231203</v>
      </c>
      <c r="AF230" s="4">
        <f t="shared" si="159"/>
        <v>0.21097259161117732</v>
      </c>
      <c r="AG230" s="4">
        <f t="shared" si="159"/>
        <v>0.15253917653798199</v>
      </c>
      <c r="AH230" s="4">
        <f t="shared" si="159"/>
        <v>0.10795188737709993</v>
      </c>
      <c r="AI230" s="4">
        <f t="shared" si="159"/>
        <v>7.5176653938091809E-2</v>
      </c>
      <c r="AJ230" s="4">
        <f t="shared" si="159"/>
        <v>5.1742836177502194E-2</v>
      </c>
      <c r="AK230" s="4">
        <f t="shared" si="159"/>
        <v>3.5319190625345942E-2</v>
      </c>
      <c r="AL230" s="4">
        <f t="shared" si="159"/>
        <v>2.3969442072658165E-2</v>
      </c>
      <c r="AM230" s="4">
        <f t="shared" si="159"/>
        <v>1.6202243558389728E-2</v>
      </c>
      <c r="AN230" s="4">
        <f t="shared" si="159"/>
        <v>1.0922240564108399E-2</v>
      </c>
      <c r="AO230" s="4">
        <f t="shared" si="159"/>
        <v>7.3493212906090566E-3</v>
      </c>
      <c r="AP230" s="4">
        <f t="shared" si="159"/>
        <v>4.9390262185057265E-3</v>
      </c>
      <c r="AQ230" s="4">
        <f t="shared" si="159"/>
        <v>3.3164275492956197E-3</v>
      </c>
      <c r="AR230" s="4">
        <f t="shared" si="159"/>
        <v>2.2256362146679809E-3</v>
      </c>
    </row>
    <row r="231" spans="1:44" x14ac:dyDescent="0.25">
      <c r="A231" s="24" t="s">
        <v>52</v>
      </c>
      <c r="B231" s="43">
        <f>'Parameter Input'!$L$150</f>
        <v>1050000</v>
      </c>
      <c r="C231" s="44">
        <f>'Parameter Input'!$M$150</f>
        <v>1050000</v>
      </c>
      <c r="D231" s="1" t="s">
        <v>38</v>
      </c>
      <c r="L231" s="54">
        <f>'Parameter Input'!$O$150</f>
        <v>12</v>
      </c>
      <c r="M231" s="37">
        <v>0</v>
      </c>
      <c r="N231" s="37">
        <v>1</v>
      </c>
      <c r="O231" s="37">
        <f>'Parameter Input'!$P$150</f>
        <v>0.9</v>
      </c>
      <c r="P231" s="55">
        <f>'Parameter Input'!$Q$150</f>
        <v>0.4</v>
      </c>
      <c r="Q231" s="4">
        <f t="shared" si="159"/>
        <v>0.9867978615748374</v>
      </c>
      <c r="R231" s="4">
        <f t="shared" si="159"/>
        <v>0.98114509762858249</v>
      </c>
      <c r="S231" s="4">
        <f t="shared" si="159"/>
        <v>0.97311898315872036</v>
      </c>
      <c r="T231" s="4">
        <f t="shared" si="159"/>
        <v>0.96177484161592774</v>
      </c>
      <c r="U231" s="4">
        <f t="shared" si="159"/>
        <v>0.94584787155511363</v>
      </c>
      <c r="V231" s="4">
        <f t="shared" si="159"/>
        <v>0.92370360150141495</v>
      </c>
      <c r="W231" s="4">
        <f t="shared" si="159"/>
        <v>0.89334463567658451</v>
      </c>
      <c r="X231" s="4">
        <f t="shared" si="159"/>
        <v>0.85254543874327005</v>
      </c>
      <c r="Y231" s="4">
        <f t="shared" si="159"/>
        <v>0.79921300652623883</v>
      </c>
      <c r="Z231" s="4">
        <f t="shared" si="159"/>
        <v>0.73204982249993378</v>
      </c>
      <c r="AA231" s="4">
        <f t="shared" si="159"/>
        <v>0.65145592958786691</v>
      </c>
      <c r="AB231" s="4">
        <f t="shared" si="159"/>
        <v>0.56032247880849573</v>
      </c>
      <c r="AC231" s="4">
        <f t="shared" si="159"/>
        <v>0.46411326873185343</v>
      </c>
      <c r="AD231" s="4">
        <f t="shared" si="159"/>
        <v>0.36979727595523937</v>
      </c>
      <c r="AE231" s="4">
        <f t="shared" si="159"/>
        <v>0.28393948637231203</v>
      </c>
      <c r="AF231" s="4">
        <f t="shared" si="159"/>
        <v>0.21097259161117732</v>
      </c>
      <c r="AG231" s="4">
        <f t="shared" si="159"/>
        <v>0.15253917653798199</v>
      </c>
      <c r="AH231" s="4">
        <f t="shared" si="159"/>
        <v>0.10795188737709993</v>
      </c>
      <c r="AI231" s="4">
        <f t="shared" si="159"/>
        <v>7.5176653938091809E-2</v>
      </c>
      <c r="AJ231" s="4">
        <f t="shared" si="159"/>
        <v>5.1742836177502194E-2</v>
      </c>
      <c r="AK231" s="4">
        <f t="shared" si="159"/>
        <v>3.5319190625345942E-2</v>
      </c>
      <c r="AL231" s="4">
        <f t="shared" si="159"/>
        <v>2.3969442072658165E-2</v>
      </c>
      <c r="AM231" s="4">
        <f t="shared" si="159"/>
        <v>1.6202243558389728E-2</v>
      </c>
      <c r="AN231" s="4">
        <f t="shared" si="159"/>
        <v>1.0922240564108399E-2</v>
      </c>
      <c r="AO231" s="4">
        <f t="shared" si="159"/>
        <v>7.3493212906090566E-3</v>
      </c>
      <c r="AP231" s="4">
        <f t="shared" si="159"/>
        <v>4.9390262185057265E-3</v>
      </c>
      <c r="AQ231" s="4">
        <f t="shared" si="159"/>
        <v>3.3164275492956197E-3</v>
      </c>
      <c r="AR231" s="4">
        <f t="shared" si="15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59"/>
        <v>0.9867978615748374</v>
      </c>
      <c r="R232" s="4">
        <f t="shared" si="159"/>
        <v>0.98114509762858249</v>
      </c>
      <c r="S232" s="4">
        <f t="shared" si="159"/>
        <v>0.97311898315872036</v>
      </c>
      <c r="T232" s="4">
        <f t="shared" si="159"/>
        <v>0.96177484161592774</v>
      </c>
      <c r="U232" s="4">
        <f t="shared" si="159"/>
        <v>0.94584787155511363</v>
      </c>
      <c r="V232" s="4">
        <f t="shared" si="159"/>
        <v>0.92370360150141495</v>
      </c>
      <c r="W232" s="4">
        <f t="shared" si="159"/>
        <v>0.89334463567658451</v>
      </c>
      <c r="X232" s="4">
        <f t="shared" si="159"/>
        <v>0.85254543874327005</v>
      </c>
      <c r="Y232" s="4">
        <f t="shared" si="159"/>
        <v>0.79921300652623883</v>
      </c>
      <c r="Z232" s="4">
        <f t="shared" si="159"/>
        <v>0.73204982249993378</v>
      </c>
      <c r="AA232" s="4">
        <f t="shared" si="159"/>
        <v>0.65145592958786691</v>
      </c>
      <c r="AB232" s="4">
        <f t="shared" si="159"/>
        <v>0.56032247880849573</v>
      </c>
      <c r="AC232" s="4">
        <f t="shared" si="159"/>
        <v>0.46411326873185343</v>
      </c>
      <c r="AD232" s="4">
        <f t="shared" si="159"/>
        <v>0.36979727595523937</v>
      </c>
      <c r="AE232" s="4">
        <f t="shared" si="159"/>
        <v>0.28393948637231203</v>
      </c>
      <c r="AF232" s="4">
        <f t="shared" si="159"/>
        <v>0.21097259161117732</v>
      </c>
      <c r="AG232" s="4">
        <f t="shared" si="159"/>
        <v>0.15253917653798199</v>
      </c>
      <c r="AH232" s="4">
        <f t="shared" si="159"/>
        <v>0.10795188737709993</v>
      </c>
      <c r="AI232" s="4">
        <f t="shared" si="159"/>
        <v>7.5176653938091809E-2</v>
      </c>
      <c r="AJ232" s="4">
        <f t="shared" si="159"/>
        <v>5.1742836177502194E-2</v>
      </c>
      <c r="AK232" s="4">
        <f t="shared" si="159"/>
        <v>3.5319190625345942E-2</v>
      </c>
      <c r="AL232" s="4">
        <f t="shared" si="159"/>
        <v>2.3969442072658165E-2</v>
      </c>
      <c r="AM232" s="4">
        <f t="shared" si="159"/>
        <v>1.6202243558389728E-2</v>
      </c>
      <c r="AN232" s="4">
        <f t="shared" si="159"/>
        <v>1.0922240564108399E-2</v>
      </c>
      <c r="AO232" s="4">
        <f t="shared" si="159"/>
        <v>7.3493212906090566E-3</v>
      </c>
      <c r="AP232" s="4">
        <f t="shared" si="159"/>
        <v>4.9390262185057265E-3</v>
      </c>
      <c r="AQ232" s="4">
        <f t="shared" si="159"/>
        <v>3.3164275492956197E-3</v>
      </c>
      <c r="AR232" s="4">
        <f t="shared" si="159"/>
        <v>2.2256362146679809E-3</v>
      </c>
    </row>
    <row r="233" spans="1:44" x14ac:dyDescent="0.25">
      <c r="A233" s="24" t="s">
        <v>59</v>
      </c>
      <c r="B233" s="47">
        <f>'Parameter Input'!$L$151</f>
        <v>76.777599999999993</v>
      </c>
      <c r="C233" s="48">
        <f>'Parameter Input'!$M$151</f>
        <v>76.777599999999993</v>
      </c>
      <c r="D233" s="1" t="s">
        <v>60</v>
      </c>
      <c r="L233" s="54">
        <f>'Parameter Input'!$O$151</f>
        <v>12</v>
      </c>
      <c r="M233" s="37">
        <v>0</v>
      </c>
      <c r="N233" s="37">
        <v>1</v>
      </c>
      <c r="O233" s="37">
        <f>'Parameter Input'!$P$151</f>
        <v>0.9</v>
      </c>
      <c r="P233" s="55">
        <f>'Parameter Input'!$Q$151</f>
        <v>0.4</v>
      </c>
      <c r="Q233" s="4">
        <f t="shared" si="159"/>
        <v>0.9867978615748374</v>
      </c>
      <c r="R233" s="4">
        <f t="shared" si="159"/>
        <v>0.98114509762858249</v>
      </c>
      <c r="S233" s="4">
        <f t="shared" si="159"/>
        <v>0.97311898315872036</v>
      </c>
      <c r="T233" s="4">
        <f t="shared" si="159"/>
        <v>0.96177484161592774</v>
      </c>
      <c r="U233" s="4">
        <f t="shared" si="159"/>
        <v>0.94584787155511363</v>
      </c>
      <c r="V233" s="4">
        <f t="shared" si="159"/>
        <v>0.92370360150141495</v>
      </c>
      <c r="W233" s="4">
        <f t="shared" si="159"/>
        <v>0.89334463567658451</v>
      </c>
      <c r="X233" s="4">
        <f t="shared" si="159"/>
        <v>0.85254543874327005</v>
      </c>
      <c r="Y233" s="4">
        <f t="shared" si="159"/>
        <v>0.79921300652623883</v>
      </c>
      <c r="Z233" s="4">
        <f t="shared" si="159"/>
        <v>0.73204982249993378</v>
      </c>
      <c r="AA233" s="4">
        <f t="shared" si="159"/>
        <v>0.65145592958786691</v>
      </c>
      <c r="AB233" s="4">
        <f t="shared" si="159"/>
        <v>0.56032247880849573</v>
      </c>
      <c r="AC233" s="4">
        <f t="shared" si="159"/>
        <v>0.46411326873185343</v>
      </c>
      <c r="AD233" s="4">
        <f t="shared" si="159"/>
        <v>0.36979727595523937</v>
      </c>
      <c r="AE233" s="4">
        <f t="shared" si="159"/>
        <v>0.28393948637231203</v>
      </c>
      <c r="AF233" s="4">
        <f t="shared" si="159"/>
        <v>0.21097259161117732</v>
      </c>
      <c r="AG233" s="4">
        <f t="shared" si="159"/>
        <v>0.15253917653798199</v>
      </c>
      <c r="AH233" s="4">
        <f t="shared" si="159"/>
        <v>0.10795188737709993</v>
      </c>
      <c r="AI233" s="4">
        <f t="shared" si="159"/>
        <v>7.5176653938091809E-2</v>
      </c>
      <c r="AJ233" s="4">
        <f t="shared" si="159"/>
        <v>5.1742836177502194E-2</v>
      </c>
      <c r="AK233" s="4">
        <f t="shared" si="159"/>
        <v>3.5319190625345942E-2</v>
      </c>
      <c r="AL233" s="4">
        <f t="shared" si="159"/>
        <v>2.3969442072658165E-2</v>
      </c>
      <c r="AM233" s="4">
        <f t="shared" si="159"/>
        <v>1.6202243558389728E-2</v>
      </c>
      <c r="AN233" s="4">
        <f t="shared" si="159"/>
        <v>1.0922240564108399E-2</v>
      </c>
      <c r="AO233" s="4">
        <f t="shared" si="159"/>
        <v>7.3493212906090566E-3</v>
      </c>
      <c r="AP233" s="4">
        <f t="shared" si="159"/>
        <v>4.9390262185057265E-3</v>
      </c>
      <c r="AQ233" s="4">
        <f t="shared" si="159"/>
        <v>3.3164275492956197E-3</v>
      </c>
      <c r="AR233" s="4">
        <f t="shared" si="159"/>
        <v>2.2256362146679809E-3</v>
      </c>
    </row>
    <row r="234" spans="1:44" x14ac:dyDescent="0.25">
      <c r="A234" s="24" t="s">
        <v>67</v>
      </c>
      <c r="B234" s="45">
        <f>'Parameter Input'!$L$152</f>
        <v>0.1</v>
      </c>
      <c r="C234" s="46">
        <f>'Parameter Input'!$M$152</f>
        <v>0.1</v>
      </c>
      <c r="D234" s="1" t="s">
        <v>68</v>
      </c>
      <c r="L234" s="54">
        <f>'Parameter Input'!$O$152</f>
        <v>12</v>
      </c>
      <c r="M234" s="37">
        <v>0</v>
      </c>
      <c r="N234" s="37">
        <v>1</v>
      </c>
      <c r="O234" s="37">
        <f>'Parameter Input'!$P$152</f>
        <v>0.9</v>
      </c>
      <c r="P234" s="55">
        <f>'Parameter Input'!$Q$152</f>
        <v>0.4</v>
      </c>
      <c r="Q234" s="4">
        <f t="shared" si="159"/>
        <v>0.9867978615748374</v>
      </c>
      <c r="R234" s="4">
        <f t="shared" si="159"/>
        <v>0.98114509762858249</v>
      </c>
      <c r="S234" s="4">
        <f t="shared" si="159"/>
        <v>0.97311898315872036</v>
      </c>
      <c r="T234" s="4">
        <f t="shared" ref="T234:AI241" si="160">$N234+($M234-$N234)*((1/(1+EXP(-$P234*(T$9-$L234)))^$O234))</f>
        <v>0.96177484161592774</v>
      </c>
      <c r="U234" s="4">
        <f t="shared" si="160"/>
        <v>0.94584787155511363</v>
      </c>
      <c r="V234" s="4">
        <f t="shared" si="160"/>
        <v>0.92370360150141495</v>
      </c>
      <c r="W234" s="4">
        <f t="shared" si="160"/>
        <v>0.89334463567658451</v>
      </c>
      <c r="X234" s="4">
        <f t="shared" si="160"/>
        <v>0.85254543874327005</v>
      </c>
      <c r="Y234" s="4">
        <f t="shared" si="160"/>
        <v>0.79921300652623883</v>
      </c>
      <c r="Z234" s="4">
        <f t="shared" si="160"/>
        <v>0.73204982249993378</v>
      </c>
      <c r="AA234" s="4">
        <f t="shared" si="160"/>
        <v>0.65145592958786691</v>
      </c>
      <c r="AB234" s="4">
        <f t="shared" si="160"/>
        <v>0.56032247880849573</v>
      </c>
      <c r="AC234" s="4">
        <f t="shared" si="160"/>
        <v>0.46411326873185343</v>
      </c>
      <c r="AD234" s="4">
        <f t="shared" si="160"/>
        <v>0.36979727595523937</v>
      </c>
      <c r="AE234" s="4">
        <f t="shared" si="160"/>
        <v>0.28393948637231203</v>
      </c>
      <c r="AF234" s="4">
        <f t="shared" si="160"/>
        <v>0.21097259161117732</v>
      </c>
      <c r="AG234" s="4">
        <f t="shared" si="160"/>
        <v>0.15253917653798199</v>
      </c>
      <c r="AH234" s="4">
        <f t="shared" si="160"/>
        <v>0.10795188737709993</v>
      </c>
      <c r="AI234" s="4">
        <f t="shared" si="160"/>
        <v>7.5176653938091809E-2</v>
      </c>
      <c r="AJ234" s="4">
        <f t="shared" ref="AJ234:AR241" si="161">$N234+($M234-$N234)*((1/(1+EXP(-$P234*(AJ$9-$L234)))^$O234))</f>
        <v>5.1742836177502194E-2</v>
      </c>
      <c r="AK234" s="4">
        <f t="shared" si="161"/>
        <v>3.5319190625345942E-2</v>
      </c>
      <c r="AL234" s="4">
        <f t="shared" si="161"/>
        <v>2.3969442072658165E-2</v>
      </c>
      <c r="AM234" s="4">
        <f t="shared" si="161"/>
        <v>1.6202243558389728E-2</v>
      </c>
      <c r="AN234" s="4">
        <f t="shared" si="161"/>
        <v>1.0922240564108399E-2</v>
      </c>
      <c r="AO234" s="4">
        <f t="shared" si="161"/>
        <v>7.3493212906090566E-3</v>
      </c>
      <c r="AP234" s="4">
        <f t="shared" si="161"/>
        <v>4.9390262185057265E-3</v>
      </c>
      <c r="AQ234" s="4">
        <f t="shared" si="161"/>
        <v>3.3164275492956197E-3</v>
      </c>
      <c r="AR234" s="4">
        <f t="shared" si="161"/>
        <v>2.2256362146679809E-3</v>
      </c>
    </row>
    <row r="235" spans="1:44" x14ac:dyDescent="0.25">
      <c r="A235" s="24" t="s">
        <v>206</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162">$N235+($M235-$N235)*((1/(1+EXP(-$P235*(Q$9-$L235)))^$O235))</f>
        <v>0.99780374543478534</v>
      </c>
      <c r="R235" s="4">
        <f t="shared" si="162"/>
        <v>0.99685359315256394</v>
      </c>
      <c r="S235" s="4">
        <f t="shared" si="162"/>
        <v>0.99549347132349975</v>
      </c>
      <c r="T235" s="4">
        <f t="shared" si="162"/>
        <v>0.99354772139898062</v>
      </c>
      <c r="U235" s="4">
        <f t="shared" si="162"/>
        <v>0.99076681540580536</v>
      </c>
      <c r="V235" s="4">
        <f t="shared" si="162"/>
        <v>0.9867978615748374</v>
      </c>
      <c r="W235" s="4">
        <f t="shared" si="162"/>
        <v>0.98114509762858249</v>
      </c>
      <c r="X235" s="4">
        <f t="shared" si="162"/>
        <v>0.97311898315872036</v>
      </c>
      <c r="Y235" s="4">
        <f t="shared" si="162"/>
        <v>0.96177484161592774</v>
      </c>
      <c r="Z235" s="4">
        <f t="shared" si="162"/>
        <v>0.94584787155511363</v>
      </c>
      <c r="AA235" s="4">
        <f t="shared" si="162"/>
        <v>0.92370360150141495</v>
      </c>
      <c r="AB235" s="4">
        <f t="shared" si="162"/>
        <v>0.89334463567658451</v>
      </c>
      <c r="AC235" s="4">
        <f t="shared" si="162"/>
        <v>0.85254543874327005</v>
      </c>
      <c r="AD235" s="4">
        <f t="shared" si="162"/>
        <v>0.79921300652623883</v>
      </c>
      <c r="AE235" s="4">
        <f t="shared" si="162"/>
        <v>0.73204982249993378</v>
      </c>
      <c r="AF235" s="4">
        <f t="shared" si="162"/>
        <v>0.65145592958786691</v>
      </c>
      <c r="AG235" s="4">
        <f t="shared" si="162"/>
        <v>0.56032247880849573</v>
      </c>
      <c r="AH235" s="4">
        <f t="shared" si="162"/>
        <v>0.46411326873185343</v>
      </c>
      <c r="AI235" s="4">
        <f t="shared" si="162"/>
        <v>0.36979727595523937</v>
      </c>
      <c r="AJ235" s="4">
        <f t="shared" si="162"/>
        <v>0.28393948637231203</v>
      </c>
      <c r="AK235" s="4">
        <f t="shared" si="162"/>
        <v>0.21097259161117732</v>
      </c>
      <c r="AL235" s="4">
        <f t="shared" si="162"/>
        <v>0.15253917653798199</v>
      </c>
      <c r="AM235" s="4">
        <f t="shared" si="162"/>
        <v>0.10795188737709993</v>
      </c>
      <c r="AN235" s="4">
        <f t="shared" si="162"/>
        <v>7.5176653938091809E-2</v>
      </c>
      <c r="AO235" s="4">
        <f t="shared" si="162"/>
        <v>5.1742836177502194E-2</v>
      </c>
      <c r="AP235" s="4">
        <f t="shared" si="162"/>
        <v>3.5319190625345942E-2</v>
      </c>
      <c r="AQ235" s="4">
        <f t="shared" si="162"/>
        <v>2.3969442072658165E-2</v>
      </c>
      <c r="AR235" s="4">
        <f t="shared" si="162"/>
        <v>1.6202243558389728E-2</v>
      </c>
    </row>
    <row r="236" spans="1:44" x14ac:dyDescent="0.25">
      <c r="A236" s="24" t="s">
        <v>41</v>
      </c>
      <c r="B236" s="43">
        <f>'Parameter Input'!$L$149</f>
        <v>20</v>
      </c>
      <c r="C236" s="44">
        <f>'Parameter Input'!$M$149</f>
        <v>20</v>
      </c>
      <c r="D236" s="1" t="s">
        <v>42</v>
      </c>
      <c r="L236" s="54">
        <f>'Parameter Input'!$O$149</f>
        <v>12</v>
      </c>
      <c r="M236" s="37">
        <v>0</v>
      </c>
      <c r="N236" s="37">
        <v>1</v>
      </c>
      <c r="O236" s="37">
        <f>'Parameter Input'!$P$149</f>
        <v>0.9</v>
      </c>
      <c r="P236" s="55">
        <f>'Parameter Input'!$Q$149</f>
        <v>0.4</v>
      </c>
      <c r="Q236" s="4">
        <f t="shared" ref="Q236:AF241" si="163">$N236+($M236-$N236)*((1/(1+EXP(-$P236*(Q$9-$L236)))^$O236))</f>
        <v>0.9867978615748374</v>
      </c>
      <c r="R236" s="4">
        <f t="shared" si="163"/>
        <v>0.98114509762858249</v>
      </c>
      <c r="S236" s="4">
        <f t="shared" si="163"/>
        <v>0.97311898315872036</v>
      </c>
      <c r="T236" s="4">
        <f t="shared" si="163"/>
        <v>0.96177484161592774</v>
      </c>
      <c r="U236" s="4">
        <f t="shared" si="163"/>
        <v>0.94584787155511363</v>
      </c>
      <c r="V236" s="4">
        <f t="shared" si="163"/>
        <v>0.92370360150141495</v>
      </c>
      <c r="W236" s="4">
        <f t="shared" si="163"/>
        <v>0.89334463567658451</v>
      </c>
      <c r="X236" s="4">
        <f t="shared" si="163"/>
        <v>0.85254543874327005</v>
      </c>
      <c r="Y236" s="4">
        <f t="shared" si="163"/>
        <v>0.79921300652623883</v>
      </c>
      <c r="Z236" s="4">
        <f t="shared" si="163"/>
        <v>0.73204982249993378</v>
      </c>
      <c r="AA236" s="4">
        <f t="shared" si="163"/>
        <v>0.65145592958786691</v>
      </c>
      <c r="AB236" s="4">
        <f t="shared" si="163"/>
        <v>0.56032247880849573</v>
      </c>
      <c r="AC236" s="4">
        <f t="shared" si="163"/>
        <v>0.46411326873185343</v>
      </c>
      <c r="AD236" s="4">
        <f t="shared" si="163"/>
        <v>0.36979727595523937</v>
      </c>
      <c r="AE236" s="4">
        <f t="shared" si="163"/>
        <v>0.28393948637231203</v>
      </c>
      <c r="AF236" s="4">
        <f t="shared" si="163"/>
        <v>0.21097259161117732</v>
      </c>
      <c r="AG236" s="4">
        <f t="shared" si="160"/>
        <v>0.15253917653798199</v>
      </c>
      <c r="AH236" s="4">
        <f t="shared" si="160"/>
        <v>0.10795188737709993</v>
      </c>
      <c r="AI236" s="4">
        <f t="shared" si="160"/>
        <v>7.5176653938091809E-2</v>
      </c>
      <c r="AJ236" s="4">
        <f t="shared" si="161"/>
        <v>5.1742836177502194E-2</v>
      </c>
      <c r="AK236" s="4">
        <f t="shared" si="161"/>
        <v>3.5319190625345942E-2</v>
      </c>
      <c r="AL236" s="4">
        <f t="shared" si="161"/>
        <v>2.3969442072658165E-2</v>
      </c>
      <c r="AM236" s="4">
        <f t="shared" si="161"/>
        <v>1.6202243558389728E-2</v>
      </c>
      <c r="AN236" s="4">
        <f t="shared" si="161"/>
        <v>1.0922240564108399E-2</v>
      </c>
      <c r="AO236" s="4">
        <f t="shared" si="161"/>
        <v>7.3493212906090566E-3</v>
      </c>
      <c r="AP236" s="4">
        <f t="shared" si="161"/>
        <v>4.9390262185057265E-3</v>
      </c>
      <c r="AQ236" s="4">
        <f t="shared" si="161"/>
        <v>3.3164275492956197E-3</v>
      </c>
      <c r="AR236" s="4">
        <f t="shared" si="16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3"/>
        <v>0.9867978615748374</v>
      </c>
      <c r="R237" s="4">
        <f t="shared" si="163"/>
        <v>0.98114509762858249</v>
      </c>
      <c r="S237" s="4">
        <f t="shared" si="163"/>
        <v>0.97311898315872036</v>
      </c>
      <c r="T237" s="4">
        <f t="shared" si="163"/>
        <v>0.96177484161592774</v>
      </c>
      <c r="U237" s="4">
        <f t="shared" si="163"/>
        <v>0.94584787155511363</v>
      </c>
      <c r="V237" s="4">
        <f t="shared" si="163"/>
        <v>0.92370360150141495</v>
      </c>
      <c r="W237" s="4">
        <f t="shared" si="163"/>
        <v>0.89334463567658451</v>
      </c>
      <c r="X237" s="4">
        <f t="shared" si="163"/>
        <v>0.85254543874327005</v>
      </c>
      <c r="Y237" s="4">
        <f t="shared" si="163"/>
        <v>0.79921300652623883</v>
      </c>
      <c r="Z237" s="4">
        <f t="shared" si="163"/>
        <v>0.73204982249993378</v>
      </c>
      <c r="AA237" s="4">
        <f t="shared" si="163"/>
        <v>0.65145592958786691</v>
      </c>
      <c r="AB237" s="4">
        <f t="shared" si="163"/>
        <v>0.56032247880849573</v>
      </c>
      <c r="AC237" s="4">
        <f t="shared" si="163"/>
        <v>0.46411326873185343</v>
      </c>
      <c r="AD237" s="4">
        <f t="shared" si="163"/>
        <v>0.36979727595523937</v>
      </c>
      <c r="AE237" s="4">
        <f t="shared" si="163"/>
        <v>0.28393948637231203</v>
      </c>
      <c r="AF237" s="4">
        <f t="shared" si="163"/>
        <v>0.21097259161117732</v>
      </c>
      <c r="AG237" s="4">
        <f t="shared" si="160"/>
        <v>0.15253917653798199</v>
      </c>
      <c r="AH237" s="4">
        <f t="shared" si="160"/>
        <v>0.10795188737709993</v>
      </c>
      <c r="AI237" s="4">
        <f t="shared" si="160"/>
        <v>7.5176653938091809E-2</v>
      </c>
      <c r="AJ237" s="4">
        <f t="shared" si="161"/>
        <v>5.1742836177502194E-2</v>
      </c>
      <c r="AK237" s="4">
        <f t="shared" si="161"/>
        <v>3.5319190625345942E-2</v>
      </c>
      <c r="AL237" s="4">
        <f t="shared" si="161"/>
        <v>2.3969442072658165E-2</v>
      </c>
      <c r="AM237" s="4">
        <f t="shared" si="161"/>
        <v>1.6202243558389728E-2</v>
      </c>
      <c r="AN237" s="4">
        <f t="shared" si="161"/>
        <v>1.0922240564108399E-2</v>
      </c>
      <c r="AO237" s="4">
        <f t="shared" si="161"/>
        <v>7.3493212906090566E-3</v>
      </c>
      <c r="AP237" s="4">
        <f t="shared" si="161"/>
        <v>4.9390262185057265E-3</v>
      </c>
      <c r="AQ237" s="4">
        <f t="shared" si="161"/>
        <v>3.3164275492956197E-3</v>
      </c>
      <c r="AR237" s="4">
        <f t="shared" si="16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3"/>
        <v>0.9867978615748374</v>
      </c>
      <c r="R238" s="4">
        <f t="shared" si="163"/>
        <v>0.98114509762858249</v>
      </c>
      <c r="S238" s="4">
        <f t="shared" si="163"/>
        <v>0.97311898315872036</v>
      </c>
      <c r="T238" s="4">
        <f t="shared" si="163"/>
        <v>0.96177484161592774</v>
      </c>
      <c r="U238" s="4">
        <f t="shared" si="163"/>
        <v>0.94584787155511363</v>
      </c>
      <c r="V238" s="4">
        <f t="shared" si="163"/>
        <v>0.92370360150141495</v>
      </c>
      <c r="W238" s="4">
        <f t="shared" si="163"/>
        <v>0.89334463567658451</v>
      </c>
      <c r="X238" s="4">
        <f t="shared" si="163"/>
        <v>0.85254543874327005</v>
      </c>
      <c r="Y238" s="4">
        <f t="shared" si="163"/>
        <v>0.79921300652623883</v>
      </c>
      <c r="Z238" s="4">
        <f t="shared" si="163"/>
        <v>0.73204982249993378</v>
      </c>
      <c r="AA238" s="4">
        <f t="shared" si="163"/>
        <v>0.65145592958786691</v>
      </c>
      <c r="AB238" s="4">
        <f t="shared" si="163"/>
        <v>0.56032247880849573</v>
      </c>
      <c r="AC238" s="4">
        <f t="shared" si="163"/>
        <v>0.46411326873185343</v>
      </c>
      <c r="AD238" s="4">
        <f t="shared" si="163"/>
        <v>0.36979727595523937</v>
      </c>
      <c r="AE238" s="4">
        <f t="shared" si="163"/>
        <v>0.28393948637231203</v>
      </c>
      <c r="AF238" s="4">
        <f t="shared" si="163"/>
        <v>0.21097259161117732</v>
      </c>
      <c r="AG238" s="4">
        <f t="shared" si="160"/>
        <v>0.15253917653798199</v>
      </c>
      <c r="AH238" s="4">
        <f t="shared" si="160"/>
        <v>0.10795188737709993</v>
      </c>
      <c r="AI238" s="4">
        <f t="shared" si="160"/>
        <v>7.5176653938091809E-2</v>
      </c>
      <c r="AJ238" s="4">
        <f t="shared" si="161"/>
        <v>5.1742836177502194E-2</v>
      </c>
      <c r="AK238" s="4">
        <f t="shared" si="161"/>
        <v>3.5319190625345942E-2</v>
      </c>
      <c r="AL238" s="4">
        <f t="shared" si="161"/>
        <v>2.3969442072658165E-2</v>
      </c>
      <c r="AM238" s="4">
        <f t="shared" si="161"/>
        <v>1.6202243558389728E-2</v>
      </c>
      <c r="AN238" s="4">
        <f t="shared" si="161"/>
        <v>1.0922240564108399E-2</v>
      </c>
      <c r="AO238" s="4">
        <f t="shared" si="161"/>
        <v>7.3493212906090566E-3</v>
      </c>
      <c r="AP238" s="4">
        <f t="shared" si="161"/>
        <v>4.9390262185057265E-3</v>
      </c>
      <c r="AQ238" s="4">
        <f t="shared" si="161"/>
        <v>3.3164275492956197E-3</v>
      </c>
      <c r="AR238" s="4">
        <f t="shared" si="16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3"/>
        <v>0.9867978615748374</v>
      </c>
      <c r="R239" s="4">
        <f t="shared" si="163"/>
        <v>0.98114509762858249</v>
      </c>
      <c r="S239" s="4">
        <f t="shared" si="163"/>
        <v>0.97311898315872036</v>
      </c>
      <c r="T239" s="4">
        <f t="shared" si="163"/>
        <v>0.96177484161592774</v>
      </c>
      <c r="U239" s="4">
        <f t="shared" si="163"/>
        <v>0.94584787155511363</v>
      </c>
      <c r="V239" s="4">
        <f t="shared" si="163"/>
        <v>0.92370360150141495</v>
      </c>
      <c r="W239" s="4">
        <f t="shared" si="163"/>
        <v>0.89334463567658451</v>
      </c>
      <c r="X239" s="4">
        <f t="shared" si="163"/>
        <v>0.85254543874327005</v>
      </c>
      <c r="Y239" s="4">
        <f t="shared" si="163"/>
        <v>0.79921300652623883</v>
      </c>
      <c r="Z239" s="4">
        <f t="shared" si="163"/>
        <v>0.73204982249993378</v>
      </c>
      <c r="AA239" s="4">
        <f t="shared" si="163"/>
        <v>0.65145592958786691</v>
      </c>
      <c r="AB239" s="4">
        <f t="shared" si="163"/>
        <v>0.56032247880849573</v>
      </c>
      <c r="AC239" s="4">
        <f t="shared" si="163"/>
        <v>0.46411326873185343</v>
      </c>
      <c r="AD239" s="4">
        <f t="shared" si="163"/>
        <v>0.36979727595523937</v>
      </c>
      <c r="AE239" s="4">
        <f t="shared" si="163"/>
        <v>0.28393948637231203</v>
      </c>
      <c r="AF239" s="4">
        <f t="shared" si="163"/>
        <v>0.21097259161117732</v>
      </c>
      <c r="AG239" s="4">
        <f t="shared" si="160"/>
        <v>0.15253917653798199</v>
      </c>
      <c r="AH239" s="4">
        <f t="shared" si="160"/>
        <v>0.10795188737709993</v>
      </c>
      <c r="AI239" s="4">
        <f t="shared" si="160"/>
        <v>7.5176653938091809E-2</v>
      </c>
      <c r="AJ239" s="4">
        <f t="shared" si="161"/>
        <v>5.1742836177502194E-2</v>
      </c>
      <c r="AK239" s="4">
        <f t="shared" si="161"/>
        <v>3.5319190625345942E-2</v>
      </c>
      <c r="AL239" s="4">
        <f t="shared" si="161"/>
        <v>2.3969442072658165E-2</v>
      </c>
      <c r="AM239" s="4">
        <f t="shared" si="161"/>
        <v>1.6202243558389728E-2</v>
      </c>
      <c r="AN239" s="4">
        <f t="shared" si="161"/>
        <v>1.0922240564108399E-2</v>
      </c>
      <c r="AO239" s="4">
        <f t="shared" si="161"/>
        <v>7.3493212906090566E-3</v>
      </c>
      <c r="AP239" s="4">
        <f t="shared" si="161"/>
        <v>4.9390262185057265E-3</v>
      </c>
      <c r="AQ239" s="4">
        <f t="shared" si="161"/>
        <v>3.3164275492956197E-3</v>
      </c>
      <c r="AR239" s="4">
        <f t="shared" si="161"/>
        <v>2.2256362146679809E-3</v>
      </c>
    </row>
    <row r="240" spans="1:44" x14ac:dyDescent="0.25">
      <c r="A240" s="24" t="s">
        <v>73</v>
      </c>
      <c r="B240" s="72">
        <f>'Parameter Input'!$L$153</f>
        <v>0</v>
      </c>
      <c r="C240" s="73">
        <f>'Parameter Input'!$M$153</f>
        <v>0</v>
      </c>
      <c r="D240" s="1" t="s">
        <v>57</v>
      </c>
      <c r="L240" s="54">
        <f>'Parameter Input'!$O$153</f>
        <v>12</v>
      </c>
      <c r="M240" s="37">
        <v>0</v>
      </c>
      <c r="N240" s="37">
        <v>1</v>
      </c>
      <c r="O240" s="37">
        <f>'Parameter Input'!$P$153</f>
        <v>0.9</v>
      </c>
      <c r="P240" s="55">
        <f>'Parameter Input'!$Q$153</f>
        <v>0.4</v>
      </c>
      <c r="Q240" s="4">
        <f t="shared" si="163"/>
        <v>0.9867978615748374</v>
      </c>
      <c r="R240" s="4">
        <f t="shared" si="163"/>
        <v>0.98114509762858249</v>
      </c>
      <c r="S240" s="4">
        <f t="shared" si="163"/>
        <v>0.97311898315872036</v>
      </c>
      <c r="T240" s="4">
        <f t="shared" si="163"/>
        <v>0.96177484161592774</v>
      </c>
      <c r="U240" s="4">
        <f t="shared" si="163"/>
        <v>0.94584787155511363</v>
      </c>
      <c r="V240" s="4">
        <f t="shared" si="163"/>
        <v>0.92370360150141495</v>
      </c>
      <c r="W240" s="4">
        <f t="shared" si="163"/>
        <v>0.89334463567658451</v>
      </c>
      <c r="X240" s="4">
        <f t="shared" si="163"/>
        <v>0.85254543874327005</v>
      </c>
      <c r="Y240" s="4">
        <f t="shared" si="163"/>
        <v>0.79921300652623883</v>
      </c>
      <c r="Z240" s="4">
        <f t="shared" si="163"/>
        <v>0.73204982249993378</v>
      </c>
      <c r="AA240" s="4">
        <f t="shared" si="163"/>
        <v>0.65145592958786691</v>
      </c>
      <c r="AB240" s="4">
        <f t="shared" si="163"/>
        <v>0.56032247880849573</v>
      </c>
      <c r="AC240" s="4">
        <f t="shared" si="163"/>
        <v>0.46411326873185343</v>
      </c>
      <c r="AD240" s="4">
        <f t="shared" si="163"/>
        <v>0.36979727595523937</v>
      </c>
      <c r="AE240" s="4">
        <f t="shared" si="163"/>
        <v>0.28393948637231203</v>
      </c>
      <c r="AF240" s="4">
        <f t="shared" si="163"/>
        <v>0.21097259161117732</v>
      </c>
      <c r="AG240" s="4">
        <f t="shared" si="160"/>
        <v>0.15253917653798199</v>
      </c>
      <c r="AH240" s="4">
        <f t="shared" si="160"/>
        <v>0.10795188737709993</v>
      </c>
      <c r="AI240" s="4">
        <f t="shared" si="160"/>
        <v>7.5176653938091809E-2</v>
      </c>
      <c r="AJ240" s="4">
        <f t="shared" si="161"/>
        <v>5.1742836177502194E-2</v>
      </c>
      <c r="AK240" s="4">
        <f t="shared" si="161"/>
        <v>3.5319190625345942E-2</v>
      </c>
      <c r="AL240" s="4">
        <f t="shared" si="161"/>
        <v>2.3969442072658165E-2</v>
      </c>
      <c r="AM240" s="4">
        <f t="shared" si="161"/>
        <v>1.6202243558389728E-2</v>
      </c>
      <c r="AN240" s="4">
        <f t="shared" si="161"/>
        <v>1.0922240564108399E-2</v>
      </c>
      <c r="AO240" s="4">
        <f t="shared" si="161"/>
        <v>7.3493212906090566E-3</v>
      </c>
      <c r="AP240" s="4">
        <f t="shared" si="161"/>
        <v>4.9390262185057265E-3</v>
      </c>
      <c r="AQ240" s="4">
        <f t="shared" si="161"/>
        <v>3.3164275492956197E-3</v>
      </c>
      <c r="AR240" s="4">
        <f t="shared" si="16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3"/>
        <v>0.9867978615748374</v>
      </c>
      <c r="R241" s="4">
        <f t="shared" si="163"/>
        <v>0.98114509762858249</v>
      </c>
      <c r="S241" s="4">
        <f t="shared" si="163"/>
        <v>0.97311898315872036</v>
      </c>
      <c r="T241" s="4">
        <f t="shared" si="163"/>
        <v>0.96177484161592774</v>
      </c>
      <c r="U241" s="4">
        <f t="shared" si="163"/>
        <v>0.94584787155511363</v>
      </c>
      <c r="V241" s="4">
        <f t="shared" si="163"/>
        <v>0.92370360150141495</v>
      </c>
      <c r="W241" s="4">
        <f t="shared" si="163"/>
        <v>0.89334463567658451</v>
      </c>
      <c r="X241" s="4">
        <f t="shared" si="163"/>
        <v>0.85254543874327005</v>
      </c>
      <c r="Y241" s="4">
        <f t="shared" si="163"/>
        <v>0.79921300652623883</v>
      </c>
      <c r="Z241" s="4">
        <f t="shared" si="163"/>
        <v>0.73204982249993378</v>
      </c>
      <c r="AA241" s="4">
        <f t="shared" si="163"/>
        <v>0.65145592958786691</v>
      </c>
      <c r="AB241" s="4">
        <f t="shared" si="163"/>
        <v>0.56032247880849573</v>
      </c>
      <c r="AC241" s="4">
        <f t="shared" si="163"/>
        <v>0.46411326873185343</v>
      </c>
      <c r="AD241" s="4">
        <f t="shared" si="163"/>
        <v>0.36979727595523937</v>
      </c>
      <c r="AE241" s="4">
        <f t="shared" si="163"/>
        <v>0.28393948637231203</v>
      </c>
      <c r="AF241" s="4">
        <f t="shared" si="163"/>
        <v>0.21097259161117732</v>
      </c>
      <c r="AG241" s="4">
        <f t="shared" si="160"/>
        <v>0.15253917653798199</v>
      </c>
      <c r="AH241" s="4">
        <f t="shared" si="160"/>
        <v>0.10795188737709993</v>
      </c>
      <c r="AI241" s="4">
        <f t="shared" si="160"/>
        <v>7.5176653938091809E-2</v>
      </c>
      <c r="AJ241" s="4">
        <f t="shared" si="161"/>
        <v>5.1742836177502194E-2</v>
      </c>
      <c r="AK241" s="4">
        <f t="shared" si="161"/>
        <v>3.5319190625345942E-2</v>
      </c>
      <c r="AL241" s="4">
        <f t="shared" si="161"/>
        <v>2.3969442072658165E-2</v>
      </c>
      <c r="AM241" s="4">
        <f t="shared" si="161"/>
        <v>1.6202243558389728E-2</v>
      </c>
      <c r="AN241" s="4">
        <f t="shared" si="161"/>
        <v>1.0922240564108399E-2</v>
      </c>
      <c r="AO241" s="4">
        <f t="shared" si="161"/>
        <v>7.3493212906090566E-3</v>
      </c>
      <c r="AP241" s="4">
        <f t="shared" si="161"/>
        <v>4.9390262185057265E-3</v>
      </c>
      <c r="AQ241" s="4">
        <f t="shared" si="161"/>
        <v>3.3164275492956197E-3</v>
      </c>
      <c r="AR241" s="4">
        <f t="shared" si="16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4">A225</f>
        <v>Capex vehicle</v>
      </c>
      <c r="B245" s="62">
        <f t="shared" ref="B245:B253" si="165">$B225+($C225-$B225)*(1-Q225)</f>
        <v>3500000</v>
      </c>
      <c r="C245" s="62">
        <f t="shared" ref="C245:C253" si="166">$B225+($C225-$B225)*(1-R225)</f>
        <v>3500000</v>
      </c>
      <c r="D245" s="62">
        <f t="shared" ref="D245:D253" si="167">$B225+($C225-$B225)*(1-S225)</f>
        <v>3500000</v>
      </c>
      <c r="E245" s="62">
        <f t="shared" ref="E245:E253" si="168">$B225+($C225-$B225)*(1-T225)</f>
        <v>3500000</v>
      </c>
      <c r="F245" s="62">
        <f t="shared" ref="F245:F253" si="169">$B225+($C225-$B225)*(1-U225)</f>
        <v>3500000</v>
      </c>
      <c r="G245" s="62">
        <f t="shared" ref="G245:G253" si="170">$B225+($C225-$B225)*(1-V225)</f>
        <v>3500000</v>
      </c>
      <c r="H245" s="62">
        <f t="shared" ref="H245:H253" si="171">$B225+($C225-$B225)*(1-W225)</f>
        <v>3500000</v>
      </c>
      <c r="I245" s="62">
        <f t="shared" ref="I245:I253" si="172">$B225+($C225-$B225)*(1-X225)</f>
        <v>3500000</v>
      </c>
      <c r="J245" s="62">
        <f t="shared" ref="J245:J253" si="173">$B225+($C225-$B225)*(1-Y225)</f>
        <v>3500000</v>
      </c>
      <c r="K245" s="62">
        <f t="shared" ref="K245:K253" si="174">$B225+($C225-$B225)*(1-Z225)</f>
        <v>3500000</v>
      </c>
      <c r="L245" s="62">
        <f t="shared" ref="L245:L253" si="175">$B225+($C225-$B225)*(1-AA225)</f>
        <v>3500000</v>
      </c>
      <c r="M245" s="62">
        <f t="shared" ref="M245:M253" si="176">$B225+($C225-$B225)*(1-AB225)</f>
        <v>3500000</v>
      </c>
      <c r="N245" s="62">
        <f t="shared" ref="N245:N253" si="177">$B225+($C225-$B225)*(1-AC225)</f>
        <v>3500000</v>
      </c>
      <c r="O245" s="62">
        <f t="shared" ref="O245:O253" si="178">$B225+($C225-$B225)*(1-AD225)</f>
        <v>3500000</v>
      </c>
      <c r="P245" s="62">
        <f t="shared" ref="P245:P253" si="179">$B225+($C225-$B225)*(1-AE225)</f>
        <v>3500000</v>
      </c>
      <c r="Q245" s="62">
        <f t="shared" ref="Q245:Q253" si="180">$B225+($C225-$B225)*(1-AF225)</f>
        <v>3500000</v>
      </c>
      <c r="R245" s="62">
        <f t="shared" ref="R245:R253" si="181">$B225+($C225-$B225)*(1-AG225)</f>
        <v>3500000</v>
      </c>
      <c r="S245" s="62">
        <f t="shared" ref="S245:S253" si="182">$B225+($C225-$B225)*(1-AH225)</f>
        <v>3500000</v>
      </c>
      <c r="T245" s="62">
        <f t="shared" ref="T245:T253" si="183">$B225+($C225-$B225)*(1-AI225)</f>
        <v>3500000</v>
      </c>
      <c r="U245" s="62">
        <f t="shared" ref="U245:U253" si="184">$B225+($C225-$B225)*(1-AJ225)</f>
        <v>3500000</v>
      </c>
      <c r="V245" s="62">
        <f t="shared" ref="V245:V253" si="185">$B225+($C225-$B225)*(1-AK225)</f>
        <v>3500000</v>
      </c>
      <c r="W245" s="62">
        <f t="shared" ref="W245:W253" si="186">$B225+($C225-$B225)*(1-AL225)</f>
        <v>3500000</v>
      </c>
      <c r="X245" s="62">
        <f t="shared" ref="X245:X253" si="187">$B225+($C225-$B225)*(1-AM225)</f>
        <v>3500000</v>
      </c>
      <c r="Y245" s="62">
        <f t="shared" ref="Y245:Y253" si="188">$B225+($C225-$B225)*(1-AN225)</f>
        <v>3500000</v>
      </c>
      <c r="Z245" s="62">
        <f t="shared" ref="Z245:Z253" si="189">$B225+($C225-$B225)*(1-AO225)</f>
        <v>3500000</v>
      </c>
      <c r="AA245" s="62">
        <f t="shared" ref="AA245:AA253" si="190">$B225+($C225-$B225)*(1-AP225)</f>
        <v>3500000</v>
      </c>
      <c r="AB245" s="62">
        <f t="shared" ref="AB245:AB253" si="191">$B225+($C225-$B225)*(1-AQ225)</f>
        <v>3500000</v>
      </c>
      <c r="AC245" s="62">
        <f t="shared" ref="AC245:AC253" si="192">$B225+($C225-$B225)*(1-AR225)</f>
        <v>3500000</v>
      </c>
    </row>
    <row r="246" spans="1:44" x14ac:dyDescent="0.25">
      <c r="A246" s="30" t="str">
        <f t="shared" si="164"/>
        <v>Residual value (vehicle)</v>
      </c>
      <c r="B246" s="62">
        <f t="shared" si="165"/>
        <v>-520379.25155119307</v>
      </c>
      <c r="C246" s="62">
        <f t="shared" si="166"/>
        <v>-518400.78417000384</v>
      </c>
      <c r="D246" s="62">
        <f t="shared" si="167"/>
        <v>-515591.64410555211</v>
      </c>
      <c r="E246" s="62">
        <f t="shared" si="168"/>
        <v>-511621.1945655747</v>
      </c>
      <c r="F246" s="62">
        <f t="shared" si="169"/>
        <v>-506046.75504428975</v>
      </c>
      <c r="G246" s="62">
        <f t="shared" si="170"/>
        <v>-498296.26052549522</v>
      </c>
      <c r="H246" s="62">
        <f t="shared" si="171"/>
        <v>-487670.62248680455</v>
      </c>
      <c r="I246" s="62">
        <f t="shared" si="172"/>
        <v>-473390.90356014454</v>
      </c>
      <c r="J246" s="62">
        <f t="shared" si="173"/>
        <v>-454724.55228418356</v>
      </c>
      <c r="K246" s="62">
        <f t="shared" si="174"/>
        <v>-431217.43787497684</v>
      </c>
      <c r="L246" s="62">
        <f t="shared" si="175"/>
        <v>-403009.57535575342</v>
      </c>
      <c r="M246" s="62">
        <f t="shared" si="176"/>
        <v>-371112.8675829735</v>
      </c>
      <c r="N246" s="62">
        <f t="shared" si="177"/>
        <v>-337439.64405614871</v>
      </c>
      <c r="O246" s="62">
        <f t="shared" si="178"/>
        <v>-304429.04658433376</v>
      </c>
      <c r="P246" s="62">
        <f t="shared" si="179"/>
        <v>-274378.82023030921</v>
      </c>
      <c r="Q246" s="62">
        <f t="shared" si="180"/>
        <v>-248840.40706391208</v>
      </c>
      <c r="R246" s="62">
        <f t="shared" si="181"/>
        <v>-228388.71178829367</v>
      </c>
      <c r="S246" s="62">
        <f t="shared" si="182"/>
        <v>-212783.16058198496</v>
      </c>
      <c r="T246" s="62">
        <f t="shared" si="183"/>
        <v>-201311.8288783321</v>
      </c>
      <c r="U246" s="62">
        <f t="shared" si="184"/>
        <v>-193109.99266212579</v>
      </c>
      <c r="V246" s="62">
        <f t="shared" si="185"/>
        <v>-187361.71671887109</v>
      </c>
      <c r="W246" s="62">
        <f t="shared" si="186"/>
        <v>-183389.30472543038</v>
      </c>
      <c r="X246" s="62">
        <f t="shared" si="187"/>
        <v>-180670.78524543642</v>
      </c>
      <c r="Y246" s="62">
        <f t="shared" si="188"/>
        <v>-178822.78419743793</v>
      </c>
      <c r="Z246" s="62">
        <f t="shared" si="189"/>
        <v>-177572.26245171315</v>
      </c>
      <c r="AA246" s="62">
        <f t="shared" si="190"/>
        <v>-176728.659176477</v>
      </c>
      <c r="AB246" s="62">
        <f t="shared" si="191"/>
        <v>-176160.74964225345</v>
      </c>
      <c r="AC246" s="62">
        <f t="shared" si="192"/>
        <v>-175778.97267513379</v>
      </c>
    </row>
    <row r="247" spans="1:44" x14ac:dyDescent="0.25">
      <c r="A247" s="30" t="str">
        <f t="shared" si="164"/>
        <v>Capex costumization</v>
      </c>
      <c r="B247" s="62">
        <f t="shared" si="165"/>
        <v>2800000</v>
      </c>
      <c r="C247" s="62">
        <f t="shared" si="166"/>
        <v>2800000</v>
      </c>
      <c r="D247" s="62">
        <f t="shared" si="167"/>
        <v>2800000</v>
      </c>
      <c r="E247" s="62">
        <f t="shared" si="168"/>
        <v>2800000</v>
      </c>
      <c r="F247" s="62">
        <f t="shared" si="169"/>
        <v>2800000</v>
      </c>
      <c r="G247" s="62">
        <f t="shared" si="170"/>
        <v>2800000</v>
      </c>
      <c r="H247" s="62">
        <f t="shared" si="171"/>
        <v>2800000</v>
      </c>
      <c r="I247" s="62">
        <f t="shared" si="172"/>
        <v>2800000</v>
      </c>
      <c r="J247" s="62">
        <f t="shared" si="173"/>
        <v>2800000</v>
      </c>
      <c r="K247" s="62">
        <f t="shared" si="174"/>
        <v>2800000</v>
      </c>
      <c r="L247" s="62">
        <f t="shared" si="175"/>
        <v>2800000</v>
      </c>
      <c r="M247" s="62">
        <f t="shared" si="176"/>
        <v>2800000</v>
      </c>
      <c r="N247" s="62">
        <f t="shared" si="177"/>
        <v>2800000</v>
      </c>
      <c r="O247" s="62">
        <f t="shared" si="178"/>
        <v>2800000</v>
      </c>
      <c r="P247" s="62">
        <f t="shared" si="179"/>
        <v>2800000</v>
      </c>
      <c r="Q247" s="62">
        <f t="shared" si="180"/>
        <v>2800000</v>
      </c>
      <c r="R247" s="62">
        <f t="shared" si="181"/>
        <v>2800000</v>
      </c>
      <c r="S247" s="62">
        <f t="shared" si="182"/>
        <v>2800000</v>
      </c>
      <c r="T247" s="62">
        <f t="shared" si="183"/>
        <v>2800000</v>
      </c>
      <c r="U247" s="62">
        <f t="shared" si="184"/>
        <v>2800000</v>
      </c>
      <c r="V247" s="62">
        <f t="shared" si="185"/>
        <v>2800000</v>
      </c>
      <c r="W247" s="62">
        <f t="shared" si="186"/>
        <v>2800000</v>
      </c>
      <c r="X247" s="62">
        <f t="shared" si="187"/>
        <v>2800000</v>
      </c>
      <c r="Y247" s="62">
        <f t="shared" si="188"/>
        <v>2800000</v>
      </c>
      <c r="Z247" s="62">
        <f t="shared" si="189"/>
        <v>2800000</v>
      </c>
      <c r="AA247" s="62">
        <f t="shared" si="190"/>
        <v>2800000</v>
      </c>
      <c r="AB247" s="62">
        <f t="shared" si="191"/>
        <v>2800000</v>
      </c>
      <c r="AC247" s="62">
        <f t="shared" si="192"/>
        <v>2800000</v>
      </c>
    </row>
    <row r="248" spans="1:44" x14ac:dyDescent="0.25">
      <c r="A248" s="30" t="str">
        <f t="shared" si="164"/>
        <v>Residual value (costumization)</v>
      </c>
      <c r="B248" s="62">
        <f t="shared" si="165"/>
        <v>-140000</v>
      </c>
      <c r="C248" s="62">
        <f t="shared" si="166"/>
        <v>-140000</v>
      </c>
      <c r="D248" s="62">
        <f t="shared" si="167"/>
        <v>-140000</v>
      </c>
      <c r="E248" s="62">
        <f t="shared" si="168"/>
        <v>-140000</v>
      </c>
      <c r="F248" s="62">
        <f t="shared" si="169"/>
        <v>-140000</v>
      </c>
      <c r="G248" s="62">
        <f t="shared" si="170"/>
        <v>-140000</v>
      </c>
      <c r="H248" s="62">
        <f t="shared" si="171"/>
        <v>-140000</v>
      </c>
      <c r="I248" s="62">
        <f t="shared" si="172"/>
        <v>-140000</v>
      </c>
      <c r="J248" s="62">
        <f t="shared" si="173"/>
        <v>-140000</v>
      </c>
      <c r="K248" s="62">
        <f t="shared" si="174"/>
        <v>-140000</v>
      </c>
      <c r="L248" s="62">
        <f t="shared" si="175"/>
        <v>-140000</v>
      </c>
      <c r="M248" s="62">
        <f t="shared" si="176"/>
        <v>-140000</v>
      </c>
      <c r="N248" s="62">
        <f t="shared" si="177"/>
        <v>-140000</v>
      </c>
      <c r="O248" s="62">
        <f t="shared" si="178"/>
        <v>-140000</v>
      </c>
      <c r="P248" s="62">
        <f t="shared" si="179"/>
        <v>-140000</v>
      </c>
      <c r="Q248" s="62">
        <f t="shared" si="180"/>
        <v>-140000</v>
      </c>
      <c r="R248" s="62">
        <f t="shared" si="181"/>
        <v>-140000</v>
      </c>
      <c r="S248" s="62">
        <f t="shared" si="182"/>
        <v>-140000</v>
      </c>
      <c r="T248" s="62">
        <f t="shared" si="183"/>
        <v>-140000</v>
      </c>
      <c r="U248" s="62">
        <f t="shared" si="184"/>
        <v>-140000</v>
      </c>
      <c r="V248" s="62">
        <f t="shared" si="185"/>
        <v>-140000</v>
      </c>
      <c r="W248" s="62">
        <f t="shared" si="186"/>
        <v>-140000</v>
      </c>
      <c r="X248" s="62">
        <f t="shared" si="187"/>
        <v>-140000</v>
      </c>
      <c r="Y248" s="62">
        <f t="shared" si="188"/>
        <v>-140000</v>
      </c>
      <c r="Z248" s="62">
        <f t="shared" si="189"/>
        <v>-140000</v>
      </c>
      <c r="AA248" s="62">
        <f t="shared" si="190"/>
        <v>-140000</v>
      </c>
      <c r="AB248" s="62">
        <f t="shared" si="191"/>
        <v>-140000</v>
      </c>
      <c r="AC248" s="62">
        <f t="shared" si="192"/>
        <v>-140000</v>
      </c>
    </row>
    <row r="249" spans="1:44" x14ac:dyDescent="0.25">
      <c r="A249" s="30" t="str">
        <f t="shared" si="164"/>
        <v>WACC</v>
      </c>
      <c r="B249" s="62">
        <f t="shared" si="165"/>
        <v>0.06</v>
      </c>
      <c r="C249" s="62">
        <f t="shared" si="166"/>
        <v>0.06</v>
      </c>
      <c r="D249" s="62">
        <f t="shared" si="167"/>
        <v>0.06</v>
      </c>
      <c r="E249" s="62">
        <f t="shared" si="168"/>
        <v>0.06</v>
      </c>
      <c r="F249" s="62">
        <f t="shared" si="169"/>
        <v>0.06</v>
      </c>
      <c r="G249" s="62">
        <f t="shared" si="170"/>
        <v>0.06</v>
      </c>
      <c r="H249" s="62">
        <f t="shared" si="171"/>
        <v>0.06</v>
      </c>
      <c r="I249" s="62">
        <f t="shared" si="172"/>
        <v>0.06</v>
      </c>
      <c r="J249" s="62">
        <f t="shared" si="173"/>
        <v>0.06</v>
      </c>
      <c r="K249" s="62">
        <f t="shared" si="174"/>
        <v>0.06</v>
      </c>
      <c r="L249" s="62">
        <f t="shared" si="175"/>
        <v>0.06</v>
      </c>
      <c r="M249" s="62">
        <f t="shared" si="176"/>
        <v>0.06</v>
      </c>
      <c r="N249" s="62">
        <f t="shared" si="177"/>
        <v>0.06</v>
      </c>
      <c r="O249" s="62">
        <f t="shared" si="178"/>
        <v>0.06</v>
      </c>
      <c r="P249" s="62">
        <f t="shared" si="179"/>
        <v>0.06</v>
      </c>
      <c r="Q249" s="62">
        <f t="shared" si="180"/>
        <v>0.06</v>
      </c>
      <c r="R249" s="62">
        <f t="shared" si="181"/>
        <v>0.06</v>
      </c>
      <c r="S249" s="62">
        <f t="shared" si="182"/>
        <v>0.06</v>
      </c>
      <c r="T249" s="62">
        <f t="shared" si="183"/>
        <v>0.06</v>
      </c>
      <c r="U249" s="62">
        <f t="shared" si="184"/>
        <v>0.06</v>
      </c>
      <c r="V249" s="62">
        <f t="shared" si="185"/>
        <v>0.06</v>
      </c>
      <c r="W249" s="62">
        <f t="shared" si="186"/>
        <v>0.06</v>
      </c>
      <c r="X249" s="62">
        <f t="shared" si="187"/>
        <v>0.06</v>
      </c>
      <c r="Y249" s="62">
        <f t="shared" si="188"/>
        <v>0.06</v>
      </c>
      <c r="Z249" s="62">
        <f t="shared" si="189"/>
        <v>0.06</v>
      </c>
      <c r="AA249" s="62">
        <f t="shared" si="190"/>
        <v>0.06</v>
      </c>
      <c r="AB249" s="62">
        <f t="shared" si="191"/>
        <v>0.06</v>
      </c>
      <c r="AC249" s="62">
        <f t="shared" si="192"/>
        <v>0.06</v>
      </c>
    </row>
    <row r="250" spans="1:44" x14ac:dyDescent="0.25">
      <c r="A250" s="30" t="str">
        <f t="shared" si="164"/>
        <v>Opex fix (admin, crew, insurance)</v>
      </c>
      <c r="B250" s="62">
        <f t="shared" si="165"/>
        <v>610000</v>
      </c>
      <c r="C250" s="62">
        <f t="shared" si="166"/>
        <v>610000</v>
      </c>
      <c r="D250" s="62">
        <f t="shared" si="167"/>
        <v>610000</v>
      </c>
      <c r="E250" s="62">
        <f t="shared" si="168"/>
        <v>610000</v>
      </c>
      <c r="F250" s="62">
        <f t="shared" si="169"/>
        <v>610000</v>
      </c>
      <c r="G250" s="62">
        <f t="shared" si="170"/>
        <v>610000</v>
      </c>
      <c r="H250" s="62">
        <f t="shared" si="171"/>
        <v>610000</v>
      </c>
      <c r="I250" s="62">
        <f t="shared" si="172"/>
        <v>610000</v>
      </c>
      <c r="J250" s="62">
        <f t="shared" si="173"/>
        <v>610000</v>
      </c>
      <c r="K250" s="62">
        <f t="shared" si="174"/>
        <v>610000</v>
      </c>
      <c r="L250" s="62">
        <f t="shared" si="175"/>
        <v>610000</v>
      </c>
      <c r="M250" s="62">
        <f t="shared" si="176"/>
        <v>610000</v>
      </c>
      <c r="N250" s="62">
        <f t="shared" si="177"/>
        <v>610000</v>
      </c>
      <c r="O250" s="62">
        <f t="shared" si="178"/>
        <v>610000</v>
      </c>
      <c r="P250" s="62">
        <f t="shared" si="179"/>
        <v>610000</v>
      </c>
      <c r="Q250" s="62">
        <f t="shared" si="180"/>
        <v>610000</v>
      </c>
      <c r="R250" s="62">
        <f t="shared" si="181"/>
        <v>610000</v>
      </c>
      <c r="S250" s="62">
        <f t="shared" si="182"/>
        <v>610000</v>
      </c>
      <c r="T250" s="62">
        <f t="shared" si="183"/>
        <v>610000</v>
      </c>
      <c r="U250" s="62">
        <f t="shared" si="184"/>
        <v>610000</v>
      </c>
      <c r="V250" s="62">
        <f t="shared" si="185"/>
        <v>610000</v>
      </c>
      <c r="W250" s="62">
        <f t="shared" si="186"/>
        <v>610000</v>
      </c>
      <c r="X250" s="62">
        <f t="shared" si="187"/>
        <v>610000</v>
      </c>
      <c r="Y250" s="62">
        <f t="shared" si="188"/>
        <v>610000</v>
      </c>
      <c r="Z250" s="62">
        <f t="shared" si="189"/>
        <v>610000</v>
      </c>
      <c r="AA250" s="62">
        <f t="shared" si="190"/>
        <v>610000</v>
      </c>
      <c r="AB250" s="62">
        <f t="shared" si="191"/>
        <v>610000</v>
      </c>
      <c r="AC250" s="62">
        <f t="shared" si="192"/>
        <v>610000</v>
      </c>
    </row>
    <row r="251" spans="1:44" x14ac:dyDescent="0.25">
      <c r="A251" s="30" t="str">
        <f t="shared" si="164"/>
        <v>Opex maintenance &amp; repair</v>
      </c>
      <c r="B251" s="62">
        <f t="shared" si="165"/>
        <v>1050000</v>
      </c>
      <c r="C251" s="62">
        <f t="shared" si="166"/>
        <v>1050000</v>
      </c>
      <c r="D251" s="62">
        <f t="shared" si="167"/>
        <v>1050000</v>
      </c>
      <c r="E251" s="62">
        <f t="shared" si="168"/>
        <v>1050000</v>
      </c>
      <c r="F251" s="62">
        <f t="shared" si="169"/>
        <v>1050000</v>
      </c>
      <c r="G251" s="62">
        <f t="shared" si="170"/>
        <v>1050000</v>
      </c>
      <c r="H251" s="62">
        <f t="shared" si="171"/>
        <v>1050000</v>
      </c>
      <c r="I251" s="62">
        <f t="shared" si="172"/>
        <v>1050000</v>
      </c>
      <c r="J251" s="62">
        <f t="shared" si="173"/>
        <v>1050000</v>
      </c>
      <c r="K251" s="62">
        <f t="shared" si="174"/>
        <v>1050000</v>
      </c>
      <c r="L251" s="62">
        <f t="shared" si="175"/>
        <v>1050000</v>
      </c>
      <c r="M251" s="62">
        <f t="shared" si="176"/>
        <v>1050000</v>
      </c>
      <c r="N251" s="62">
        <f t="shared" si="177"/>
        <v>1050000</v>
      </c>
      <c r="O251" s="62">
        <f t="shared" si="178"/>
        <v>1050000</v>
      </c>
      <c r="P251" s="62">
        <f t="shared" si="179"/>
        <v>1050000</v>
      </c>
      <c r="Q251" s="62">
        <f t="shared" si="180"/>
        <v>1050000</v>
      </c>
      <c r="R251" s="62">
        <f t="shared" si="181"/>
        <v>1050000</v>
      </c>
      <c r="S251" s="62">
        <f t="shared" si="182"/>
        <v>1050000</v>
      </c>
      <c r="T251" s="62">
        <f t="shared" si="183"/>
        <v>1050000</v>
      </c>
      <c r="U251" s="62">
        <f t="shared" si="184"/>
        <v>1050000</v>
      </c>
      <c r="V251" s="62">
        <f t="shared" si="185"/>
        <v>1050000</v>
      </c>
      <c r="W251" s="62">
        <f t="shared" si="186"/>
        <v>1050000</v>
      </c>
      <c r="X251" s="62">
        <f t="shared" si="187"/>
        <v>1050000</v>
      </c>
      <c r="Y251" s="62">
        <f t="shared" si="188"/>
        <v>1050000</v>
      </c>
      <c r="Z251" s="62">
        <f t="shared" si="189"/>
        <v>1050000</v>
      </c>
      <c r="AA251" s="62">
        <f t="shared" si="190"/>
        <v>1050000</v>
      </c>
      <c r="AB251" s="62">
        <f t="shared" si="191"/>
        <v>1050000</v>
      </c>
      <c r="AC251" s="62">
        <f t="shared" si="192"/>
        <v>1050000</v>
      </c>
    </row>
    <row r="252" spans="1:44" x14ac:dyDescent="0.25">
      <c r="A252" s="30" t="str">
        <f t="shared" si="164"/>
        <v>Opex var (mode-fees, shunting)</v>
      </c>
      <c r="B252" s="62">
        <f t="shared" si="165"/>
        <v>3.6414565826330532</v>
      </c>
      <c r="C252" s="62">
        <f t="shared" si="166"/>
        <v>3.6414565826330532</v>
      </c>
      <c r="D252" s="62">
        <f t="shared" si="167"/>
        <v>3.6414565826330532</v>
      </c>
      <c r="E252" s="62">
        <f t="shared" si="168"/>
        <v>3.6414565826330532</v>
      </c>
      <c r="F252" s="62">
        <f t="shared" si="169"/>
        <v>3.6414565826330532</v>
      </c>
      <c r="G252" s="62">
        <f t="shared" si="170"/>
        <v>3.6414565826330532</v>
      </c>
      <c r="H252" s="62">
        <f t="shared" si="171"/>
        <v>3.6414565826330532</v>
      </c>
      <c r="I252" s="62">
        <f t="shared" si="172"/>
        <v>3.6414565826330532</v>
      </c>
      <c r="J252" s="62">
        <f t="shared" si="173"/>
        <v>3.6414565826330532</v>
      </c>
      <c r="K252" s="62">
        <f t="shared" si="174"/>
        <v>3.6414565826330532</v>
      </c>
      <c r="L252" s="62">
        <f t="shared" si="175"/>
        <v>3.6414565826330532</v>
      </c>
      <c r="M252" s="62">
        <f t="shared" si="176"/>
        <v>3.6414565826330532</v>
      </c>
      <c r="N252" s="62">
        <f t="shared" si="177"/>
        <v>3.6414565826330532</v>
      </c>
      <c r="O252" s="62">
        <f t="shared" si="178"/>
        <v>3.6414565826330532</v>
      </c>
      <c r="P252" s="62">
        <f t="shared" si="179"/>
        <v>3.6414565826330532</v>
      </c>
      <c r="Q252" s="62">
        <f t="shared" si="180"/>
        <v>3.6414565826330532</v>
      </c>
      <c r="R252" s="62">
        <f t="shared" si="181"/>
        <v>3.6414565826330532</v>
      </c>
      <c r="S252" s="62">
        <f t="shared" si="182"/>
        <v>3.6414565826330532</v>
      </c>
      <c r="T252" s="62">
        <f t="shared" si="183"/>
        <v>3.6414565826330532</v>
      </c>
      <c r="U252" s="62">
        <f t="shared" si="184"/>
        <v>3.6414565826330532</v>
      </c>
      <c r="V252" s="62">
        <f t="shared" si="185"/>
        <v>3.6414565826330532</v>
      </c>
      <c r="W252" s="62">
        <f t="shared" si="186"/>
        <v>3.6414565826330532</v>
      </c>
      <c r="X252" s="62">
        <f t="shared" si="187"/>
        <v>3.6414565826330532</v>
      </c>
      <c r="Y252" s="62">
        <f t="shared" si="188"/>
        <v>3.6414565826330532</v>
      </c>
      <c r="Z252" s="62">
        <f t="shared" si="189"/>
        <v>3.6414565826330532</v>
      </c>
      <c r="AA252" s="62">
        <f t="shared" si="190"/>
        <v>3.6414565826330532</v>
      </c>
      <c r="AB252" s="62">
        <f t="shared" si="191"/>
        <v>3.6414565826330532</v>
      </c>
      <c r="AC252" s="62">
        <f t="shared" si="192"/>
        <v>3.6414565826330532</v>
      </c>
    </row>
    <row r="253" spans="1:44" x14ac:dyDescent="0.25">
      <c r="A253" s="30" t="str">
        <f t="shared" si="164"/>
        <v>Fuel Economy</v>
      </c>
      <c r="B253" s="62">
        <f t="shared" si="165"/>
        <v>76.777599999999993</v>
      </c>
      <c r="C253" s="62">
        <f t="shared" si="166"/>
        <v>76.777599999999993</v>
      </c>
      <c r="D253" s="62">
        <f t="shared" si="167"/>
        <v>76.777599999999993</v>
      </c>
      <c r="E253" s="62">
        <f t="shared" si="168"/>
        <v>76.777599999999993</v>
      </c>
      <c r="F253" s="62">
        <f t="shared" si="169"/>
        <v>76.777599999999993</v>
      </c>
      <c r="G253" s="62">
        <f t="shared" si="170"/>
        <v>76.777599999999993</v>
      </c>
      <c r="H253" s="62">
        <f t="shared" si="171"/>
        <v>76.777599999999993</v>
      </c>
      <c r="I253" s="62">
        <f t="shared" si="172"/>
        <v>76.777599999999993</v>
      </c>
      <c r="J253" s="62">
        <f t="shared" si="173"/>
        <v>76.777599999999993</v>
      </c>
      <c r="K253" s="62">
        <f t="shared" si="174"/>
        <v>76.777599999999993</v>
      </c>
      <c r="L253" s="62">
        <f t="shared" si="175"/>
        <v>76.777599999999993</v>
      </c>
      <c r="M253" s="62">
        <f t="shared" si="176"/>
        <v>76.777599999999993</v>
      </c>
      <c r="N253" s="62">
        <f t="shared" si="177"/>
        <v>76.777599999999993</v>
      </c>
      <c r="O253" s="62">
        <f t="shared" si="178"/>
        <v>76.777599999999993</v>
      </c>
      <c r="P253" s="62">
        <f t="shared" si="179"/>
        <v>76.777599999999993</v>
      </c>
      <c r="Q253" s="62">
        <f t="shared" si="180"/>
        <v>76.777599999999993</v>
      </c>
      <c r="R253" s="62">
        <f t="shared" si="181"/>
        <v>76.777599999999993</v>
      </c>
      <c r="S253" s="62">
        <f t="shared" si="182"/>
        <v>76.777599999999993</v>
      </c>
      <c r="T253" s="62">
        <f t="shared" si="183"/>
        <v>76.777599999999993</v>
      </c>
      <c r="U253" s="62">
        <f t="shared" si="184"/>
        <v>76.777599999999993</v>
      </c>
      <c r="V253" s="62">
        <f t="shared" si="185"/>
        <v>76.777599999999993</v>
      </c>
      <c r="W253" s="62">
        <f t="shared" si="186"/>
        <v>76.777599999999993</v>
      </c>
      <c r="X253" s="62">
        <f t="shared" si="187"/>
        <v>76.777599999999993</v>
      </c>
      <c r="Y253" s="62">
        <f t="shared" si="188"/>
        <v>76.777599999999993</v>
      </c>
      <c r="Z253" s="62">
        <f t="shared" si="189"/>
        <v>76.777599999999993</v>
      </c>
      <c r="AA253" s="62">
        <f t="shared" si="190"/>
        <v>76.777599999999993</v>
      </c>
      <c r="AB253" s="62">
        <f t="shared" si="191"/>
        <v>76.777599999999993</v>
      </c>
      <c r="AC253" s="62">
        <f t="shared" si="192"/>
        <v>76.777599999999993</v>
      </c>
    </row>
    <row r="254" spans="1:44" x14ac:dyDescent="0.25">
      <c r="A254" s="30" t="str">
        <f t="shared" si="164"/>
        <v>Fuel Cost</v>
      </c>
      <c r="B254" s="62">
        <f>'Parameter Input'!J8</f>
        <v>6.4802641056422569E-2</v>
      </c>
      <c r="C254" s="62">
        <f>'Parameter Input'!K8</f>
        <v>6.3089795918367345E-2</v>
      </c>
      <c r="D254" s="62">
        <f>'Parameter Input'!L8</f>
        <v>6.1376950780312127E-2</v>
      </c>
      <c r="E254" s="62">
        <f>'Parameter Input'!M8</f>
        <v>5.9664105642256909E-2</v>
      </c>
      <c r="F254" s="62">
        <f>'Parameter Input'!N8</f>
        <v>5.7951260504201692E-2</v>
      </c>
      <c r="G254" s="62">
        <f>'Parameter Input'!O8</f>
        <v>5.6238415366146474E-2</v>
      </c>
      <c r="H254" s="62">
        <f>'Parameter Input'!P8</f>
        <v>5.4525570228091257E-2</v>
      </c>
      <c r="I254" s="62">
        <f>'Parameter Input'!Q8</f>
        <v>5.2812725090036025E-2</v>
      </c>
      <c r="J254" s="62">
        <f>'Parameter Input'!R8</f>
        <v>5.2313145258103252E-2</v>
      </c>
      <c r="K254" s="62">
        <f>'Parameter Input'!S8</f>
        <v>5.181356542617048E-2</v>
      </c>
      <c r="L254" s="62">
        <f>'Parameter Input'!T8</f>
        <v>5.1313985594237707E-2</v>
      </c>
      <c r="M254" s="62">
        <f>'Parameter Input'!U8</f>
        <v>5.0814405762304934E-2</v>
      </c>
      <c r="N254" s="62">
        <f>'Parameter Input'!V8</f>
        <v>5.0314825930372155E-2</v>
      </c>
      <c r="O254" s="62">
        <f>'Parameter Input'!W8</f>
        <v>4.9815246098439382E-2</v>
      </c>
      <c r="P254" s="62">
        <f>'Parameter Input'!X8</f>
        <v>4.931566626650661E-2</v>
      </c>
      <c r="Q254" s="62">
        <f>'Parameter Input'!Y8</f>
        <v>4.8816086434573837E-2</v>
      </c>
      <c r="R254" s="62">
        <f>'Parameter Input'!Z8</f>
        <v>4.8316506602641064E-2</v>
      </c>
      <c r="S254" s="62">
        <f>'Parameter Input'!AA8</f>
        <v>4.7816926770708292E-2</v>
      </c>
      <c r="T254" s="62">
        <f>'Parameter Input'!AB8</f>
        <v>4.7317346938775519E-2</v>
      </c>
      <c r="U254" s="62">
        <f>'Parameter Input'!AC8</f>
        <v>4.6817767106842746E-2</v>
      </c>
      <c r="V254" s="62">
        <f>'Parameter Input'!AD8</f>
        <v>4.6318187274909974E-2</v>
      </c>
      <c r="W254" s="62">
        <f>'Parameter Input'!AE8</f>
        <v>4.5818607442977201E-2</v>
      </c>
      <c r="X254" s="62">
        <f>'Parameter Input'!AF8</f>
        <v>4.5319027611044428E-2</v>
      </c>
      <c r="Y254" s="62">
        <f>'Parameter Input'!AG8</f>
        <v>4.4819447779111656E-2</v>
      </c>
      <c r="Z254" s="62">
        <f>'Parameter Input'!AH8</f>
        <v>4.4319867947178883E-2</v>
      </c>
      <c r="AA254" s="62">
        <f>'Parameter Input'!AI8</f>
        <v>4.382028811524611E-2</v>
      </c>
      <c r="AB254" s="62">
        <f>'Parameter Input'!AJ8</f>
        <v>4.3320708283313338E-2</v>
      </c>
      <c r="AC254" s="62">
        <f>'Parameter Input'!AK8</f>
        <v>4.2821128451380565E-2</v>
      </c>
    </row>
    <row r="255" spans="1:44" x14ac:dyDescent="0.25">
      <c r="A255" s="30" t="str">
        <f t="shared" si="164"/>
        <v>Emission Cost</v>
      </c>
      <c r="B255" s="66">
        <f>$B235+($C235-$B235)*(1-Q235)</f>
        <v>0</v>
      </c>
      <c r="C255" s="66">
        <f t="shared" ref="C255:AC255" si="193">$B235+($C235-$B235)*(1-R235)</f>
        <v>0</v>
      </c>
      <c r="D255" s="66">
        <f t="shared" si="193"/>
        <v>0</v>
      </c>
      <c r="E255" s="66">
        <f t="shared" si="193"/>
        <v>0</v>
      </c>
      <c r="F255" s="66">
        <f t="shared" si="193"/>
        <v>0</v>
      </c>
      <c r="G255" s="66">
        <f t="shared" si="193"/>
        <v>0</v>
      </c>
      <c r="H255" s="66">
        <f t="shared" si="193"/>
        <v>0</v>
      </c>
      <c r="I255" s="66">
        <f t="shared" si="193"/>
        <v>0</v>
      </c>
      <c r="J255" s="66">
        <f t="shared" si="193"/>
        <v>0</v>
      </c>
      <c r="K255" s="66">
        <f t="shared" si="193"/>
        <v>0</v>
      </c>
      <c r="L255" s="66">
        <f t="shared" si="193"/>
        <v>0</v>
      </c>
      <c r="M255" s="66">
        <f t="shared" si="193"/>
        <v>0</v>
      </c>
      <c r="N255" s="66">
        <f t="shared" si="193"/>
        <v>0</v>
      </c>
      <c r="O255" s="66">
        <f t="shared" si="193"/>
        <v>0</v>
      </c>
      <c r="P255" s="66">
        <f t="shared" si="193"/>
        <v>0</v>
      </c>
      <c r="Q255" s="66">
        <f t="shared" si="193"/>
        <v>0</v>
      </c>
      <c r="R255" s="66">
        <f t="shared" si="193"/>
        <v>0</v>
      </c>
      <c r="S255" s="66">
        <f t="shared" si="193"/>
        <v>0</v>
      </c>
      <c r="T255" s="66">
        <f t="shared" si="193"/>
        <v>0</v>
      </c>
      <c r="U255" s="66">
        <f t="shared" si="193"/>
        <v>0</v>
      </c>
      <c r="V255" s="66">
        <f t="shared" si="193"/>
        <v>0</v>
      </c>
      <c r="W255" s="66">
        <f t="shared" si="193"/>
        <v>0</v>
      </c>
      <c r="X255" s="66">
        <f t="shared" si="193"/>
        <v>0</v>
      </c>
      <c r="Y255" s="66">
        <f t="shared" si="193"/>
        <v>0</v>
      </c>
      <c r="Z255" s="66">
        <f t="shared" si="193"/>
        <v>0</v>
      </c>
      <c r="AA255" s="66">
        <f t="shared" si="193"/>
        <v>0</v>
      </c>
      <c r="AB255" s="66">
        <f t="shared" si="193"/>
        <v>0</v>
      </c>
      <c r="AC255" s="66">
        <f t="shared" si="193"/>
        <v>0</v>
      </c>
    </row>
    <row r="256" spans="1:44" x14ac:dyDescent="0.25">
      <c r="A256" s="30" t="str">
        <f t="shared" si="164"/>
        <v>Lifetime vehicle</v>
      </c>
      <c r="B256" s="62">
        <f>$B236+($C236-$B236)*(1-Q236)</f>
        <v>20</v>
      </c>
      <c r="C256" s="62">
        <f t="shared" ref="C256:L258" si="194">$B236+($C236-$B236)*(1-R236)</f>
        <v>20</v>
      </c>
      <c r="D256" s="62">
        <f t="shared" si="194"/>
        <v>20</v>
      </c>
      <c r="E256" s="62">
        <f t="shared" si="194"/>
        <v>20</v>
      </c>
      <c r="F256" s="62">
        <f t="shared" si="194"/>
        <v>20</v>
      </c>
      <c r="G256" s="62">
        <f t="shared" si="194"/>
        <v>20</v>
      </c>
      <c r="H256" s="62">
        <f t="shared" si="194"/>
        <v>20</v>
      </c>
      <c r="I256" s="62">
        <f t="shared" si="194"/>
        <v>20</v>
      </c>
      <c r="J256" s="62">
        <f t="shared" si="194"/>
        <v>20</v>
      </c>
      <c r="K256" s="62">
        <f t="shared" si="194"/>
        <v>20</v>
      </c>
      <c r="L256" s="62">
        <f t="shared" si="194"/>
        <v>20</v>
      </c>
      <c r="M256" s="62">
        <f t="shared" ref="M256:V258" si="195">$B236+($C236-$B236)*(1-AB236)</f>
        <v>20</v>
      </c>
      <c r="N256" s="62">
        <f t="shared" si="195"/>
        <v>20</v>
      </c>
      <c r="O256" s="62">
        <f t="shared" si="195"/>
        <v>20</v>
      </c>
      <c r="P256" s="62">
        <f t="shared" si="195"/>
        <v>20</v>
      </c>
      <c r="Q256" s="62">
        <f t="shared" si="195"/>
        <v>20</v>
      </c>
      <c r="R256" s="62">
        <f t="shared" si="195"/>
        <v>20</v>
      </c>
      <c r="S256" s="62">
        <f t="shared" si="195"/>
        <v>20</v>
      </c>
      <c r="T256" s="62">
        <f t="shared" si="195"/>
        <v>20</v>
      </c>
      <c r="U256" s="62">
        <f t="shared" si="195"/>
        <v>20</v>
      </c>
      <c r="V256" s="62">
        <f t="shared" si="195"/>
        <v>20</v>
      </c>
      <c r="W256" s="62">
        <f t="shared" ref="W256:AC258" si="196">$B236+($C236-$B236)*(1-AL236)</f>
        <v>20</v>
      </c>
      <c r="X256" s="62">
        <f t="shared" si="196"/>
        <v>20</v>
      </c>
      <c r="Y256" s="62">
        <f t="shared" si="196"/>
        <v>20</v>
      </c>
      <c r="Z256" s="62">
        <f t="shared" si="196"/>
        <v>20</v>
      </c>
      <c r="AA256" s="62">
        <f t="shared" si="196"/>
        <v>20</v>
      </c>
      <c r="AB256" s="62">
        <f t="shared" si="196"/>
        <v>20</v>
      </c>
      <c r="AC256" s="62">
        <f t="shared" si="196"/>
        <v>20</v>
      </c>
    </row>
    <row r="257" spans="1:29" x14ac:dyDescent="0.25">
      <c r="A257" s="30" t="str">
        <f t="shared" si="164"/>
        <v>Lifetime costumization</v>
      </c>
      <c r="B257" s="62">
        <f>$B237+($C237-$B237)*(1-Q237)</f>
        <v>30</v>
      </c>
      <c r="C257" s="62">
        <f t="shared" si="194"/>
        <v>30</v>
      </c>
      <c r="D257" s="62">
        <f t="shared" si="194"/>
        <v>30</v>
      </c>
      <c r="E257" s="62">
        <f t="shared" si="194"/>
        <v>30</v>
      </c>
      <c r="F257" s="62">
        <f t="shared" si="194"/>
        <v>30</v>
      </c>
      <c r="G257" s="62">
        <f t="shared" si="194"/>
        <v>30</v>
      </c>
      <c r="H257" s="62">
        <f t="shared" si="194"/>
        <v>30</v>
      </c>
      <c r="I257" s="62">
        <f t="shared" si="194"/>
        <v>30</v>
      </c>
      <c r="J257" s="62">
        <f t="shared" si="194"/>
        <v>30</v>
      </c>
      <c r="K257" s="62">
        <f t="shared" si="194"/>
        <v>30</v>
      </c>
      <c r="L257" s="62">
        <f t="shared" si="194"/>
        <v>30</v>
      </c>
      <c r="M257" s="62">
        <f t="shared" si="195"/>
        <v>30</v>
      </c>
      <c r="N257" s="62">
        <f t="shared" si="195"/>
        <v>30</v>
      </c>
      <c r="O257" s="62">
        <f t="shared" si="195"/>
        <v>30</v>
      </c>
      <c r="P257" s="62">
        <f t="shared" si="195"/>
        <v>30</v>
      </c>
      <c r="Q257" s="62">
        <f t="shared" si="195"/>
        <v>30</v>
      </c>
      <c r="R257" s="62">
        <f t="shared" si="195"/>
        <v>30</v>
      </c>
      <c r="S257" s="62">
        <f t="shared" si="195"/>
        <v>30</v>
      </c>
      <c r="T257" s="62">
        <f t="shared" si="195"/>
        <v>30</v>
      </c>
      <c r="U257" s="62">
        <f t="shared" si="195"/>
        <v>30</v>
      </c>
      <c r="V257" s="62">
        <f t="shared" si="195"/>
        <v>30</v>
      </c>
      <c r="W257" s="62">
        <f t="shared" si="196"/>
        <v>30</v>
      </c>
      <c r="X257" s="62">
        <f t="shared" si="196"/>
        <v>30</v>
      </c>
      <c r="Y257" s="62">
        <f t="shared" si="196"/>
        <v>30</v>
      </c>
      <c r="Z257" s="62">
        <f t="shared" si="196"/>
        <v>30</v>
      </c>
      <c r="AA257" s="62">
        <f t="shared" si="196"/>
        <v>30</v>
      </c>
      <c r="AB257" s="62">
        <f t="shared" si="196"/>
        <v>30</v>
      </c>
      <c r="AC257" s="62">
        <f t="shared" si="196"/>
        <v>30</v>
      </c>
    </row>
    <row r="258" spans="1:29" x14ac:dyDescent="0.25">
      <c r="A258" s="30" t="str">
        <f t="shared" si="164"/>
        <v>Tonnage .</v>
      </c>
      <c r="B258" s="62">
        <f>$B238+($C238-$B238)*(1-Q238)</f>
        <v>2240</v>
      </c>
      <c r="C258" s="62">
        <f t="shared" si="194"/>
        <v>2240</v>
      </c>
      <c r="D258" s="62">
        <f t="shared" si="194"/>
        <v>2240</v>
      </c>
      <c r="E258" s="62">
        <f t="shared" si="194"/>
        <v>2240</v>
      </c>
      <c r="F258" s="62">
        <f t="shared" si="194"/>
        <v>2240</v>
      </c>
      <c r="G258" s="62">
        <f t="shared" si="194"/>
        <v>2240</v>
      </c>
      <c r="H258" s="62">
        <f t="shared" si="194"/>
        <v>2240</v>
      </c>
      <c r="I258" s="62">
        <f t="shared" si="194"/>
        <v>2240</v>
      </c>
      <c r="J258" s="62">
        <f t="shared" si="194"/>
        <v>2240</v>
      </c>
      <c r="K258" s="62">
        <f t="shared" si="194"/>
        <v>2240</v>
      </c>
      <c r="L258" s="62">
        <f t="shared" si="194"/>
        <v>2240</v>
      </c>
      <c r="M258" s="62">
        <f t="shared" si="195"/>
        <v>2240</v>
      </c>
      <c r="N258" s="62">
        <f t="shared" si="195"/>
        <v>2240</v>
      </c>
      <c r="O258" s="62">
        <f t="shared" si="195"/>
        <v>2240</v>
      </c>
      <c r="P258" s="62">
        <f t="shared" si="195"/>
        <v>2240</v>
      </c>
      <c r="Q258" s="62">
        <f t="shared" si="195"/>
        <v>2240</v>
      </c>
      <c r="R258" s="62">
        <f t="shared" si="195"/>
        <v>2240</v>
      </c>
      <c r="S258" s="62">
        <f t="shared" si="195"/>
        <v>2240</v>
      </c>
      <c r="T258" s="62">
        <f t="shared" si="195"/>
        <v>2240</v>
      </c>
      <c r="U258" s="62">
        <f t="shared" si="195"/>
        <v>2240</v>
      </c>
      <c r="V258" s="62">
        <f t="shared" si="195"/>
        <v>2240</v>
      </c>
      <c r="W258" s="62">
        <f t="shared" si="196"/>
        <v>2240</v>
      </c>
      <c r="X258" s="62">
        <f t="shared" si="196"/>
        <v>2240</v>
      </c>
      <c r="Y258" s="62">
        <f t="shared" si="196"/>
        <v>2240</v>
      </c>
      <c r="Z258" s="62">
        <f t="shared" si="196"/>
        <v>2240</v>
      </c>
      <c r="AA258" s="62">
        <f t="shared" si="196"/>
        <v>2240</v>
      </c>
      <c r="AB258" s="62">
        <f t="shared" si="196"/>
        <v>2240</v>
      </c>
      <c r="AC258" s="62">
        <f t="shared" si="196"/>
        <v>2240</v>
      </c>
    </row>
    <row r="259" spans="1:29" x14ac:dyDescent="0.25">
      <c r="A259" s="30" t="str">
        <f t="shared" si="164"/>
        <v>Market failure (av. utilization)</v>
      </c>
      <c r="B259" s="62">
        <f t="shared" ref="B259:K260" si="197">($B239+($C239-$B239)*(1-Q239))*B$44</f>
        <v>955.73333333333335</v>
      </c>
      <c r="C259" s="62">
        <f t="shared" si="197"/>
        <v>955.73333333333335</v>
      </c>
      <c r="D259" s="62">
        <f t="shared" si="197"/>
        <v>955.73333333333335</v>
      </c>
      <c r="E259" s="62">
        <f t="shared" si="197"/>
        <v>955.73333333333335</v>
      </c>
      <c r="F259" s="62">
        <f t="shared" si="197"/>
        <v>955.73333333333335</v>
      </c>
      <c r="G259" s="62">
        <f t="shared" si="197"/>
        <v>955.73333333333335</v>
      </c>
      <c r="H259" s="62">
        <f t="shared" si="197"/>
        <v>955.73333333333335</v>
      </c>
      <c r="I259" s="62">
        <f t="shared" si="197"/>
        <v>955.73333333333335</v>
      </c>
      <c r="J259" s="62">
        <f t="shared" si="197"/>
        <v>955.73333333333335</v>
      </c>
      <c r="K259" s="62">
        <f t="shared" si="197"/>
        <v>955.73333333333335</v>
      </c>
      <c r="L259" s="62">
        <f t="shared" ref="L259:U260" si="198">($B239+($C239-$B239)*(1-AA239))*L$44</f>
        <v>955.73333333333335</v>
      </c>
      <c r="M259" s="62">
        <f t="shared" si="198"/>
        <v>955.73333333333335</v>
      </c>
      <c r="N259" s="62">
        <f t="shared" si="198"/>
        <v>955.73333333333335</v>
      </c>
      <c r="O259" s="62">
        <f t="shared" si="198"/>
        <v>955.73333333333335</v>
      </c>
      <c r="P259" s="62">
        <f t="shared" si="198"/>
        <v>955.73333333333335</v>
      </c>
      <c r="Q259" s="62">
        <f t="shared" si="198"/>
        <v>955.73333333333335</v>
      </c>
      <c r="R259" s="62">
        <f t="shared" si="198"/>
        <v>955.73333333333335</v>
      </c>
      <c r="S259" s="62">
        <f t="shared" si="198"/>
        <v>955.73333333333335</v>
      </c>
      <c r="T259" s="62">
        <f t="shared" si="198"/>
        <v>955.73333333333335</v>
      </c>
      <c r="U259" s="62">
        <f t="shared" si="198"/>
        <v>955.73333333333335</v>
      </c>
      <c r="V259" s="62">
        <f t="shared" ref="V259:AC260" si="199">($B239+($C239-$B239)*(1-AK239))*V$44</f>
        <v>955.73333333333335</v>
      </c>
      <c r="W259" s="62">
        <f t="shared" si="199"/>
        <v>955.73333333333335</v>
      </c>
      <c r="X259" s="62">
        <f t="shared" si="199"/>
        <v>955.73333333333335</v>
      </c>
      <c r="Y259" s="62">
        <f t="shared" si="199"/>
        <v>955.73333333333335</v>
      </c>
      <c r="Z259" s="62">
        <f t="shared" si="199"/>
        <v>955.73333333333335</v>
      </c>
      <c r="AA259" s="62">
        <f t="shared" si="199"/>
        <v>955.73333333333335</v>
      </c>
      <c r="AB259" s="62">
        <f t="shared" si="199"/>
        <v>955.73333333333335</v>
      </c>
      <c r="AC259" s="62">
        <f t="shared" si="199"/>
        <v>955.73333333333335</v>
      </c>
    </row>
    <row r="260" spans="1:29" x14ac:dyDescent="0.25">
      <c r="A260" s="30" t="s">
        <v>73</v>
      </c>
      <c r="B260" s="62">
        <f t="shared" si="197"/>
        <v>0</v>
      </c>
      <c r="C260" s="62">
        <f t="shared" si="197"/>
        <v>0</v>
      </c>
      <c r="D260" s="62">
        <f t="shared" si="197"/>
        <v>0</v>
      </c>
      <c r="E260" s="62">
        <f t="shared" si="197"/>
        <v>0</v>
      </c>
      <c r="F260" s="62">
        <f t="shared" si="197"/>
        <v>0</v>
      </c>
      <c r="G260" s="62">
        <f t="shared" si="197"/>
        <v>0</v>
      </c>
      <c r="H260" s="62">
        <f t="shared" si="197"/>
        <v>0</v>
      </c>
      <c r="I260" s="62">
        <f t="shared" si="197"/>
        <v>0</v>
      </c>
      <c r="J260" s="62">
        <f t="shared" si="197"/>
        <v>0</v>
      </c>
      <c r="K260" s="62">
        <f t="shared" si="197"/>
        <v>0</v>
      </c>
      <c r="L260" s="62">
        <f t="shared" si="198"/>
        <v>0</v>
      </c>
      <c r="M260" s="62">
        <f t="shared" si="198"/>
        <v>0</v>
      </c>
      <c r="N260" s="62">
        <f t="shared" si="198"/>
        <v>0</v>
      </c>
      <c r="O260" s="62">
        <f t="shared" si="198"/>
        <v>0</v>
      </c>
      <c r="P260" s="62">
        <f t="shared" si="198"/>
        <v>0</v>
      </c>
      <c r="Q260" s="62">
        <f t="shared" si="198"/>
        <v>0</v>
      </c>
      <c r="R260" s="62">
        <f t="shared" si="198"/>
        <v>0</v>
      </c>
      <c r="S260" s="62">
        <f t="shared" si="198"/>
        <v>0</v>
      </c>
      <c r="T260" s="62">
        <f t="shared" si="198"/>
        <v>0</v>
      </c>
      <c r="U260" s="62">
        <f t="shared" si="198"/>
        <v>0</v>
      </c>
      <c r="V260" s="62">
        <f t="shared" si="199"/>
        <v>0</v>
      </c>
      <c r="W260" s="62">
        <f t="shared" si="199"/>
        <v>0</v>
      </c>
      <c r="X260" s="62">
        <f t="shared" si="199"/>
        <v>0</v>
      </c>
      <c r="Y260" s="62">
        <f t="shared" si="199"/>
        <v>0</v>
      </c>
      <c r="Z260" s="62">
        <f t="shared" si="199"/>
        <v>0</v>
      </c>
      <c r="AA260" s="62">
        <f t="shared" si="199"/>
        <v>0</v>
      </c>
      <c r="AB260" s="62">
        <f t="shared" si="199"/>
        <v>0</v>
      </c>
      <c r="AC260" s="62">
        <f t="shared" si="199"/>
        <v>0</v>
      </c>
    </row>
    <row r="261" spans="1:29" x14ac:dyDescent="0.25">
      <c r="A261" s="30" t="str">
        <f>A241</f>
        <v>Annual Mileage</v>
      </c>
      <c r="B261" s="62">
        <f t="shared" ref="B261:AC261" si="200">$B241+($C241-$B241)*(1-Q241)</f>
        <v>178500</v>
      </c>
      <c r="C261" s="62">
        <f t="shared" si="200"/>
        <v>178500</v>
      </c>
      <c r="D261" s="62">
        <f t="shared" si="200"/>
        <v>178500</v>
      </c>
      <c r="E261" s="62">
        <f t="shared" si="200"/>
        <v>178500</v>
      </c>
      <c r="F261" s="62">
        <f t="shared" si="200"/>
        <v>178500</v>
      </c>
      <c r="G261" s="62">
        <f t="shared" si="200"/>
        <v>178500</v>
      </c>
      <c r="H261" s="62">
        <f t="shared" si="200"/>
        <v>178500</v>
      </c>
      <c r="I261" s="62">
        <f t="shared" si="200"/>
        <v>178500</v>
      </c>
      <c r="J261" s="62">
        <f t="shared" si="200"/>
        <v>178500</v>
      </c>
      <c r="K261" s="62">
        <f t="shared" si="200"/>
        <v>178500</v>
      </c>
      <c r="L261" s="62">
        <f t="shared" si="200"/>
        <v>178500</v>
      </c>
      <c r="M261" s="62">
        <f t="shared" si="200"/>
        <v>178500</v>
      </c>
      <c r="N261" s="62">
        <f t="shared" si="200"/>
        <v>178500</v>
      </c>
      <c r="O261" s="62">
        <f t="shared" si="200"/>
        <v>178500</v>
      </c>
      <c r="P261" s="62">
        <f t="shared" si="200"/>
        <v>178500</v>
      </c>
      <c r="Q261" s="62">
        <f t="shared" si="200"/>
        <v>178500</v>
      </c>
      <c r="R261" s="62">
        <f t="shared" si="200"/>
        <v>178500</v>
      </c>
      <c r="S261" s="62">
        <f t="shared" si="200"/>
        <v>178500</v>
      </c>
      <c r="T261" s="62">
        <f t="shared" si="200"/>
        <v>178500</v>
      </c>
      <c r="U261" s="62">
        <f t="shared" si="200"/>
        <v>178500</v>
      </c>
      <c r="V261" s="62">
        <f t="shared" si="200"/>
        <v>178500</v>
      </c>
      <c r="W261" s="62">
        <f t="shared" si="200"/>
        <v>178500</v>
      </c>
      <c r="X261" s="62">
        <f t="shared" si="200"/>
        <v>178500</v>
      </c>
      <c r="Y261" s="62">
        <f t="shared" si="200"/>
        <v>178500</v>
      </c>
      <c r="Z261" s="62">
        <f t="shared" si="200"/>
        <v>178500</v>
      </c>
      <c r="AA261" s="62">
        <f t="shared" si="200"/>
        <v>178500</v>
      </c>
      <c r="AB261" s="62">
        <f t="shared" si="200"/>
        <v>178500</v>
      </c>
      <c r="AC261" s="62">
        <f t="shared" si="200"/>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1">((1+C249)^C256)*C249/(((1+C249)^C256)-1)*(C245)</f>
        <v>305145.94941897993</v>
      </c>
      <c r="D264" s="63">
        <f t="shared" si="201"/>
        <v>305145.94941897993</v>
      </c>
      <c r="E264" s="63">
        <f t="shared" si="201"/>
        <v>305145.94941897993</v>
      </c>
      <c r="F264" s="63">
        <f t="shared" si="201"/>
        <v>305145.94941897993</v>
      </c>
      <c r="G264" s="63">
        <f t="shared" si="201"/>
        <v>305145.94941897993</v>
      </c>
      <c r="H264" s="63">
        <f t="shared" si="201"/>
        <v>305145.94941897993</v>
      </c>
      <c r="I264" s="63">
        <f t="shared" si="201"/>
        <v>305145.94941897993</v>
      </c>
      <c r="J264" s="63">
        <f t="shared" si="201"/>
        <v>305145.94941897993</v>
      </c>
      <c r="K264" s="63">
        <f t="shared" si="201"/>
        <v>305145.94941897993</v>
      </c>
      <c r="L264" s="63">
        <f t="shared" si="201"/>
        <v>305145.94941897993</v>
      </c>
      <c r="M264" s="63">
        <f t="shared" si="201"/>
        <v>305145.94941897993</v>
      </c>
      <c r="N264" s="63">
        <f t="shared" si="201"/>
        <v>305145.94941897993</v>
      </c>
      <c r="O264" s="63">
        <f t="shared" si="201"/>
        <v>305145.94941897993</v>
      </c>
      <c r="P264" s="63">
        <f t="shared" si="201"/>
        <v>305145.94941897993</v>
      </c>
      <c r="Q264" s="63">
        <f t="shared" si="201"/>
        <v>305145.94941897993</v>
      </c>
      <c r="R264" s="63">
        <f t="shared" si="201"/>
        <v>305145.94941897993</v>
      </c>
      <c r="S264" s="63">
        <f t="shared" si="201"/>
        <v>305145.94941897993</v>
      </c>
      <c r="T264" s="63">
        <f t="shared" si="201"/>
        <v>305145.94941897993</v>
      </c>
      <c r="U264" s="63">
        <f t="shared" si="201"/>
        <v>305145.94941897993</v>
      </c>
      <c r="V264" s="63">
        <f t="shared" si="201"/>
        <v>305145.94941897993</v>
      </c>
      <c r="W264" s="63">
        <f t="shared" si="201"/>
        <v>305145.94941897993</v>
      </c>
      <c r="X264" s="63">
        <f t="shared" si="201"/>
        <v>305145.94941897993</v>
      </c>
      <c r="Y264" s="63">
        <f t="shared" si="201"/>
        <v>305145.94941897993</v>
      </c>
      <c r="Z264" s="63">
        <f t="shared" si="201"/>
        <v>305145.94941897993</v>
      </c>
      <c r="AA264" s="63">
        <f t="shared" si="201"/>
        <v>305145.94941897993</v>
      </c>
      <c r="AB264" s="63">
        <f t="shared" si="201"/>
        <v>305145.94941897993</v>
      </c>
      <c r="AC264" s="63">
        <f t="shared" si="201"/>
        <v>305145.94941897993</v>
      </c>
    </row>
    <row r="265" spans="1:29" x14ac:dyDescent="0.25">
      <c r="A265" s="30" t="str">
        <f>A246</f>
        <v>Residual value (vehicle)</v>
      </c>
      <c r="B265" s="62">
        <f>((1+B249)^B256)*B249/(((1+B249)^B256)-1)*(B246)</f>
        <v>-45369.034506436277</v>
      </c>
      <c r="C265" s="62">
        <f t="shared" ref="C265:AC265" si="202">((1+C249)^C256)*C249/(((1+C249)^C256)-1)*(C246)</f>
        <v>-45196.542704314146</v>
      </c>
      <c r="D265" s="62">
        <f t="shared" si="202"/>
        <v>-44951.629072308999</v>
      </c>
      <c r="E265" s="62">
        <f t="shared" si="202"/>
        <v>-44605.467188167124</v>
      </c>
      <c r="F265" s="62">
        <f t="shared" si="202"/>
        <v>-44119.462148109647</v>
      </c>
      <c r="G265" s="62">
        <f t="shared" si="202"/>
        <v>-43443.738717137028</v>
      </c>
      <c r="H265" s="62">
        <f t="shared" si="202"/>
        <v>-42517.347172137401</v>
      </c>
      <c r="I265" s="62">
        <f t="shared" si="202"/>
        <v>-41272.376203762586</v>
      </c>
      <c r="J265" s="62">
        <f t="shared" si="202"/>
        <v>-39644.958637393647</v>
      </c>
      <c r="K265" s="62">
        <f t="shared" si="202"/>
        <v>-37595.501281822799</v>
      </c>
      <c r="L265" s="62">
        <f t="shared" si="202"/>
        <v>-35136.211284820376</v>
      </c>
      <c r="M265" s="62">
        <f t="shared" si="202"/>
        <v>-32355.310948630464</v>
      </c>
      <c r="N265" s="62">
        <f t="shared" si="202"/>
        <v>-29419.525873461753</v>
      </c>
      <c r="O265" s="62">
        <f t="shared" si="202"/>
        <v>-26541.511557340396</v>
      </c>
      <c r="P265" s="62">
        <f t="shared" si="202"/>
        <v>-23921.595885610663</v>
      </c>
      <c r="Q265" s="62">
        <f t="shared" si="202"/>
        <v>-21695.040647806538</v>
      </c>
      <c r="R265" s="62">
        <f t="shared" si="202"/>
        <v>-19911.968655776182</v>
      </c>
      <c r="S265" s="62">
        <f t="shared" si="202"/>
        <v>-18551.40558747459</v>
      </c>
      <c r="T265" s="62">
        <f t="shared" si="202"/>
        <v>-17551.282614957105</v>
      </c>
      <c r="U265" s="62">
        <f t="shared" si="202"/>
        <v>-16836.209158050464</v>
      </c>
      <c r="V265" s="62">
        <f t="shared" si="202"/>
        <v>-16335.048266557109</v>
      </c>
      <c r="W265" s="62">
        <f t="shared" si="202"/>
        <v>-15988.715286779448</v>
      </c>
      <c r="X265" s="62">
        <f t="shared" si="202"/>
        <v>-15751.702370283236</v>
      </c>
      <c r="Y265" s="62">
        <f t="shared" si="202"/>
        <v>-15590.58521762073</v>
      </c>
      <c r="Z265" s="62">
        <f t="shared" si="202"/>
        <v>-15481.559033229796</v>
      </c>
      <c r="AA265" s="62">
        <f t="shared" si="202"/>
        <v>-15408.009855414111</v>
      </c>
      <c r="AB265" s="62">
        <f t="shared" si="202"/>
        <v>-15358.496914269901</v>
      </c>
      <c r="AC265" s="62">
        <f t="shared" si="202"/>
        <v>-15325.211858527608</v>
      </c>
    </row>
    <row r="266" spans="1:29" x14ac:dyDescent="0.25">
      <c r="A266" s="30" t="str">
        <f>A247</f>
        <v>Capex costumization</v>
      </c>
      <c r="B266" s="62">
        <f>((1+B249)^B257)*B249/(((1+B249)^B257)-1)*(B247)</f>
        <v>203416.95217213215</v>
      </c>
      <c r="C266" s="62">
        <f t="shared" ref="C266:AC266" si="203">((1+C249)^C257)*C249/(((1+C249)^C257)-1)*(C247)</f>
        <v>203416.95217213215</v>
      </c>
      <c r="D266" s="62">
        <f t="shared" si="203"/>
        <v>203416.95217213215</v>
      </c>
      <c r="E266" s="62">
        <f t="shared" si="203"/>
        <v>203416.95217213215</v>
      </c>
      <c r="F266" s="62">
        <f t="shared" si="203"/>
        <v>203416.95217213215</v>
      </c>
      <c r="G266" s="62">
        <f t="shared" si="203"/>
        <v>203416.95217213215</v>
      </c>
      <c r="H266" s="62">
        <f t="shared" si="203"/>
        <v>203416.95217213215</v>
      </c>
      <c r="I266" s="62">
        <f t="shared" si="203"/>
        <v>203416.95217213215</v>
      </c>
      <c r="J266" s="62">
        <f t="shared" si="203"/>
        <v>203416.95217213215</v>
      </c>
      <c r="K266" s="62">
        <f t="shared" si="203"/>
        <v>203416.95217213215</v>
      </c>
      <c r="L266" s="62">
        <f t="shared" si="203"/>
        <v>203416.95217213215</v>
      </c>
      <c r="M266" s="62">
        <f t="shared" si="203"/>
        <v>203416.95217213215</v>
      </c>
      <c r="N266" s="62">
        <f t="shared" si="203"/>
        <v>203416.95217213215</v>
      </c>
      <c r="O266" s="62">
        <f t="shared" si="203"/>
        <v>203416.95217213215</v>
      </c>
      <c r="P266" s="62">
        <f t="shared" si="203"/>
        <v>203416.95217213215</v>
      </c>
      <c r="Q266" s="62">
        <f t="shared" si="203"/>
        <v>203416.95217213215</v>
      </c>
      <c r="R266" s="62">
        <f t="shared" si="203"/>
        <v>203416.95217213215</v>
      </c>
      <c r="S266" s="62">
        <f t="shared" si="203"/>
        <v>203416.95217213215</v>
      </c>
      <c r="T266" s="62">
        <f t="shared" si="203"/>
        <v>203416.95217213215</v>
      </c>
      <c r="U266" s="62">
        <f t="shared" si="203"/>
        <v>203416.95217213215</v>
      </c>
      <c r="V266" s="62">
        <f t="shared" si="203"/>
        <v>203416.95217213215</v>
      </c>
      <c r="W266" s="62">
        <f t="shared" si="203"/>
        <v>203416.95217213215</v>
      </c>
      <c r="X266" s="62">
        <f t="shared" si="203"/>
        <v>203416.95217213215</v>
      </c>
      <c r="Y266" s="62">
        <f t="shared" si="203"/>
        <v>203416.95217213215</v>
      </c>
      <c r="Z266" s="62">
        <f t="shared" si="203"/>
        <v>203416.95217213215</v>
      </c>
      <c r="AA266" s="62">
        <f t="shared" si="203"/>
        <v>203416.95217213215</v>
      </c>
      <c r="AB266" s="62">
        <f t="shared" si="203"/>
        <v>203416.95217213215</v>
      </c>
      <c r="AC266" s="62">
        <f t="shared" si="203"/>
        <v>203416.95217213215</v>
      </c>
    </row>
    <row r="267" spans="1:29" x14ac:dyDescent="0.25">
      <c r="A267" s="30" t="str">
        <f>A248</f>
        <v>Residual value (costumization)</v>
      </c>
      <c r="B267" s="62">
        <f>((1+B249)^B257)*B249/(((1+B249)^B257)-1)*(B248)</f>
        <v>-10170.847608606608</v>
      </c>
      <c r="C267" s="62">
        <f t="shared" ref="C267:AC267" si="204">((1+C249)^C257)*C249/(((1+C249)^C257)-1)*(C248)</f>
        <v>-10170.847608606608</v>
      </c>
      <c r="D267" s="62">
        <f t="shared" si="204"/>
        <v>-10170.847608606608</v>
      </c>
      <c r="E267" s="62">
        <f t="shared" si="204"/>
        <v>-10170.847608606608</v>
      </c>
      <c r="F267" s="62">
        <f t="shared" si="204"/>
        <v>-10170.847608606608</v>
      </c>
      <c r="G267" s="62">
        <f t="shared" si="204"/>
        <v>-10170.847608606608</v>
      </c>
      <c r="H267" s="62">
        <f t="shared" si="204"/>
        <v>-10170.847608606608</v>
      </c>
      <c r="I267" s="62">
        <f t="shared" si="204"/>
        <v>-10170.847608606608</v>
      </c>
      <c r="J267" s="62">
        <f t="shared" si="204"/>
        <v>-10170.847608606608</v>
      </c>
      <c r="K267" s="62">
        <f t="shared" si="204"/>
        <v>-10170.847608606608</v>
      </c>
      <c r="L267" s="62">
        <f t="shared" si="204"/>
        <v>-10170.847608606608</v>
      </c>
      <c r="M267" s="62">
        <f t="shared" si="204"/>
        <v>-10170.847608606608</v>
      </c>
      <c r="N267" s="62">
        <f t="shared" si="204"/>
        <v>-10170.847608606608</v>
      </c>
      <c r="O267" s="62">
        <f t="shared" si="204"/>
        <v>-10170.847608606608</v>
      </c>
      <c r="P267" s="62">
        <f t="shared" si="204"/>
        <v>-10170.847608606608</v>
      </c>
      <c r="Q267" s="62">
        <f t="shared" si="204"/>
        <v>-10170.847608606608</v>
      </c>
      <c r="R267" s="62">
        <f t="shared" si="204"/>
        <v>-10170.847608606608</v>
      </c>
      <c r="S267" s="62">
        <f t="shared" si="204"/>
        <v>-10170.847608606608</v>
      </c>
      <c r="T267" s="62">
        <f t="shared" si="204"/>
        <v>-10170.847608606608</v>
      </c>
      <c r="U267" s="62">
        <f t="shared" si="204"/>
        <v>-10170.847608606608</v>
      </c>
      <c r="V267" s="62">
        <f t="shared" si="204"/>
        <v>-10170.847608606608</v>
      </c>
      <c r="W267" s="62">
        <f t="shared" si="204"/>
        <v>-10170.847608606608</v>
      </c>
      <c r="X267" s="62">
        <f t="shared" si="204"/>
        <v>-10170.847608606608</v>
      </c>
      <c r="Y267" s="62">
        <f t="shared" si="204"/>
        <v>-10170.847608606608</v>
      </c>
      <c r="Z267" s="62">
        <f t="shared" si="204"/>
        <v>-10170.847608606608</v>
      </c>
      <c r="AA267" s="62">
        <f t="shared" si="204"/>
        <v>-10170.847608606608</v>
      </c>
      <c r="AB267" s="62">
        <f t="shared" si="204"/>
        <v>-10170.847608606608</v>
      </c>
      <c r="AC267" s="62">
        <f t="shared" si="204"/>
        <v>-10170.847608606608</v>
      </c>
    </row>
    <row r="268" spans="1:29" x14ac:dyDescent="0.25">
      <c r="A268" s="30" t="str">
        <f t="shared" ref="A268:AC268" si="205">A250</f>
        <v>Opex fix (admin, crew, insurance)</v>
      </c>
      <c r="B268" s="62">
        <f t="shared" si="205"/>
        <v>610000</v>
      </c>
      <c r="C268" s="62">
        <f t="shared" si="205"/>
        <v>610000</v>
      </c>
      <c r="D268" s="62">
        <f t="shared" si="205"/>
        <v>610000</v>
      </c>
      <c r="E268" s="62">
        <f t="shared" si="205"/>
        <v>610000</v>
      </c>
      <c r="F268" s="62">
        <f t="shared" si="205"/>
        <v>610000</v>
      </c>
      <c r="G268" s="62">
        <f t="shared" si="205"/>
        <v>610000</v>
      </c>
      <c r="H268" s="62">
        <f t="shared" si="205"/>
        <v>610000</v>
      </c>
      <c r="I268" s="62">
        <f t="shared" si="205"/>
        <v>610000</v>
      </c>
      <c r="J268" s="62">
        <f t="shared" si="205"/>
        <v>610000</v>
      </c>
      <c r="K268" s="62">
        <f t="shared" si="205"/>
        <v>610000</v>
      </c>
      <c r="L268" s="62">
        <f t="shared" si="205"/>
        <v>610000</v>
      </c>
      <c r="M268" s="62">
        <f t="shared" si="205"/>
        <v>610000</v>
      </c>
      <c r="N268" s="62">
        <f t="shared" si="205"/>
        <v>610000</v>
      </c>
      <c r="O268" s="62">
        <f t="shared" si="205"/>
        <v>610000</v>
      </c>
      <c r="P268" s="62">
        <f t="shared" si="205"/>
        <v>610000</v>
      </c>
      <c r="Q268" s="62">
        <f t="shared" si="205"/>
        <v>610000</v>
      </c>
      <c r="R268" s="62">
        <f t="shared" si="205"/>
        <v>610000</v>
      </c>
      <c r="S268" s="62">
        <f t="shared" si="205"/>
        <v>610000</v>
      </c>
      <c r="T268" s="62">
        <f t="shared" si="205"/>
        <v>610000</v>
      </c>
      <c r="U268" s="62">
        <f t="shared" si="205"/>
        <v>610000</v>
      </c>
      <c r="V268" s="62">
        <f t="shared" si="205"/>
        <v>610000</v>
      </c>
      <c r="W268" s="62">
        <f t="shared" si="205"/>
        <v>610000</v>
      </c>
      <c r="X268" s="62">
        <f t="shared" si="205"/>
        <v>610000</v>
      </c>
      <c r="Y268" s="62">
        <f t="shared" si="205"/>
        <v>610000</v>
      </c>
      <c r="Z268" s="62">
        <f t="shared" si="205"/>
        <v>610000</v>
      </c>
      <c r="AA268" s="62">
        <f t="shared" si="205"/>
        <v>610000</v>
      </c>
      <c r="AB268" s="62">
        <f t="shared" si="205"/>
        <v>610000</v>
      </c>
      <c r="AC268" s="62">
        <f t="shared" si="205"/>
        <v>610000</v>
      </c>
    </row>
    <row r="269" spans="1:29" x14ac:dyDescent="0.25">
      <c r="A269" s="30" t="str">
        <f t="shared" ref="A269:AC269" si="206">A251</f>
        <v>Opex maintenance &amp; repair</v>
      </c>
      <c r="B269" s="62">
        <f t="shared" si="206"/>
        <v>1050000</v>
      </c>
      <c r="C269" s="62">
        <f t="shared" si="206"/>
        <v>1050000</v>
      </c>
      <c r="D269" s="62">
        <f t="shared" si="206"/>
        <v>1050000</v>
      </c>
      <c r="E269" s="62">
        <f t="shared" si="206"/>
        <v>1050000</v>
      </c>
      <c r="F269" s="62">
        <f t="shared" si="206"/>
        <v>1050000</v>
      </c>
      <c r="G269" s="62">
        <f t="shared" si="206"/>
        <v>1050000</v>
      </c>
      <c r="H269" s="62">
        <f t="shared" si="206"/>
        <v>1050000</v>
      </c>
      <c r="I269" s="62">
        <f t="shared" si="206"/>
        <v>1050000</v>
      </c>
      <c r="J269" s="62">
        <f t="shared" si="206"/>
        <v>1050000</v>
      </c>
      <c r="K269" s="62">
        <f t="shared" si="206"/>
        <v>1050000</v>
      </c>
      <c r="L269" s="62">
        <f t="shared" si="206"/>
        <v>1050000</v>
      </c>
      <c r="M269" s="62">
        <f t="shared" si="206"/>
        <v>1050000</v>
      </c>
      <c r="N269" s="62">
        <f t="shared" si="206"/>
        <v>1050000</v>
      </c>
      <c r="O269" s="62">
        <f t="shared" si="206"/>
        <v>1050000</v>
      </c>
      <c r="P269" s="62">
        <f t="shared" si="206"/>
        <v>1050000</v>
      </c>
      <c r="Q269" s="62">
        <f t="shared" si="206"/>
        <v>1050000</v>
      </c>
      <c r="R269" s="62">
        <f t="shared" si="206"/>
        <v>1050000</v>
      </c>
      <c r="S269" s="62">
        <f t="shared" si="206"/>
        <v>1050000</v>
      </c>
      <c r="T269" s="62">
        <f t="shared" si="206"/>
        <v>1050000</v>
      </c>
      <c r="U269" s="62">
        <f t="shared" si="206"/>
        <v>1050000</v>
      </c>
      <c r="V269" s="62">
        <f t="shared" si="206"/>
        <v>1050000</v>
      </c>
      <c r="W269" s="62">
        <f t="shared" si="206"/>
        <v>1050000</v>
      </c>
      <c r="X269" s="62">
        <f t="shared" si="206"/>
        <v>1050000</v>
      </c>
      <c r="Y269" s="62">
        <f t="shared" si="206"/>
        <v>1050000</v>
      </c>
      <c r="Z269" s="62">
        <f t="shared" si="206"/>
        <v>1050000</v>
      </c>
      <c r="AA269" s="62">
        <f t="shared" si="206"/>
        <v>1050000</v>
      </c>
      <c r="AB269" s="62">
        <f t="shared" si="206"/>
        <v>1050000</v>
      </c>
      <c r="AC269" s="62">
        <f t="shared" si="206"/>
        <v>1050000</v>
      </c>
    </row>
    <row r="270" spans="1:29" x14ac:dyDescent="0.25">
      <c r="A270" s="30" t="str">
        <f>A252</f>
        <v>Opex var (mode-fees, shunting)</v>
      </c>
      <c r="B270" s="62">
        <f>B252*B261</f>
        <v>650000</v>
      </c>
      <c r="C270" s="62">
        <f t="shared" ref="C270:AC270" si="207">C252*C261</f>
        <v>650000</v>
      </c>
      <c r="D270" s="62">
        <f t="shared" si="207"/>
        <v>650000</v>
      </c>
      <c r="E270" s="62">
        <f t="shared" si="207"/>
        <v>650000</v>
      </c>
      <c r="F270" s="62">
        <f t="shared" si="207"/>
        <v>650000</v>
      </c>
      <c r="G270" s="62">
        <f t="shared" si="207"/>
        <v>650000</v>
      </c>
      <c r="H270" s="62">
        <f t="shared" si="207"/>
        <v>650000</v>
      </c>
      <c r="I270" s="62">
        <f t="shared" si="207"/>
        <v>650000</v>
      </c>
      <c r="J270" s="62">
        <f t="shared" si="207"/>
        <v>650000</v>
      </c>
      <c r="K270" s="62">
        <f t="shared" si="207"/>
        <v>650000</v>
      </c>
      <c r="L270" s="62">
        <f t="shared" si="207"/>
        <v>650000</v>
      </c>
      <c r="M270" s="62">
        <f t="shared" si="207"/>
        <v>650000</v>
      </c>
      <c r="N270" s="62">
        <f t="shared" si="207"/>
        <v>650000</v>
      </c>
      <c r="O270" s="62">
        <f t="shared" si="207"/>
        <v>650000</v>
      </c>
      <c r="P270" s="62">
        <f t="shared" si="207"/>
        <v>650000</v>
      </c>
      <c r="Q270" s="62">
        <f t="shared" si="207"/>
        <v>650000</v>
      </c>
      <c r="R270" s="62">
        <f t="shared" si="207"/>
        <v>650000</v>
      </c>
      <c r="S270" s="62">
        <f t="shared" si="207"/>
        <v>650000</v>
      </c>
      <c r="T270" s="62">
        <f t="shared" si="207"/>
        <v>650000</v>
      </c>
      <c r="U270" s="62">
        <f t="shared" si="207"/>
        <v>650000</v>
      </c>
      <c r="V270" s="62">
        <f t="shared" si="207"/>
        <v>650000</v>
      </c>
      <c r="W270" s="62">
        <f t="shared" si="207"/>
        <v>650000</v>
      </c>
      <c r="X270" s="62">
        <f t="shared" si="207"/>
        <v>650000</v>
      </c>
      <c r="Y270" s="62">
        <f t="shared" si="207"/>
        <v>650000</v>
      </c>
      <c r="Z270" s="62">
        <f t="shared" si="207"/>
        <v>650000</v>
      </c>
      <c r="AA270" s="62">
        <f t="shared" si="207"/>
        <v>650000</v>
      </c>
      <c r="AB270" s="62">
        <f t="shared" si="207"/>
        <v>650000</v>
      </c>
      <c r="AC270" s="62">
        <f t="shared" si="207"/>
        <v>650000</v>
      </c>
    </row>
    <row r="271" spans="1:29" x14ac:dyDescent="0.25">
      <c r="A271" s="30" t="str">
        <f>A254</f>
        <v>Fuel Cost</v>
      </c>
      <c r="B271" s="62">
        <f>B253*B254*B261</f>
        <v>888107.33883428562</v>
      </c>
      <c r="C271" s="62">
        <f t="shared" ref="C271:AC271" si="208">C253*C254*C261</f>
        <v>864633.13604571414</v>
      </c>
      <c r="D271" s="62">
        <f t="shared" si="208"/>
        <v>841158.93325714278</v>
      </c>
      <c r="E271" s="62">
        <f t="shared" si="208"/>
        <v>817684.73046857142</v>
      </c>
      <c r="F271" s="62">
        <f t="shared" si="208"/>
        <v>794210.52768000006</v>
      </c>
      <c r="G271" s="62">
        <f t="shared" si="208"/>
        <v>770736.3248914287</v>
      </c>
      <c r="H271" s="62">
        <f t="shared" si="208"/>
        <v>747262.12210285733</v>
      </c>
      <c r="I271" s="62">
        <f t="shared" si="208"/>
        <v>723787.91931428586</v>
      </c>
      <c r="J271" s="62">
        <f t="shared" si="208"/>
        <v>716941.27683428582</v>
      </c>
      <c r="K271" s="62">
        <f t="shared" si="208"/>
        <v>710094.63435428578</v>
      </c>
      <c r="L271" s="62">
        <f t="shared" si="208"/>
        <v>703247.99187428586</v>
      </c>
      <c r="M271" s="62">
        <f t="shared" si="208"/>
        <v>696401.34939428582</v>
      </c>
      <c r="N271" s="62">
        <f t="shared" si="208"/>
        <v>689554.70691428578</v>
      </c>
      <c r="O271" s="62">
        <f t="shared" si="208"/>
        <v>682708.06443428574</v>
      </c>
      <c r="P271" s="62">
        <f t="shared" si="208"/>
        <v>675861.4219542857</v>
      </c>
      <c r="Q271" s="62">
        <f t="shared" si="208"/>
        <v>669014.77947428578</v>
      </c>
      <c r="R271" s="62">
        <f t="shared" si="208"/>
        <v>662168.13699428574</v>
      </c>
      <c r="S271" s="62">
        <f t="shared" si="208"/>
        <v>655321.4945142857</v>
      </c>
      <c r="T271" s="62">
        <f t="shared" si="208"/>
        <v>648474.85203428578</v>
      </c>
      <c r="U271" s="62">
        <f t="shared" si="208"/>
        <v>641628.20955428574</v>
      </c>
      <c r="V271" s="62">
        <f t="shared" si="208"/>
        <v>634781.5670742857</v>
      </c>
      <c r="W271" s="62">
        <f t="shared" si="208"/>
        <v>627934.92459428578</v>
      </c>
      <c r="X271" s="62">
        <f t="shared" si="208"/>
        <v>621088.28211428586</v>
      </c>
      <c r="Y271" s="62">
        <f t="shared" si="208"/>
        <v>614241.63963428582</v>
      </c>
      <c r="Z271" s="62">
        <f t="shared" si="208"/>
        <v>607394.99715428578</v>
      </c>
      <c r="AA271" s="62">
        <f t="shared" si="208"/>
        <v>600548.35467428586</v>
      </c>
      <c r="AB271" s="62">
        <f t="shared" si="208"/>
        <v>593701.71219428582</v>
      </c>
      <c r="AC271" s="62">
        <f t="shared" si="208"/>
        <v>586855.06971428578</v>
      </c>
    </row>
    <row r="272" spans="1:29" ht="15.75" thickBot="1" x14ac:dyDescent="0.3">
      <c r="A272" s="59" t="str">
        <f>A235</f>
        <v>Emission Cost</v>
      </c>
      <c r="B272" s="62">
        <f>B255*B261</f>
        <v>0</v>
      </c>
      <c r="C272" s="62">
        <f t="shared" ref="C272:AC272" si="209">C255*C261</f>
        <v>0</v>
      </c>
      <c r="D272" s="62">
        <f t="shared" si="209"/>
        <v>0</v>
      </c>
      <c r="E272" s="62">
        <f t="shared" si="209"/>
        <v>0</v>
      </c>
      <c r="F272" s="62">
        <f t="shared" si="209"/>
        <v>0</v>
      </c>
      <c r="G272" s="62">
        <f t="shared" si="209"/>
        <v>0</v>
      </c>
      <c r="H272" s="62">
        <f t="shared" si="209"/>
        <v>0</v>
      </c>
      <c r="I272" s="62">
        <f t="shared" si="209"/>
        <v>0</v>
      </c>
      <c r="J272" s="62">
        <f t="shared" si="209"/>
        <v>0</v>
      </c>
      <c r="K272" s="62">
        <f t="shared" si="209"/>
        <v>0</v>
      </c>
      <c r="L272" s="62">
        <f t="shared" si="209"/>
        <v>0</v>
      </c>
      <c r="M272" s="62">
        <f t="shared" si="209"/>
        <v>0</v>
      </c>
      <c r="N272" s="62">
        <f t="shared" si="209"/>
        <v>0</v>
      </c>
      <c r="O272" s="62">
        <f t="shared" si="209"/>
        <v>0</v>
      </c>
      <c r="P272" s="62">
        <f t="shared" si="209"/>
        <v>0</v>
      </c>
      <c r="Q272" s="62">
        <f t="shared" si="209"/>
        <v>0</v>
      </c>
      <c r="R272" s="62">
        <f t="shared" si="209"/>
        <v>0</v>
      </c>
      <c r="S272" s="62">
        <f t="shared" si="209"/>
        <v>0</v>
      </c>
      <c r="T272" s="62">
        <f t="shared" si="209"/>
        <v>0</v>
      </c>
      <c r="U272" s="62">
        <f t="shared" si="209"/>
        <v>0</v>
      </c>
      <c r="V272" s="62">
        <f t="shared" si="209"/>
        <v>0</v>
      </c>
      <c r="W272" s="62">
        <f t="shared" si="209"/>
        <v>0</v>
      </c>
      <c r="X272" s="62">
        <f t="shared" si="209"/>
        <v>0</v>
      </c>
      <c r="Y272" s="62">
        <f t="shared" si="209"/>
        <v>0</v>
      </c>
      <c r="Z272" s="62">
        <f t="shared" si="209"/>
        <v>0</v>
      </c>
      <c r="AA272" s="62">
        <f t="shared" si="209"/>
        <v>0</v>
      </c>
      <c r="AB272" s="62">
        <f t="shared" si="209"/>
        <v>0</v>
      </c>
      <c r="AC272" s="62">
        <f t="shared" si="209"/>
        <v>0</v>
      </c>
    </row>
    <row r="273" spans="1:29" ht="15.75" thickBot="1" x14ac:dyDescent="0.3">
      <c r="A273" s="31" t="s">
        <v>209</v>
      </c>
      <c r="B273" s="64">
        <f>B264+B265+B266+B267+B268+B269+B270+B271+B272</f>
        <v>3651130.3583103549</v>
      </c>
      <c r="C273" s="64">
        <f t="shared" ref="C273:AC273" si="210">C264+C265+C266+C267+C268+C269+C270+C271+C272</f>
        <v>3627828.6473239055</v>
      </c>
      <c r="D273" s="64">
        <f t="shared" si="210"/>
        <v>3604599.3581673391</v>
      </c>
      <c r="E273" s="64">
        <f t="shared" si="210"/>
        <v>3581471.3172629094</v>
      </c>
      <c r="F273" s="64">
        <f t="shared" si="210"/>
        <v>3558483.1195143964</v>
      </c>
      <c r="G273" s="64">
        <f t="shared" si="210"/>
        <v>3535684.6401567971</v>
      </c>
      <c r="H273" s="64">
        <f t="shared" si="210"/>
        <v>3513136.8289132258</v>
      </c>
      <c r="I273" s="64">
        <f t="shared" si="210"/>
        <v>3490907.5970930285</v>
      </c>
      <c r="J273" s="64">
        <f t="shared" si="210"/>
        <v>3485688.3721793974</v>
      </c>
      <c r="K273" s="64">
        <f t="shared" si="210"/>
        <v>3480891.1870549684</v>
      </c>
      <c r="L273" s="64">
        <f t="shared" si="210"/>
        <v>3476503.8345719711</v>
      </c>
      <c r="M273" s="64">
        <f t="shared" si="210"/>
        <v>3472438.0924281608</v>
      </c>
      <c r="N273" s="64">
        <f t="shared" si="210"/>
        <v>3468527.2350233295</v>
      </c>
      <c r="O273" s="64">
        <f t="shared" si="210"/>
        <v>3464558.6068594507</v>
      </c>
      <c r="P273" s="64">
        <f t="shared" si="210"/>
        <v>3460331.8800511807</v>
      </c>
      <c r="Q273" s="64">
        <f t="shared" si="210"/>
        <v>3455711.7928089849</v>
      </c>
      <c r="R273" s="64">
        <f t="shared" si="210"/>
        <v>3450648.2223210149</v>
      </c>
      <c r="S273" s="64">
        <f t="shared" si="210"/>
        <v>3445162.1429093163</v>
      </c>
      <c r="T273" s="64">
        <f t="shared" si="210"/>
        <v>3439315.6234018342</v>
      </c>
      <c r="U273" s="64">
        <f t="shared" si="210"/>
        <v>3433184.0543787405</v>
      </c>
      <c r="V273" s="64">
        <f t="shared" si="210"/>
        <v>3426838.5727902343</v>
      </c>
      <c r="W273" s="64">
        <f t="shared" si="210"/>
        <v>3420338.2632900118</v>
      </c>
      <c r="X273" s="64">
        <f t="shared" si="210"/>
        <v>3413728.6337265084</v>
      </c>
      <c r="Y273" s="64">
        <f t="shared" si="210"/>
        <v>3407043.1083991705</v>
      </c>
      <c r="Z273" s="64">
        <f t="shared" si="210"/>
        <v>3400305.4921035613</v>
      </c>
      <c r="AA273" s="64">
        <f t="shared" si="210"/>
        <v>3393532.398801377</v>
      </c>
      <c r="AB273" s="64">
        <f t="shared" si="210"/>
        <v>3386735.2692625211</v>
      </c>
      <c r="AC273" s="64">
        <f t="shared" si="210"/>
        <v>3379921.9118382637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1">A264</f>
        <v>Capex vehicle</v>
      </c>
      <c r="B276" s="65">
        <f>((1+B249)^B256)*B249/(((1+B249)^B256)-1)*(B245)/B261</f>
        <v>1.7095011171931649</v>
      </c>
      <c r="C276" s="65">
        <f t="shared" ref="C276:AC276" si="212">((1+C249)^C256)*C249/(((1+C249)^C256)-1)*(C245)/C261</f>
        <v>1.7095011171931649</v>
      </c>
      <c r="D276" s="65">
        <f t="shared" si="212"/>
        <v>1.7095011171931649</v>
      </c>
      <c r="E276" s="65">
        <f t="shared" si="212"/>
        <v>1.7095011171931649</v>
      </c>
      <c r="F276" s="65">
        <f t="shared" si="212"/>
        <v>1.7095011171931649</v>
      </c>
      <c r="G276" s="65">
        <f t="shared" si="212"/>
        <v>1.7095011171931649</v>
      </c>
      <c r="H276" s="65">
        <f t="shared" si="212"/>
        <v>1.7095011171931649</v>
      </c>
      <c r="I276" s="65">
        <f t="shared" si="212"/>
        <v>1.7095011171931649</v>
      </c>
      <c r="J276" s="65">
        <f t="shared" si="212"/>
        <v>1.7095011171931649</v>
      </c>
      <c r="K276" s="65">
        <f t="shared" si="212"/>
        <v>1.7095011171931649</v>
      </c>
      <c r="L276" s="65">
        <f t="shared" si="212"/>
        <v>1.7095011171931649</v>
      </c>
      <c r="M276" s="65">
        <f t="shared" si="212"/>
        <v>1.7095011171931649</v>
      </c>
      <c r="N276" s="65">
        <f t="shared" si="212"/>
        <v>1.7095011171931649</v>
      </c>
      <c r="O276" s="65">
        <f t="shared" si="212"/>
        <v>1.7095011171931649</v>
      </c>
      <c r="P276" s="65">
        <f t="shared" si="212"/>
        <v>1.7095011171931649</v>
      </c>
      <c r="Q276" s="65">
        <f t="shared" si="212"/>
        <v>1.7095011171931649</v>
      </c>
      <c r="R276" s="65">
        <f t="shared" si="212"/>
        <v>1.7095011171931649</v>
      </c>
      <c r="S276" s="65">
        <f t="shared" si="212"/>
        <v>1.7095011171931649</v>
      </c>
      <c r="T276" s="65">
        <f t="shared" si="212"/>
        <v>1.7095011171931649</v>
      </c>
      <c r="U276" s="65">
        <f t="shared" si="212"/>
        <v>1.7095011171931649</v>
      </c>
      <c r="V276" s="65">
        <f t="shared" si="212"/>
        <v>1.7095011171931649</v>
      </c>
      <c r="W276" s="65">
        <f t="shared" si="212"/>
        <v>1.7095011171931649</v>
      </c>
      <c r="X276" s="65">
        <f t="shared" si="212"/>
        <v>1.7095011171931649</v>
      </c>
      <c r="Y276" s="65">
        <f t="shared" si="212"/>
        <v>1.7095011171931649</v>
      </c>
      <c r="Z276" s="65">
        <f t="shared" si="212"/>
        <v>1.7095011171931649</v>
      </c>
      <c r="AA276" s="65">
        <f t="shared" si="212"/>
        <v>1.7095011171931649</v>
      </c>
      <c r="AB276" s="65">
        <f t="shared" si="212"/>
        <v>1.7095011171931649</v>
      </c>
      <c r="AC276" s="65">
        <f t="shared" si="212"/>
        <v>1.7095011171931649</v>
      </c>
    </row>
    <row r="277" spans="1:29" x14ac:dyDescent="0.25">
      <c r="A277" s="30" t="str">
        <f t="shared" si="211"/>
        <v>Residual value (vehicle)</v>
      </c>
      <c r="B277" s="66">
        <f>((1+B249)^B256)*B249/(((1+B249)^B256)-1)*(B246)/B261</f>
        <v>-0.25416826054025926</v>
      </c>
      <c r="C277" s="66">
        <f t="shared" ref="C277:AC277" si="213">((1+C249)^C256)*C249/(((1+C249)^C256)-1)*(C246)/C261</f>
        <v>-0.2532019199121241</v>
      </c>
      <c r="D277" s="66">
        <f t="shared" si="213"/>
        <v>-0.25182985474682912</v>
      </c>
      <c r="E277" s="66">
        <f t="shared" si="213"/>
        <v>-0.24989057248272897</v>
      </c>
      <c r="F277" s="66">
        <f t="shared" si="213"/>
        <v>-0.24716785517148263</v>
      </c>
      <c r="G277" s="66">
        <f t="shared" si="213"/>
        <v>-0.2433822897318601</v>
      </c>
      <c r="H277" s="66">
        <f t="shared" si="213"/>
        <v>-0.23819242113242242</v>
      </c>
      <c r="I277" s="66">
        <f t="shared" si="213"/>
        <v>-0.23121779385861393</v>
      </c>
      <c r="J277" s="66">
        <f t="shared" si="213"/>
        <v>-0.22210060861284955</v>
      </c>
      <c r="K277" s="66">
        <f t="shared" si="213"/>
        <v>-0.21061905480012771</v>
      </c>
      <c r="L277" s="66">
        <f t="shared" si="213"/>
        <v>-0.19684151980291528</v>
      </c>
      <c r="M277" s="66">
        <f t="shared" si="213"/>
        <v>-0.18126224621081494</v>
      </c>
      <c r="N277" s="66">
        <f t="shared" si="213"/>
        <v>-0.16481527099978574</v>
      </c>
      <c r="O277" s="66">
        <f t="shared" si="213"/>
        <v>-0.14869194149770532</v>
      </c>
      <c r="P277" s="66">
        <f t="shared" si="213"/>
        <v>-0.13401454277653033</v>
      </c>
      <c r="Q277" s="66">
        <f t="shared" si="213"/>
        <v>-0.12154084396530274</v>
      </c>
      <c r="R277" s="66">
        <f t="shared" si="213"/>
        <v>-0.11155164513039878</v>
      </c>
      <c r="S277" s="66">
        <f t="shared" si="213"/>
        <v>-0.10392944306708454</v>
      </c>
      <c r="T277" s="66">
        <f t="shared" si="213"/>
        <v>-9.8326513249059416E-2</v>
      </c>
      <c r="U277" s="66">
        <f t="shared" si="213"/>
        <v>-9.4320499484876544E-2</v>
      </c>
      <c r="V277" s="66">
        <f t="shared" si="213"/>
        <v>-9.1512875442896963E-2</v>
      </c>
      <c r="W277" s="66">
        <f t="shared" si="213"/>
        <v>-8.9572634659828843E-2</v>
      </c>
      <c r="X277" s="66">
        <f t="shared" si="213"/>
        <v>-8.8244831206068547E-2</v>
      </c>
      <c r="Y277" s="66">
        <f t="shared" si="213"/>
        <v>-8.734221410431782E-2</v>
      </c>
      <c r="Z277" s="66">
        <f t="shared" si="213"/>
        <v>-8.6731423155348999E-2</v>
      </c>
      <c r="AA277" s="66">
        <f t="shared" si="213"/>
        <v>-8.631938294349642E-2</v>
      </c>
      <c r="AB277" s="66">
        <f t="shared" si="213"/>
        <v>-8.6041999519719331E-2</v>
      </c>
      <c r="AC277" s="66">
        <f t="shared" si="213"/>
        <v>-8.5855528619202287E-2</v>
      </c>
    </row>
    <row r="278" spans="1:29" x14ac:dyDescent="0.25">
      <c r="A278" s="30" t="str">
        <f t="shared" si="211"/>
        <v>Capex costumization</v>
      </c>
      <c r="B278" s="66">
        <f>((1+B249)^B257)*B249/(((1+B249)^B257)-1)*(B247)/B261</f>
        <v>1.1395907684713287</v>
      </c>
      <c r="C278" s="66">
        <f t="shared" ref="C278:AC278" si="214">((1+C249)^C257)*C249/(((1+C249)^C257)-1)*(C247)/C261</f>
        <v>1.1395907684713287</v>
      </c>
      <c r="D278" s="66">
        <f t="shared" si="214"/>
        <v>1.1395907684713287</v>
      </c>
      <c r="E278" s="66">
        <f t="shared" si="214"/>
        <v>1.1395907684713287</v>
      </c>
      <c r="F278" s="66">
        <f t="shared" si="214"/>
        <v>1.1395907684713287</v>
      </c>
      <c r="G278" s="66">
        <f t="shared" si="214"/>
        <v>1.1395907684713287</v>
      </c>
      <c r="H278" s="66">
        <f t="shared" si="214"/>
        <v>1.1395907684713287</v>
      </c>
      <c r="I278" s="66">
        <f t="shared" si="214"/>
        <v>1.1395907684713287</v>
      </c>
      <c r="J278" s="66">
        <f t="shared" si="214"/>
        <v>1.1395907684713287</v>
      </c>
      <c r="K278" s="66">
        <f t="shared" si="214"/>
        <v>1.1395907684713287</v>
      </c>
      <c r="L278" s="66">
        <f t="shared" si="214"/>
        <v>1.1395907684713287</v>
      </c>
      <c r="M278" s="66">
        <f t="shared" si="214"/>
        <v>1.1395907684713287</v>
      </c>
      <c r="N278" s="66">
        <f t="shared" si="214"/>
        <v>1.1395907684713287</v>
      </c>
      <c r="O278" s="66">
        <f t="shared" si="214"/>
        <v>1.1395907684713287</v>
      </c>
      <c r="P278" s="66">
        <f t="shared" si="214"/>
        <v>1.1395907684713287</v>
      </c>
      <c r="Q278" s="66">
        <f t="shared" si="214"/>
        <v>1.1395907684713287</v>
      </c>
      <c r="R278" s="66">
        <f t="shared" si="214"/>
        <v>1.1395907684713287</v>
      </c>
      <c r="S278" s="66">
        <f t="shared" si="214"/>
        <v>1.1395907684713287</v>
      </c>
      <c r="T278" s="66">
        <f t="shared" si="214"/>
        <v>1.1395907684713287</v>
      </c>
      <c r="U278" s="66">
        <f t="shared" si="214"/>
        <v>1.1395907684713287</v>
      </c>
      <c r="V278" s="66">
        <f t="shared" si="214"/>
        <v>1.1395907684713287</v>
      </c>
      <c r="W278" s="66">
        <f t="shared" si="214"/>
        <v>1.1395907684713287</v>
      </c>
      <c r="X278" s="66">
        <f t="shared" si="214"/>
        <v>1.1395907684713287</v>
      </c>
      <c r="Y278" s="66">
        <f t="shared" si="214"/>
        <v>1.1395907684713287</v>
      </c>
      <c r="Z278" s="66">
        <f t="shared" si="214"/>
        <v>1.1395907684713287</v>
      </c>
      <c r="AA278" s="66">
        <f t="shared" si="214"/>
        <v>1.1395907684713287</v>
      </c>
      <c r="AB278" s="66">
        <f t="shared" si="214"/>
        <v>1.1395907684713287</v>
      </c>
      <c r="AC278" s="66">
        <f t="shared" si="214"/>
        <v>1.1395907684713287</v>
      </c>
    </row>
    <row r="279" spans="1:29" x14ac:dyDescent="0.25">
      <c r="A279" s="30" t="str">
        <f t="shared" si="211"/>
        <v>Residual value (costumization)</v>
      </c>
      <c r="B279" s="66">
        <f>((1+B249)^B257)*B249/(((1+B249)^B257)-1)*(B248)/B261</f>
        <v>-5.6979538423566428E-2</v>
      </c>
      <c r="C279" s="66">
        <f t="shared" ref="C279:AC279" si="215">((1+C249)^C257)*C249/(((1+C249)^C257)-1)*(C248)/C261</f>
        <v>-5.6979538423566428E-2</v>
      </c>
      <c r="D279" s="66">
        <f t="shared" si="215"/>
        <v>-5.6979538423566428E-2</v>
      </c>
      <c r="E279" s="66">
        <f t="shared" si="215"/>
        <v>-5.6979538423566428E-2</v>
      </c>
      <c r="F279" s="66">
        <f t="shared" si="215"/>
        <v>-5.6979538423566428E-2</v>
      </c>
      <c r="G279" s="66">
        <f t="shared" si="215"/>
        <v>-5.6979538423566428E-2</v>
      </c>
      <c r="H279" s="66">
        <f t="shared" si="215"/>
        <v>-5.6979538423566428E-2</v>
      </c>
      <c r="I279" s="66">
        <f t="shared" si="215"/>
        <v>-5.6979538423566428E-2</v>
      </c>
      <c r="J279" s="66">
        <f t="shared" si="215"/>
        <v>-5.6979538423566428E-2</v>
      </c>
      <c r="K279" s="66">
        <f t="shared" si="215"/>
        <v>-5.6979538423566428E-2</v>
      </c>
      <c r="L279" s="66">
        <f t="shared" si="215"/>
        <v>-5.6979538423566428E-2</v>
      </c>
      <c r="M279" s="66">
        <f t="shared" si="215"/>
        <v>-5.6979538423566428E-2</v>
      </c>
      <c r="N279" s="66">
        <f t="shared" si="215"/>
        <v>-5.6979538423566428E-2</v>
      </c>
      <c r="O279" s="66">
        <f t="shared" si="215"/>
        <v>-5.6979538423566428E-2</v>
      </c>
      <c r="P279" s="66">
        <f t="shared" si="215"/>
        <v>-5.6979538423566428E-2</v>
      </c>
      <c r="Q279" s="66">
        <f t="shared" si="215"/>
        <v>-5.6979538423566428E-2</v>
      </c>
      <c r="R279" s="66">
        <f t="shared" si="215"/>
        <v>-5.6979538423566428E-2</v>
      </c>
      <c r="S279" s="66">
        <f t="shared" si="215"/>
        <v>-5.6979538423566428E-2</v>
      </c>
      <c r="T279" s="66">
        <f t="shared" si="215"/>
        <v>-5.6979538423566428E-2</v>
      </c>
      <c r="U279" s="66">
        <f t="shared" si="215"/>
        <v>-5.6979538423566428E-2</v>
      </c>
      <c r="V279" s="66">
        <f t="shared" si="215"/>
        <v>-5.6979538423566428E-2</v>
      </c>
      <c r="W279" s="66">
        <f t="shared" si="215"/>
        <v>-5.6979538423566428E-2</v>
      </c>
      <c r="X279" s="66">
        <f t="shared" si="215"/>
        <v>-5.6979538423566428E-2</v>
      </c>
      <c r="Y279" s="66">
        <f t="shared" si="215"/>
        <v>-5.6979538423566428E-2</v>
      </c>
      <c r="Z279" s="66">
        <f t="shared" si="215"/>
        <v>-5.6979538423566428E-2</v>
      </c>
      <c r="AA279" s="66">
        <f t="shared" si="215"/>
        <v>-5.6979538423566428E-2</v>
      </c>
      <c r="AB279" s="66">
        <f t="shared" si="215"/>
        <v>-5.6979538423566428E-2</v>
      </c>
      <c r="AC279" s="66">
        <f t="shared" si="215"/>
        <v>-5.6979538423566428E-2</v>
      </c>
    </row>
    <row r="280" spans="1:29" x14ac:dyDescent="0.25">
      <c r="A280" s="30" t="str">
        <f t="shared" si="211"/>
        <v>Opex fix (admin, crew, insurance)</v>
      </c>
      <c r="B280" s="66">
        <f>B250/B261</f>
        <v>3.4173669467787113</v>
      </c>
      <c r="C280" s="66">
        <f t="shared" ref="C280:AC280" si="216">C250/C261</f>
        <v>3.4173669467787113</v>
      </c>
      <c r="D280" s="66">
        <f t="shared" si="216"/>
        <v>3.4173669467787113</v>
      </c>
      <c r="E280" s="66">
        <f t="shared" si="216"/>
        <v>3.4173669467787113</v>
      </c>
      <c r="F280" s="66">
        <f t="shared" si="216"/>
        <v>3.4173669467787113</v>
      </c>
      <c r="G280" s="66">
        <f t="shared" si="216"/>
        <v>3.4173669467787113</v>
      </c>
      <c r="H280" s="66">
        <f t="shared" si="216"/>
        <v>3.4173669467787113</v>
      </c>
      <c r="I280" s="66">
        <f t="shared" si="216"/>
        <v>3.4173669467787113</v>
      </c>
      <c r="J280" s="66">
        <f t="shared" si="216"/>
        <v>3.4173669467787113</v>
      </c>
      <c r="K280" s="66">
        <f t="shared" si="216"/>
        <v>3.4173669467787113</v>
      </c>
      <c r="L280" s="66">
        <f t="shared" si="216"/>
        <v>3.4173669467787113</v>
      </c>
      <c r="M280" s="66">
        <f t="shared" si="216"/>
        <v>3.4173669467787113</v>
      </c>
      <c r="N280" s="66">
        <f t="shared" si="216"/>
        <v>3.4173669467787113</v>
      </c>
      <c r="O280" s="66">
        <f t="shared" si="216"/>
        <v>3.4173669467787113</v>
      </c>
      <c r="P280" s="66">
        <f t="shared" si="216"/>
        <v>3.4173669467787113</v>
      </c>
      <c r="Q280" s="66">
        <f t="shared" si="216"/>
        <v>3.4173669467787113</v>
      </c>
      <c r="R280" s="66">
        <f t="shared" si="216"/>
        <v>3.4173669467787113</v>
      </c>
      <c r="S280" s="66">
        <f t="shared" si="216"/>
        <v>3.4173669467787113</v>
      </c>
      <c r="T280" s="66">
        <f t="shared" si="216"/>
        <v>3.4173669467787113</v>
      </c>
      <c r="U280" s="66">
        <f t="shared" si="216"/>
        <v>3.4173669467787113</v>
      </c>
      <c r="V280" s="66">
        <f t="shared" si="216"/>
        <v>3.4173669467787113</v>
      </c>
      <c r="W280" s="66">
        <f t="shared" si="216"/>
        <v>3.4173669467787113</v>
      </c>
      <c r="X280" s="66">
        <f t="shared" si="216"/>
        <v>3.4173669467787113</v>
      </c>
      <c r="Y280" s="66">
        <f t="shared" si="216"/>
        <v>3.4173669467787113</v>
      </c>
      <c r="Z280" s="66">
        <f t="shared" si="216"/>
        <v>3.4173669467787113</v>
      </c>
      <c r="AA280" s="66">
        <f t="shared" si="216"/>
        <v>3.4173669467787113</v>
      </c>
      <c r="AB280" s="66">
        <f t="shared" si="216"/>
        <v>3.4173669467787113</v>
      </c>
      <c r="AC280" s="66">
        <f t="shared" si="216"/>
        <v>3.4173669467787113</v>
      </c>
    </row>
    <row r="281" spans="1:29" x14ac:dyDescent="0.25">
      <c r="A281" s="30" t="str">
        <f t="shared" si="211"/>
        <v>Opex maintenance &amp; repair</v>
      </c>
      <c r="B281" s="66">
        <f>B251/B261</f>
        <v>5.882352941176471</v>
      </c>
      <c r="C281" s="66">
        <f t="shared" ref="C281:AC281" si="217">C251/C261</f>
        <v>5.882352941176471</v>
      </c>
      <c r="D281" s="66">
        <f t="shared" si="217"/>
        <v>5.882352941176471</v>
      </c>
      <c r="E281" s="66">
        <f t="shared" si="217"/>
        <v>5.882352941176471</v>
      </c>
      <c r="F281" s="66">
        <f t="shared" si="217"/>
        <v>5.882352941176471</v>
      </c>
      <c r="G281" s="66">
        <f t="shared" si="217"/>
        <v>5.882352941176471</v>
      </c>
      <c r="H281" s="66">
        <f t="shared" si="217"/>
        <v>5.882352941176471</v>
      </c>
      <c r="I281" s="66">
        <f t="shared" si="217"/>
        <v>5.882352941176471</v>
      </c>
      <c r="J281" s="66">
        <f t="shared" si="217"/>
        <v>5.882352941176471</v>
      </c>
      <c r="K281" s="66">
        <f t="shared" si="217"/>
        <v>5.882352941176471</v>
      </c>
      <c r="L281" s="66">
        <f t="shared" si="217"/>
        <v>5.882352941176471</v>
      </c>
      <c r="M281" s="66">
        <f t="shared" si="217"/>
        <v>5.882352941176471</v>
      </c>
      <c r="N281" s="66">
        <f t="shared" si="217"/>
        <v>5.882352941176471</v>
      </c>
      <c r="O281" s="66">
        <f t="shared" si="217"/>
        <v>5.882352941176471</v>
      </c>
      <c r="P281" s="66">
        <f t="shared" si="217"/>
        <v>5.882352941176471</v>
      </c>
      <c r="Q281" s="66">
        <f t="shared" si="217"/>
        <v>5.882352941176471</v>
      </c>
      <c r="R281" s="66">
        <f t="shared" si="217"/>
        <v>5.882352941176471</v>
      </c>
      <c r="S281" s="66">
        <f t="shared" si="217"/>
        <v>5.882352941176471</v>
      </c>
      <c r="T281" s="66">
        <f t="shared" si="217"/>
        <v>5.882352941176471</v>
      </c>
      <c r="U281" s="66">
        <f t="shared" si="217"/>
        <v>5.882352941176471</v>
      </c>
      <c r="V281" s="66">
        <f t="shared" si="217"/>
        <v>5.882352941176471</v>
      </c>
      <c r="W281" s="66">
        <f t="shared" si="217"/>
        <v>5.882352941176471</v>
      </c>
      <c r="X281" s="66">
        <f t="shared" si="217"/>
        <v>5.882352941176471</v>
      </c>
      <c r="Y281" s="66">
        <f t="shared" si="217"/>
        <v>5.882352941176471</v>
      </c>
      <c r="Z281" s="66">
        <f t="shared" si="217"/>
        <v>5.882352941176471</v>
      </c>
      <c r="AA281" s="66">
        <f t="shared" si="217"/>
        <v>5.882352941176471</v>
      </c>
      <c r="AB281" s="66">
        <f t="shared" si="217"/>
        <v>5.882352941176471</v>
      </c>
      <c r="AC281" s="66">
        <f t="shared" si="217"/>
        <v>5.882352941176471</v>
      </c>
    </row>
    <row r="282" spans="1:29" x14ac:dyDescent="0.25">
      <c r="A282" s="30" t="str">
        <f t="shared" si="211"/>
        <v>Opex var (mode-fees, shunting)</v>
      </c>
      <c r="B282" s="66">
        <f>B252*B261/B261</f>
        <v>3.6414565826330532</v>
      </c>
      <c r="C282" s="66">
        <f t="shared" ref="C282:AC282" si="218">C252*C261/C261</f>
        <v>3.6414565826330532</v>
      </c>
      <c r="D282" s="66">
        <f t="shared" si="218"/>
        <v>3.6414565826330532</v>
      </c>
      <c r="E282" s="66">
        <f t="shared" si="218"/>
        <v>3.6414565826330532</v>
      </c>
      <c r="F282" s="66">
        <f t="shared" si="218"/>
        <v>3.6414565826330532</v>
      </c>
      <c r="G282" s="66">
        <f t="shared" si="218"/>
        <v>3.6414565826330532</v>
      </c>
      <c r="H282" s="66">
        <f t="shared" si="218"/>
        <v>3.6414565826330532</v>
      </c>
      <c r="I282" s="66">
        <f t="shared" si="218"/>
        <v>3.6414565826330532</v>
      </c>
      <c r="J282" s="66">
        <f t="shared" si="218"/>
        <v>3.6414565826330532</v>
      </c>
      <c r="K282" s="66">
        <f t="shared" si="218"/>
        <v>3.6414565826330532</v>
      </c>
      <c r="L282" s="66">
        <f t="shared" si="218"/>
        <v>3.6414565826330532</v>
      </c>
      <c r="M282" s="66">
        <f t="shared" si="218"/>
        <v>3.6414565826330532</v>
      </c>
      <c r="N282" s="66">
        <f t="shared" si="218"/>
        <v>3.6414565826330532</v>
      </c>
      <c r="O282" s="66">
        <f t="shared" si="218"/>
        <v>3.6414565826330532</v>
      </c>
      <c r="P282" s="66">
        <f t="shared" si="218"/>
        <v>3.6414565826330532</v>
      </c>
      <c r="Q282" s="66">
        <f t="shared" si="218"/>
        <v>3.6414565826330532</v>
      </c>
      <c r="R282" s="66">
        <f t="shared" si="218"/>
        <v>3.6414565826330532</v>
      </c>
      <c r="S282" s="66">
        <f t="shared" si="218"/>
        <v>3.6414565826330532</v>
      </c>
      <c r="T282" s="66">
        <f t="shared" si="218"/>
        <v>3.6414565826330532</v>
      </c>
      <c r="U282" s="66">
        <f t="shared" si="218"/>
        <v>3.6414565826330532</v>
      </c>
      <c r="V282" s="66">
        <f t="shared" si="218"/>
        <v>3.6414565826330532</v>
      </c>
      <c r="W282" s="66">
        <f t="shared" si="218"/>
        <v>3.6414565826330532</v>
      </c>
      <c r="X282" s="66">
        <f t="shared" si="218"/>
        <v>3.6414565826330532</v>
      </c>
      <c r="Y282" s="66">
        <f t="shared" si="218"/>
        <v>3.6414565826330532</v>
      </c>
      <c r="Z282" s="66">
        <f t="shared" si="218"/>
        <v>3.6414565826330532</v>
      </c>
      <c r="AA282" s="66">
        <f t="shared" si="218"/>
        <v>3.6414565826330532</v>
      </c>
      <c r="AB282" s="66">
        <f t="shared" si="218"/>
        <v>3.6414565826330532</v>
      </c>
      <c r="AC282" s="66">
        <f t="shared" si="218"/>
        <v>3.6414565826330532</v>
      </c>
    </row>
    <row r="283" spans="1:29" x14ac:dyDescent="0.25">
      <c r="A283" s="30" t="str">
        <f t="shared" si="211"/>
        <v>Fuel Cost</v>
      </c>
      <c r="B283" s="66">
        <f>B253*B254*B261/B261</f>
        <v>4.9753912539735889</v>
      </c>
      <c r="C283" s="66">
        <f t="shared" ref="C283:AC283" si="219">C253*C254*C261/C261</f>
        <v>4.8438831151020398</v>
      </c>
      <c r="D283" s="66">
        <f t="shared" si="219"/>
        <v>4.7123749762304916</v>
      </c>
      <c r="E283" s="66">
        <f t="shared" si="219"/>
        <v>4.5808668373589434</v>
      </c>
      <c r="F283" s="66">
        <f t="shared" si="219"/>
        <v>4.4493586984873952</v>
      </c>
      <c r="G283" s="66">
        <f t="shared" si="219"/>
        <v>4.317850559615847</v>
      </c>
      <c r="H283" s="66">
        <f t="shared" si="219"/>
        <v>4.1863424207442987</v>
      </c>
      <c r="I283" s="66">
        <f t="shared" si="219"/>
        <v>4.0548342818727496</v>
      </c>
      <c r="J283" s="66">
        <f t="shared" si="219"/>
        <v>4.016477741368548</v>
      </c>
      <c r="K283" s="66">
        <f t="shared" si="219"/>
        <v>3.9781212008643463</v>
      </c>
      <c r="L283" s="66">
        <f t="shared" si="219"/>
        <v>3.9397646603601451</v>
      </c>
      <c r="M283" s="66">
        <f t="shared" si="219"/>
        <v>3.9014081198559429</v>
      </c>
      <c r="N283" s="66">
        <f t="shared" si="219"/>
        <v>3.8630515793517413</v>
      </c>
      <c r="O283" s="66">
        <f t="shared" si="219"/>
        <v>3.8246950388475391</v>
      </c>
      <c r="P283" s="66">
        <f t="shared" si="219"/>
        <v>3.7863384983433375</v>
      </c>
      <c r="Q283" s="66">
        <f t="shared" si="219"/>
        <v>3.7479819578391362</v>
      </c>
      <c r="R283" s="66">
        <f t="shared" si="219"/>
        <v>3.7096254173349341</v>
      </c>
      <c r="S283" s="66">
        <f t="shared" si="219"/>
        <v>3.6712688768307324</v>
      </c>
      <c r="T283" s="66">
        <f t="shared" si="219"/>
        <v>3.6329123363265308</v>
      </c>
      <c r="U283" s="66">
        <f t="shared" si="219"/>
        <v>3.5945557958223291</v>
      </c>
      <c r="V283" s="66">
        <f t="shared" si="219"/>
        <v>3.556199255318127</v>
      </c>
      <c r="W283" s="66">
        <f t="shared" si="219"/>
        <v>3.5178427148139257</v>
      </c>
      <c r="X283" s="66">
        <f t="shared" si="219"/>
        <v>3.4794861743097245</v>
      </c>
      <c r="Y283" s="66">
        <f t="shared" si="219"/>
        <v>3.4411296338055228</v>
      </c>
      <c r="Z283" s="66">
        <f t="shared" si="219"/>
        <v>3.4027730933013207</v>
      </c>
      <c r="AA283" s="66">
        <f t="shared" si="219"/>
        <v>3.3644165527971195</v>
      </c>
      <c r="AB283" s="66">
        <f t="shared" si="219"/>
        <v>3.3260600122929178</v>
      </c>
      <c r="AC283" s="66">
        <f t="shared" si="219"/>
        <v>3.2877034717887157</v>
      </c>
    </row>
    <row r="284" spans="1:29" ht="15.75" thickBot="1" x14ac:dyDescent="0.3">
      <c r="A284" s="59" t="str">
        <f>A235</f>
        <v>Emission Cost</v>
      </c>
      <c r="B284" s="66">
        <f>B255</f>
        <v>0</v>
      </c>
      <c r="C284" s="66">
        <f t="shared" ref="C284:AC284" si="220">C255</f>
        <v>0</v>
      </c>
      <c r="D284" s="66">
        <f t="shared" si="220"/>
        <v>0</v>
      </c>
      <c r="E284" s="66">
        <f t="shared" si="220"/>
        <v>0</v>
      </c>
      <c r="F284" s="66">
        <f t="shared" si="220"/>
        <v>0</v>
      </c>
      <c r="G284" s="66">
        <f t="shared" si="220"/>
        <v>0</v>
      </c>
      <c r="H284" s="66">
        <f t="shared" si="220"/>
        <v>0</v>
      </c>
      <c r="I284" s="66">
        <f t="shared" si="220"/>
        <v>0</v>
      </c>
      <c r="J284" s="66">
        <f t="shared" si="220"/>
        <v>0</v>
      </c>
      <c r="K284" s="66">
        <f t="shared" si="220"/>
        <v>0</v>
      </c>
      <c r="L284" s="66">
        <f t="shared" si="220"/>
        <v>0</v>
      </c>
      <c r="M284" s="66">
        <f t="shared" si="220"/>
        <v>0</v>
      </c>
      <c r="N284" s="66">
        <f t="shared" si="220"/>
        <v>0</v>
      </c>
      <c r="O284" s="66">
        <f t="shared" si="220"/>
        <v>0</v>
      </c>
      <c r="P284" s="66">
        <f t="shared" si="220"/>
        <v>0</v>
      </c>
      <c r="Q284" s="66">
        <f t="shared" si="220"/>
        <v>0</v>
      </c>
      <c r="R284" s="66">
        <f t="shared" si="220"/>
        <v>0</v>
      </c>
      <c r="S284" s="66">
        <f t="shared" si="220"/>
        <v>0</v>
      </c>
      <c r="T284" s="66">
        <f t="shared" si="220"/>
        <v>0</v>
      </c>
      <c r="U284" s="66">
        <f t="shared" si="220"/>
        <v>0</v>
      </c>
      <c r="V284" s="66">
        <f t="shared" si="220"/>
        <v>0</v>
      </c>
      <c r="W284" s="66">
        <f t="shared" si="220"/>
        <v>0</v>
      </c>
      <c r="X284" s="66">
        <f t="shared" si="220"/>
        <v>0</v>
      </c>
      <c r="Y284" s="66">
        <f t="shared" si="220"/>
        <v>0</v>
      </c>
      <c r="Z284" s="66">
        <f t="shared" si="220"/>
        <v>0</v>
      </c>
      <c r="AA284" s="66">
        <f t="shared" si="220"/>
        <v>0</v>
      </c>
      <c r="AB284" s="66">
        <f t="shared" si="220"/>
        <v>0</v>
      </c>
      <c r="AC284" s="66">
        <f t="shared" si="220"/>
        <v>0</v>
      </c>
    </row>
    <row r="285" spans="1:29" ht="15.75" thickBot="1" x14ac:dyDescent="0.3">
      <c r="A285" s="31" t="s">
        <v>63</v>
      </c>
      <c r="B285" s="76">
        <f>B276+B277+B278-B279+B280+B281+B282+B283+B284</f>
        <v>20.568470888109623</v>
      </c>
      <c r="C285" s="76">
        <f t="shared" ref="C285:AC285" si="221">C276+C277+C278-C279+C280+C281+C282+C283+C284</f>
        <v>20.437929089866209</v>
      </c>
      <c r="D285" s="76">
        <f t="shared" si="221"/>
        <v>20.307793016159959</v>
      </c>
      <c r="E285" s="76">
        <f t="shared" si="221"/>
        <v>20.17822415955251</v>
      </c>
      <c r="F285" s="76">
        <f t="shared" si="221"/>
        <v>20.049438737992208</v>
      </c>
      <c r="G285" s="76">
        <f t="shared" si="221"/>
        <v>19.92171616456028</v>
      </c>
      <c r="H285" s="76">
        <f t="shared" si="221"/>
        <v>19.795397894288172</v>
      </c>
      <c r="I285" s="76">
        <f t="shared" si="221"/>
        <v>19.670864382690432</v>
      </c>
      <c r="J285" s="76">
        <f t="shared" si="221"/>
        <v>19.641625027431992</v>
      </c>
      <c r="K285" s="76">
        <f t="shared" si="221"/>
        <v>19.614750040740514</v>
      </c>
      <c r="L285" s="76">
        <f t="shared" si="221"/>
        <v>19.590171035233524</v>
      </c>
      <c r="M285" s="76">
        <f t="shared" si="221"/>
        <v>19.567393768321423</v>
      </c>
      <c r="N285" s="76">
        <f t="shared" si="221"/>
        <v>19.545484203028252</v>
      </c>
      <c r="O285" s="76">
        <f t="shared" si="221"/>
        <v>19.523250992026128</v>
      </c>
      <c r="P285" s="76">
        <f t="shared" si="221"/>
        <v>19.499571850243104</v>
      </c>
      <c r="Q285" s="76">
        <f t="shared" si="221"/>
        <v>19.473689008550128</v>
      </c>
      <c r="R285" s="76">
        <f t="shared" si="221"/>
        <v>19.44532166688083</v>
      </c>
      <c r="S285" s="76">
        <f t="shared" si="221"/>
        <v>19.414587328439943</v>
      </c>
      <c r="T285" s="76">
        <f t="shared" si="221"/>
        <v>19.381833717753768</v>
      </c>
      <c r="U285" s="76">
        <f t="shared" si="221"/>
        <v>19.347483191013747</v>
      </c>
      <c r="V285" s="76">
        <f t="shared" si="221"/>
        <v>19.311934274551525</v>
      </c>
      <c r="W285" s="76">
        <f t="shared" si="221"/>
        <v>19.275517974830393</v>
      </c>
      <c r="X285" s="76">
        <f t="shared" si="221"/>
        <v>19.238489237779952</v>
      </c>
      <c r="Y285" s="76">
        <f t="shared" si="221"/>
        <v>19.201035314377499</v>
      </c>
      <c r="Z285" s="76">
        <f t="shared" si="221"/>
        <v>19.163289564822268</v>
      </c>
      <c r="AA285" s="76">
        <f t="shared" si="221"/>
        <v>19.125345064529917</v>
      </c>
      <c r="AB285" s="76">
        <f t="shared" si="221"/>
        <v>19.087265907449492</v>
      </c>
      <c r="AC285" s="76">
        <f t="shared" si="221"/>
        <v>19.049095837845808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2">A264</f>
        <v>Capex vehicle</v>
      </c>
      <c r="B288" s="65">
        <f>((1+B249)^B256)*B249/(((1+B249)^B256)-1)*(B245)/B261/(B258)</f>
        <v>7.6317014160409149E-4</v>
      </c>
      <c r="C288" s="65">
        <f t="shared" ref="C288:AC288" si="223">((1+C249)^C256)*C249/(((1+C249)^C256)-1)*(C245)/C261/(C258)</f>
        <v>7.6317014160409149E-4</v>
      </c>
      <c r="D288" s="65">
        <f t="shared" si="223"/>
        <v>7.6317014160409149E-4</v>
      </c>
      <c r="E288" s="65">
        <f t="shared" si="223"/>
        <v>7.6317014160409149E-4</v>
      </c>
      <c r="F288" s="65">
        <f t="shared" si="223"/>
        <v>7.6317014160409149E-4</v>
      </c>
      <c r="G288" s="65">
        <f t="shared" si="223"/>
        <v>7.6317014160409149E-4</v>
      </c>
      <c r="H288" s="65">
        <f t="shared" si="223"/>
        <v>7.6317014160409149E-4</v>
      </c>
      <c r="I288" s="65">
        <f t="shared" si="223"/>
        <v>7.6317014160409149E-4</v>
      </c>
      <c r="J288" s="65">
        <f t="shared" si="223"/>
        <v>7.6317014160409149E-4</v>
      </c>
      <c r="K288" s="65">
        <f t="shared" si="223"/>
        <v>7.6317014160409149E-4</v>
      </c>
      <c r="L288" s="65">
        <f t="shared" si="223"/>
        <v>7.6317014160409149E-4</v>
      </c>
      <c r="M288" s="65">
        <f t="shared" si="223"/>
        <v>7.6317014160409149E-4</v>
      </c>
      <c r="N288" s="65">
        <f t="shared" si="223"/>
        <v>7.6317014160409149E-4</v>
      </c>
      <c r="O288" s="65">
        <f t="shared" si="223"/>
        <v>7.6317014160409149E-4</v>
      </c>
      <c r="P288" s="65">
        <f t="shared" si="223"/>
        <v>7.6317014160409149E-4</v>
      </c>
      <c r="Q288" s="65">
        <f t="shared" si="223"/>
        <v>7.6317014160409149E-4</v>
      </c>
      <c r="R288" s="65">
        <f t="shared" si="223"/>
        <v>7.6317014160409149E-4</v>
      </c>
      <c r="S288" s="65">
        <f t="shared" si="223"/>
        <v>7.6317014160409149E-4</v>
      </c>
      <c r="T288" s="65">
        <f t="shared" si="223"/>
        <v>7.6317014160409149E-4</v>
      </c>
      <c r="U288" s="65">
        <f t="shared" si="223"/>
        <v>7.6317014160409149E-4</v>
      </c>
      <c r="V288" s="65">
        <f t="shared" si="223"/>
        <v>7.6317014160409149E-4</v>
      </c>
      <c r="W288" s="65">
        <f t="shared" si="223"/>
        <v>7.6317014160409149E-4</v>
      </c>
      <c r="X288" s="65">
        <f t="shared" si="223"/>
        <v>7.6317014160409149E-4</v>
      </c>
      <c r="Y288" s="65">
        <f t="shared" si="223"/>
        <v>7.6317014160409149E-4</v>
      </c>
      <c r="Z288" s="65">
        <f t="shared" si="223"/>
        <v>7.6317014160409149E-4</v>
      </c>
      <c r="AA288" s="65">
        <f t="shared" si="223"/>
        <v>7.6317014160409149E-4</v>
      </c>
      <c r="AB288" s="65">
        <f t="shared" si="223"/>
        <v>7.6317014160409149E-4</v>
      </c>
      <c r="AC288" s="65">
        <f t="shared" si="223"/>
        <v>7.6317014160409149E-4</v>
      </c>
    </row>
    <row r="289" spans="1:29" x14ac:dyDescent="0.25">
      <c r="A289" s="30" t="str">
        <f t="shared" si="222"/>
        <v>Residual value (vehicle)</v>
      </c>
      <c r="B289" s="68">
        <f>((1+B249)^B256)*B249/(((1+B249)^B256)-1)*(B246)/B261/(B258)</f>
        <v>-1.1346797345547289E-4</v>
      </c>
      <c r="C289" s="68">
        <f t="shared" ref="C289:AC289" si="224">((1+C249)^C256)*C249/(((1+C249)^C256)-1)*(C246)/C261/(C258)</f>
        <v>-1.1303657138934111E-4</v>
      </c>
      <c r="D289" s="68">
        <f t="shared" si="224"/>
        <v>-1.1242404229769157E-4</v>
      </c>
      <c r="E289" s="68">
        <f t="shared" si="224"/>
        <v>-1.1155829128693258E-4</v>
      </c>
      <c r="F289" s="68">
        <f t="shared" si="224"/>
        <v>-1.1034279248726903E-4</v>
      </c>
      <c r="G289" s="68">
        <f t="shared" si="224"/>
        <v>-1.0865280791600897E-4</v>
      </c>
      <c r="H289" s="68">
        <f t="shared" si="224"/>
        <v>-1.0633590229126001E-4</v>
      </c>
      <c r="I289" s="68">
        <f t="shared" si="224"/>
        <v>-1.0322222940116694E-4</v>
      </c>
      <c r="J289" s="68">
        <f t="shared" si="224"/>
        <v>-9.9152057416450692E-5</v>
      </c>
      <c r="K289" s="68">
        <f t="shared" si="224"/>
        <v>-9.4026363750057009E-5</v>
      </c>
      <c r="L289" s="68">
        <f t="shared" si="224"/>
        <v>-8.7875678483444322E-5</v>
      </c>
      <c r="M289" s="68">
        <f t="shared" si="224"/>
        <v>-8.0920645629828101E-5</v>
      </c>
      <c r="N289" s="68">
        <f t="shared" si="224"/>
        <v>-7.357824598204721E-5</v>
      </c>
      <c r="O289" s="68">
        <f t="shared" si="224"/>
        <v>-6.6380331025761298E-5</v>
      </c>
      <c r="P289" s="68">
        <f t="shared" si="224"/>
        <v>-5.982792088237961E-5</v>
      </c>
      <c r="Q289" s="68">
        <f t="shared" si="224"/>
        <v>-5.4259305341653007E-5</v>
      </c>
      <c r="R289" s="68">
        <f t="shared" si="224"/>
        <v>-4.9799841576070884E-5</v>
      </c>
      <c r="S289" s="68">
        <f t="shared" si="224"/>
        <v>-4.6397072797805602E-5</v>
      </c>
      <c r="T289" s="68">
        <f t="shared" si="224"/>
        <v>-4.3895764843330094E-5</v>
      </c>
      <c r="U289" s="68">
        <f t="shared" si="224"/>
        <v>-4.2107365841462744E-5</v>
      </c>
      <c r="V289" s="68">
        <f t="shared" si="224"/>
        <v>-4.0853962251293284E-5</v>
      </c>
      <c r="W289" s="68">
        <f t="shared" si="224"/>
        <v>-3.9987783330280735E-5</v>
      </c>
      <c r="X289" s="68">
        <f t="shared" si="224"/>
        <v>-3.93950139312806E-5</v>
      </c>
      <c r="Y289" s="68">
        <f t="shared" si="224"/>
        <v>-3.8992059867999029E-5</v>
      </c>
      <c r="Z289" s="68">
        <f t="shared" si="224"/>
        <v>-3.8719385337209372E-5</v>
      </c>
      <c r="AA289" s="68">
        <f t="shared" si="224"/>
        <v>-3.8535438814060903E-5</v>
      </c>
      <c r="AB289" s="68">
        <f t="shared" si="224"/>
        <v>-3.8411606928446129E-5</v>
      </c>
      <c r="AC289" s="68">
        <f t="shared" si="224"/>
        <v>-3.832836099071531E-5</v>
      </c>
    </row>
    <row r="290" spans="1:29" x14ac:dyDescent="0.25">
      <c r="A290" s="30" t="str">
        <f t="shared" si="222"/>
        <v>Capex costumization</v>
      </c>
      <c r="B290" s="66">
        <f>((1+B249)^B257)*B249/(((1+B249)^B257)-1)*(B247)/B261/(B258)</f>
        <v>5.087458787818432E-4</v>
      </c>
      <c r="C290" s="66">
        <f t="shared" ref="C290:AC290" si="225">((1+C249)^C257)*C249/(((1+C249)^C257)-1)*(C247)/C261/(C258)</f>
        <v>5.087458787818432E-4</v>
      </c>
      <c r="D290" s="66">
        <f t="shared" si="225"/>
        <v>5.087458787818432E-4</v>
      </c>
      <c r="E290" s="66">
        <f t="shared" si="225"/>
        <v>5.087458787818432E-4</v>
      </c>
      <c r="F290" s="66">
        <f t="shared" si="225"/>
        <v>5.087458787818432E-4</v>
      </c>
      <c r="G290" s="66">
        <f t="shared" si="225"/>
        <v>5.087458787818432E-4</v>
      </c>
      <c r="H290" s="66">
        <f t="shared" si="225"/>
        <v>5.087458787818432E-4</v>
      </c>
      <c r="I290" s="66">
        <f t="shared" si="225"/>
        <v>5.087458787818432E-4</v>
      </c>
      <c r="J290" s="66">
        <f t="shared" si="225"/>
        <v>5.087458787818432E-4</v>
      </c>
      <c r="K290" s="66">
        <f t="shared" si="225"/>
        <v>5.087458787818432E-4</v>
      </c>
      <c r="L290" s="66">
        <f t="shared" si="225"/>
        <v>5.087458787818432E-4</v>
      </c>
      <c r="M290" s="66">
        <f t="shared" si="225"/>
        <v>5.087458787818432E-4</v>
      </c>
      <c r="N290" s="66">
        <f t="shared" si="225"/>
        <v>5.087458787818432E-4</v>
      </c>
      <c r="O290" s="66">
        <f t="shared" si="225"/>
        <v>5.087458787818432E-4</v>
      </c>
      <c r="P290" s="66">
        <f t="shared" si="225"/>
        <v>5.087458787818432E-4</v>
      </c>
      <c r="Q290" s="66">
        <f t="shared" si="225"/>
        <v>5.087458787818432E-4</v>
      </c>
      <c r="R290" s="66">
        <f t="shared" si="225"/>
        <v>5.087458787818432E-4</v>
      </c>
      <c r="S290" s="66">
        <f t="shared" si="225"/>
        <v>5.087458787818432E-4</v>
      </c>
      <c r="T290" s="66">
        <f t="shared" si="225"/>
        <v>5.087458787818432E-4</v>
      </c>
      <c r="U290" s="66">
        <f t="shared" si="225"/>
        <v>5.087458787818432E-4</v>
      </c>
      <c r="V290" s="66">
        <f t="shared" si="225"/>
        <v>5.087458787818432E-4</v>
      </c>
      <c r="W290" s="66">
        <f t="shared" si="225"/>
        <v>5.087458787818432E-4</v>
      </c>
      <c r="X290" s="66">
        <f t="shared" si="225"/>
        <v>5.087458787818432E-4</v>
      </c>
      <c r="Y290" s="66">
        <f t="shared" si="225"/>
        <v>5.087458787818432E-4</v>
      </c>
      <c r="Z290" s="66">
        <f t="shared" si="225"/>
        <v>5.087458787818432E-4</v>
      </c>
      <c r="AA290" s="66">
        <f t="shared" si="225"/>
        <v>5.087458787818432E-4</v>
      </c>
      <c r="AB290" s="66">
        <f t="shared" si="225"/>
        <v>5.087458787818432E-4</v>
      </c>
      <c r="AC290" s="66">
        <f t="shared" si="225"/>
        <v>5.087458787818432E-4</v>
      </c>
    </row>
    <row r="291" spans="1:29" x14ac:dyDescent="0.25">
      <c r="A291" s="30" t="str">
        <f t="shared" si="222"/>
        <v>Residual value (costumization)</v>
      </c>
      <c r="B291" s="69">
        <f>((1+B249)^B257)*B249/(((1+B249)^B257)-1)*(B248)/B261/(B258)</f>
        <v>-2.5437293939092156E-5</v>
      </c>
      <c r="C291" s="69">
        <f t="shared" ref="C291:AC291" si="226">((1+C249)^C257)*C249/(((1+C249)^C257)-1)*(C248)/C261/(C258)</f>
        <v>-2.5437293939092156E-5</v>
      </c>
      <c r="D291" s="69">
        <f t="shared" si="226"/>
        <v>-2.5437293939092156E-5</v>
      </c>
      <c r="E291" s="69">
        <f t="shared" si="226"/>
        <v>-2.5437293939092156E-5</v>
      </c>
      <c r="F291" s="69">
        <f t="shared" si="226"/>
        <v>-2.5437293939092156E-5</v>
      </c>
      <c r="G291" s="69">
        <f t="shared" si="226"/>
        <v>-2.5437293939092156E-5</v>
      </c>
      <c r="H291" s="69">
        <f t="shared" si="226"/>
        <v>-2.5437293939092156E-5</v>
      </c>
      <c r="I291" s="69">
        <f t="shared" si="226"/>
        <v>-2.5437293939092156E-5</v>
      </c>
      <c r="J291" s="69">
        <f t="shared" si="226"/>
        <v>-2.5437293939092156E-5</v>
      </c>
      <c r="K291" s="69">
        <f t="shared" si="226"/>
        <v>-2.5437293939092156E-5</v>
      </c>
      <c r="L291" s="69">
        <f t="shared" si="226"/>
        <v>-2.5437293939092156E-5</v>
      </c>
      <c r="M291" s="69">
        <f t="shared" si="226"/>
        <v>-2.5437293939092156E-5</v>
      </c>
      <c r="N291" s="69">
        <f t="shared" si="226"/>
        <v>-2.5437293939092156E-5</v>
      </c>
      <c r="O291" s="69">
        <f t="shared" si="226"/>
        <v>-2.5437293939092156E-5</v>
      </c>
      <c r="P291" s="69">
        <f t="shared" si="226"/>
        <v>-2.5437293939092156E-5</v>
      </c>
      <c r="Q291" s="69">
        <f t="shared" si="226"/>
        <v>-2.5437293939092156E-5</v>
      </c>
      <c r="R291" s="69">
        <f t="shared" si="226"/>
        <v>-2.5437293939092156E-5</v>
      </c>
      <c r="S291" s="69">
        <f t="shared" si="226"/>
        <v>-2.5437293939092156E-5</v>
      </c>
      <c r="T291" s="69">
        <f t="shared" si="226"/>
        <v>-2.5437293939092156E-5</v>
      </c>
      <c r="U291" s="69">
        <f t="shared" si="226"/>
        <v>-2.5437293939092156E-5</v>
      </c>
      <c r="V291" s="69">
        <f t="shared" si="226"/>
        <v>-2.5437293939092156E-5</v>
      </c>
      <c r="W291" s="69">
        <f t="shared" si="226"/>
        <v>-2.5437293939092156E-5</v>
      </c>
      <c r="X291" s="69">
        <f t="shared" si="226"/>
        <v>-2.5437293939092156E-5</v>
      </c>
      <c r="Y291" s="69">
        <f t="shared" si="226"/>
        <v>-2.5437293939092156E-5</v>
      </c>
      <c r="Z291" s="69">
        <f t="shared" si="226"/>
        <v>-2.5437293939092156E-5</v>
      </c>
      <c r="AA291" s="69">
        <f t="shared" si="226"/>
        <v>-2.5437293939092156E-5</v>
      </c>
      <c r="AB291" s="69">
        <f t="shared" si="226"/>
        <v>-2.5437293939092156E-5</v>
      </c>
      <c r="AC291" s="69">
        <f t="shared" si="226"/>
        <v>-2.5437293939092156E-5</v>
      </c>
    </row>
    <row r="292" spans="1:29" x14ac:dyDescent="0.25">
      <c r="A292" s="30" t="str">
        <f t="shared" si="222"/>
        <v>Opex fix (admin, crew, insurance)</v>
      </c>
      <c r="B292" s="66">
        <f>B250/B261/(B258)</f>
        <v>1.525610244097639E-3</v>
      </c>
      <c r="C292" s="66">
        <f t="shared" ref="C292:AC292" si="227">C250/C261/(C258)</f>
        <v>1.525610244097639E-3</v>
      </c>
      <c r="D292" s="66">
        <f t="shared" si="227"/>
        <v>1.525610244097639E-3</v>
      </c>
      <c r="E292" s="66">
        <f t="shared" si="227"/>
        <v>1.525610244097639E-3</v>
      </c>
      <c r="F292" s="66">
        <f t="shared" si="227"/>
        <v>1.525610244097639E-3</v>
      </c>
      <c r="G292" s="66">
        <f t="shared" si="227"/>
        <v>1.525610244097639E-3</v>
      </c>
      <c r="H292" s="66">
        <f t="shared" si="227"/>
        <v>1.525610244097639E-3</v>
      </c>
      <c r="I292" s="66">
        <f t="shared" si="227"/>
        <v>1.525610244097639E-3</v>
      </c>
      <c r="J292" s="66">
        <f t="shared" si="227"/>
        <v>1.525610244097639E-3</v>
      </c>
      <c r="K292" s="66">
        <f t="shared" si="227"/>
        <v>1.525610244097639E-3</v>
      </c>
      <c r="L292" s="66">
        <f t="shared" si="227"/>
        <v>1.525610244097639E-3</v>
      </c>
      <c r="M292" s="66">
        <f t="shared" si="227"/>
        <v>1.525610244097639E-3</v>
      </c>
      <c r="N292" s="66">
        <f t="shared" si="227"/>
        <v>1.525610244097639E-3</v>
      </c>
      <c r="O292" s="66">
        <f t="shared" si="227"/>
        <v>1.525610244097639E-3</v>
      </c>
      <c r="P292" s="66">
        <f t="shared" si="227"/>
        <v>1.525610244097639E-3</v>
      </c>
      <c r="Q292" s="66">
        <f t="shared" si="227"/>
        <v>1.525610244097639E-3</v>
      </c>
      <c r="R292" s="66">
        <f t="shared" si="227"/>
        <v>1.525610244097639E-3</v>
      </c>
      <c r="S292" s="66">
        <f t="shared" si="227"/>
        <v>1.525610244097639E-3</v>
      </c>
      <c r="T292" s="66">
        <f t="shared" si="227"/>
        <v>1.525610244097639E-3</v>
      </c>
      <c r="U292" s="66">
        <f t="shared" si="227"/>
        <v>1.525610244097639E-3</v>
      </c>
      <c r="V292" s="66">
        <f t="shared" si="227"/>
        <v>1.525610244097639E-3</v>
      </c>
      <c r="W292" s="66">
        <f t="shared" si="227"/>
        <v>1.525610244097639E-3</v>
      </c>
      <c r="X292" s="66">
        <f t="shared" si="227"/>
        <v>1.525610244097639E-3</v>
      </c>
      <c r="Y292" s="66">
        <f t="shared" si="227"/>
        <v>1.525610244097639E-3</v>
      </c>
      <c r="Z292" s="66">
        <f t="shared" si="227"/>
        <v>1.525610244097639E-3</v>
      </c>
      <c r="AA292" s="66">
        <f t="shared" si="227"/>
        <v>1.525610244097639E-3</v>
      </c>
      <c r="AB292" s="66">
        <f t="shared" si="227"/>
        <v>1.525610244097639E-3</v>
      </c>
      <c r="AC292" s="66">
        <f t="shared" si="227"/>
        <v>1.525610244097639E-3</v>
      </c>
    </row>
    <row r="293" spans="1:29" x14ac:dyDescent="0.25">
      <c r="A293" s="30" t="str">
        <f t="shared" si="222"/>
        <v>Opex maintenance &amp; repair</v>
      </c>
      <c r="B293" s="66">
        <f>B251/B261/(B258)</f>
        <v>2.6260504201680674E-3</v>
      </c>
      <c r="C293" s="66">
        <f t="shared" ref="C293:AC293" si="228">C251/C261/(C258)</f>
        <v>2.6260504201680674E-3</v>
      </c>
      <c r="D293" s="66">
        <f t="shared" si="228"/>
        <v>2.6260504201680674E-3</v>
      </c>
      <c r="E293" s="66">
        <f t="shared" si="228"/>
        <v>2.6260504201680674E-3</v>
      </c>
      <c r="F293" s="66">
        <f t="shared" si="228"/>
        <v>2.6260504201680674E-3</v>
      </c>
      <c r="G293" s="66">
        <f t="shared" si="228"/>
        <v>2.6260504201680674E-3</v>
      </c>
      <c r="H293" s="66">
        <f t="shared" si="228"/>
        <v>2.6260504201680674E-3</v>
      </c>
      <c r="I293" s="66">
        <f t="shared" si="228"/>
        <v>2.6260504201680674E-3</v>
      </c>
      <c r="J293" s="66">
        <f t="shared" si="228"/>
        <v>2.6260504201680674E-3</v>
      </c>
      <c r="K293" s="66">
        <f t="shared" si="228"/>
        <v>2.6260504201680674E-3</v>
      </c>
      <c r="L293" s="66">
        <f t="shared" si="228"/>
        <v>2.6260504201680674E-3</v>
      </c>
      <c r="M293" s="66">
        <f t="shared" si="228"/>
        <v>2.6260504201680674E-3</v>
      </c>
      <c r="N293" s="66">
        <f t="shared" si="228"/>
        <v>2.6260504201680674E-3</v>
      </c>
      <c r="O293" s="66">
        <f t="shared" si="228"/>
        <v>2.6260504201680674E-3</v>
      </c>
      <c r="P293" s="66">
        <f t="shared" si="228"/>
        <v>2.6260504201680674E-3</v>
      </c>
      <c r="Q293" s="66">
        <f t="shared" si="228"/>
        <v>2.6260504201680674E-3</v>
      </c>
      <c r="R293" s="66">
        <f t="shared" si="228"/>
        <v>2.6260504201680674E-3</v>
      </c>
      <c r="S293" s="66">
        <f t="shared" si="228"/>
        <v>2.6260504201680674E-3</v>
      </c>
      <c r="T293" s="66">
        <f t="shared" si="228"/>
        <v>2.6260504201680674E-3</v>
      </c>
      <c r="U293" s="66">
        <f t="shared" si="228"/>
        <v>2.6260504201680674E-3</v>
      </c>
      <c r="V293" s="66">
        <f t="shared" si="228"/>
        <v>2.6260504201680674E-3</v>
      </c>
      <c r="W293" s="66">
        <f t="shared" si="228"/>
        <v>2.6260504201680674E-3</v>
      </c>
      <c r="X293" s="66">
        <f t="shared" si="228"/>
        <v>2.6260504201680674E-3</v>
      </c>
      <c r="Y293" s="66">
        <f t="shared" si="228"/>
        <v>2.6260504201680674E-3</v>
      </c>
      <c r="Z293" s="66">
        <f t="shared" si="228"/>
        <v>2.6260504201680674E-3</v>
      </c>
      <c r="AA293" s="66">
        <f t="shared" si="228"/>
        <v>2.6260504201680674E-3</v>
      </c>
      <c r="AB293" s="66">
        <f t="shared" si="228"/>
        <v>2.6260504201680674E-3</v>
      </c>
      <c r="AC293" s="66">
        <f t="shared" si="228"/>
        <v>2.6260504201680674E-3</v>
      </c>
    </row>
    <row r="294" spans="1:29" x14ac:dyDescent="0.25">
      <c r="A294" s="30" t="str">
        <f t="shared" si="222"/>
        <v>Opex var (mode-fees, shunting)</v>
      </c>
      <c r="B294" s="66">
        <f>B252*B261/B261/(B258)</f>
        <v>1.6256502601040416E-3</v>
      </c>
      <c r="C294" s="66">
        <f t="shared" ref="C294:AC294" si="229">C252*C261/C261/(C258)</f>
        <v>1.6256502601040416E-3</v>
      </c>
      <c r="D294" s="66">
        <f t="shared" si="229"/>
        <v>1.6256502601040416E-3</v>
      </c>
      <c r="E294" s="66">
        <f t="shared" si="229"/>
        <v>1.6256502601040416E-3</v>
      </c>
      <c r="F294" s="66">
        <f t="shared" si="229"/>
        <v>1.6256502601040416E-3</v>
      </c>
      <c r="G294" s="66">
        <f t="shared" si="229"/>
        <v>1.6256502601040416E-3</v>
      </c>
      <c r="H294" s="66">
        <f t="shared" si="229"/>
        <v>1.6256502601040416E-3</v>
      </c>
      <c r="I294" s="66">
        <f t="shared" si="229"/>
        <v>1.6256502601040416E-3</v>
      </c>
      <c r="J294" s="66">
        <f t="shared" si="229"/>
        <v>1.6256502601040416E-3</v>
      </c>
      <c r="K294" s="66">
        <f t="shared" si="229"/>
        <v>1.6256502601040416E-3</v>
      </c>
      <c r="L294" s="66">
        <f t="shared" si="229"/>
        <v>1.6256502601040416E-3</v>
      </c>
      <c r="M294" s="66">
        <f t="shared" si="229"/>
        <v>1.6256502601040416E-3</v>
      </c>
      <c r="N294" s="66">
        <f t="shared" si="229"/>
        <v>1.6256502601040416E-3</v>
      </c>
      <c r="O294" s="66">
        <f t="shared" si="229"/>
        <v>1.6256502601040416E-3</v>
      </c>
      <c r="P294" s="66">
        <f t="shared" si="229"/>
        <v>1.6256502601040416E-3</v>
      </c>
      <c r="Q294" s="66">
        <f t="shared" si="229"/>
        <v>1.6256502601040416E-3</v>
      </c>
      <c r="R294" s="66">
        <f t="shared" si="229"/>
        <v>1.6256502601040416E-3</v>
      </c>
      <c r="S294" s="66">
        <f t="shared" si="229"/>
        <v>1.6256502601040416E-3</v>
      </c>
      <c r="T294" s="66">
        <f t="shared" si="229"/>
        <v>1.6256502601040416E-3</v>
      </c>
      <c r="U294" s="66">
        <f t="shared" si="229"/>
        <v>1.6256502601040416E-3</v>
      </c>
      <c r="V294" s="66">
        <f t="shared" si="229"/>
        <v>1.6256502601040416E-3</v>
      </c>
      <c r="W294" s="66">
        <f t="shared" si="229"/>
        <v>1.6256502601040416E-3</v>
      </c>
      <c r="X294" s="66">
        <f t="shared" si="229"/>
        <v>1.6256502601040416E-3</v>
      </c>
      <c r="Y294" s="66">
        <f t="shared" si="229"/>
        <v>1.6256502601040416E-3</v>
      </c>
      <c r="Z294" s="66">
        <f t="shared" si="229"/>
        <v>1.6256502601040416E-3</v>
      </c>
      <c r="AA294" s="66">
        <f t="shared" si="229"/>
        <v>1.6256502601040416E-3</v>
      </c>
      <c r="AB294" s="66">
        <f t="shared" si="229"/>
        <v>1.6256502601040416E-3</v>
      </c>
      <c r="AC294" s="66">
        <f t="shared" si="229"/>
        <v>1.6256502601040416E-3</v>
      </c>
    </row>
    <row r="295" spans="1:29" x14ac:dyDescent="0.25">
      <c r="A295" s="30" t="str">
        <f t="shared" si="222"/>
        <v>Fuel Cost</v>
      </c>
      <c r="B295" s="66">
        <f>B253*B254*B261/B261/(B258)</f>
        <v>2.2211568098096379E-3</v>
      </c>
      <c r="C295" s="66">
        <f t="shared" ref="C295:AC295" si="230">C253*C254*C261/C261/(C258)</f>
        <v>2.162447819241982E-3</v>
      </c>
      <c r="D295" s="66">
        <f t="shared" si="230"/>
        <v>2.1037388286743266E-3</v>
      </c>
      <c r="E295" s="66">
        <f t="shared" si="230"/>
        <v>2.0450298381066712E-3</v>
      </c>
      <c r="F295" s="66">
        <f t="shared" si="230"/>
        <v>1.9863208475390157E-3</v>
      </c>
      <c r="G295" s="66">
        <f t="shared" si="230"/>
        <v>1.9276118569713603E-3</v>
      </c>
      <c r="H295" s="66">
        <f t="shared" si="230"/>
        <v>1.8689028664037048E-3</v>
      </c>
      <c r="I295" s="66">
        <f t="shared" si="230"/>
        <v>1.810193875836049E-3</v>
      </c>
      <c r="J295" s="66">
        <f t="shared" si="230"/>
        <v>1.793070420253816E-3</v>
      </c>
      <c r="K295" s="66">
        <f t="shared" si="230"/>
        <v>1.7759469646715831E-3</v>
      </c>
      <c r="L295" s="66">
        <f t="shared" si="230"/>
        <v>1.7588235090893504E-3</v>
      </c>
      <c r="M295" s="66">
        <f t="shared" si="230"/>
        <v>1.7417000535071175E-3</v>
      </c>
      <c r="N295" s="66">
        <f t="shared" si="230"/>
        <v>1.7245765979248845E-3</v>
      </c>
      <c r="O295" s="66">
        <f t="shared" si="230"/>
        <v>1.7074531423426514E-3</v>
      </c>
      <c r="P295" s="66">
        <f t="shared" si="230"/>
        <v>1.6903296867604185E-3</v>
      </c>
      <c r="Q295" s="66">
        <f t="shared" si="230"/>
        <v>1.6732062311781858E-3</v>
      </c>
      <c r="R295" s="66">
        <f t="shared" si="230"/>
        <v>1.6560827755959528E-3</v>
      </c>
      <c r="S295" s="66">
        <f t="shared" si="230"/>
        <v>1.6389593200137199E-3</v>
      </c>
      <c r="T295" s="66">
        <f t="shared" si="230"/>
        <v>1.621835864431487E-3</v>
      </c>
      <c r="U295" s="66">
        <f t="shared" si="230"/>
        <v>1.604712408849254E-3</v>
      </c>
      <c r="V295" s="66">
        <f t="shared" si="230"/>
        <v>1.5875889532670209E-3</v>
      </c>
      <c r="W295" s="66">
        <f t="shared" si="230"/>
        <v>1.5704654976847882E-3</v>
      </c>
      <c r="X295" s="66">
        <f t="shared" si="230"/>
        <v>1.5533420421025557E-3</v>
      </c>
      <c r="Y295" s="66">
        <f t="shared" si="230"/>
        <v>1.5362185865203228E-3</v>
      </c>
      <c r="Z295" s="66">
        <f t="shared" si="230"/>
        <v>1.5190951309380896E-3</v>
      </c>
      <c r="AA295" s="66">
        <f t="shared" si="230"/>
        <v>1.5019716753558569E-3</v>
      </c>
      <c r="AB295" s="66">
        <f t="shared" si="230"/>
        <v>1.484848219773624E-3</v>
      </c>
      <c r="AC295" s="66">
        <f t="shared" si="230"/>
        <v>1.4677247641913908E-3</v>
      </c>
    </row>
    <row r="296" spans="1:29" x14ac:dyDescent="0.25">
      <c r="A296" s="59" t="str">
        <f>A259</f>
        <v>Market failure (av. utilization)</v>
      </c>
      <c r="B296" s="66">
        <f t="shared" ref="B296:AC296" si="231">B285/B259-B285/B258</f>
        <v>1.2338786944597011E-2</v>
      </c>
      <c r="C296" s="66">
        <f t="shared" si="231"/>
        <v>1.2260476435048089E-2</v>
      </c>
      <c r="D296" s="66">
        <f t="shared" si="231"/>
        <v>1.2182409314939706E-2</v>
      </c>
      <c r="E296" s="66">
        <f t="shared" si="231"/>
        <v>1.2104682461785128E-2</v>
      </c>
      <c r="F296" s="66">
        <f t="shared" si="231"/>
        <v>1.2027425582221887E-2</v>
      </c>
      <c r="G296" s="66">
        <f t="shared" si="231"/>
        <v>1.1950806292914229E-2</v>
      </c>
      <c r="H296" s="66">
        <f t="shared" si="231"/>
        <v>1.1875029428772201E-2</v>
      </c>
      <c r="I296" s="66">
        <f t="shared" si="231"/>
        <v>1.1800323220642978E-2</v>
      </c>
      <c r="J296" s="66">
        <f t="shared" si="231"/>
        <v>1.1782782870808811E-2</v>
      </c>
      <c r="K296" s="66">
        <f t="shared" si="231"/>
        <v>1.1766660878234404E-2</v>
      </c>
      <c r="L296" s="66">
        <f t="shared" si="231"/>
        <v>1.1751916218122787E-2</v>
      </c>
      <c r="M296" s="66">
        <f t="shared" si="231"/>
        <v>1.1738252400081211E-2</v>
      </c>
      <c r="N296" s="66">
        <f t="shared" si="231"/>
        <v>1.1725109106169291E-2</v>
      </c>
      <c r="O296" s="66">
        <f t="shared" si="231"/>
        <v>1.1711771660953172E-2</v>
      </c>
      <c r="P296" s="66">
        <f t="shared" si="231"/>
        <v>1.1697566818644718E-2</v>
      </c>
      <c r="Q296" s="66">
        <f t="shared" si="231"/>
        <v>1.1682040002338944E-2</v>
      </c>
      <c r="R296" s="66">
        <f t="shared" si="231"/>
        <v>1.1665022763335319E-2</v>
      </c>
      <c r="S296" s="66">
        <f t="shared" si="231"/>
        <v>1.1646585590442489E-2</v>
      </c>
      <c r="T296" s="66">
        <f t="shared" si="231"/>
        <v>1.1626937079567688E-2</v>
      </c>
      <c r="U296" s="66">
        <f t="shared" si="231"/>
        <v>1.1606330597287823E-2</v>
      </c>
      <c r="V296" s="66">
        <f t="shared" si="231"/>
        <v>1.1585005214923488E-2</v>
      </c>
      <c r="W296" s="66">
        <f t="shared" si="231"/>
        <v>1.1563159499409975E-2</v>
      </c>
      <c r="X296" s="66">
        <f t="shared" si="231"/>
        <v>1.1540946389851255E-2</v>
      </c>
      <c r="Y296" s="66">
        <f t="shared" si="231"/>
        <v>1.1518478215935163E-2</v>
      </c>
      <c r="Z296" s="66">
        <f t="shared" si="231"/>
        <v>1.1495834978897286E-2</v>
      </c>
      <c r="AA296" s="66">
        <f t="shared" si="231"/>
        <v>1.1473072513599141E-2</v>
      </c>
      <c r="AB296" s="66">
        <f t="shared" si="231"/>
        <v>1.1450229269256809E-2</v>
      </c>
      <c r="AC296" s="66">
        <f t="shared" si="231"/>
        <v>1.1427331487547009E-2</v>
      </c>
    </row>
    <row r="297" spans="1:29" x14ac:dyDescent="0.25">
      <c r="A297" s="59" t="str">
        <f>A260</f>
        <v>Payload loss (fuel)</v>
      </c>
      <c r="B297" s="66">
        <f>B285/(B258-B260)-B285/B258</f>
        <v>0</v>
      </c>
      <c r="C297" s="66">
        <f t="shared" ref="C297:AC297" si="232">C285/(C258-C260)-C285/C258</f>
        <v>0</v>
      </c>
      <c r="D297" s="66">
        <f t="shared" si="232"/>
        <v>0</v>
      </c>
      <c r="E297" s="66">
        <f t="shared" si="232"/>
        <v>0</v>
      </c>
      <c r="F297" s="66">
        <f t="shared" si="232"/>
        <v>0</v>
      </c>
      <c r="G297" s="66">
        <f t="shared" si="232"/>
        <v>0</v>
      </c>
      <c r="H297" s="66">
        <f t="shared" si="232"/>
        <v>0</v>
      </c>
      <c r="I297" s="66">
        <f t="shared" si="232"/>
        <v>0</v>
      </c>
      <c r="J297" s="66">
        <f t="shared" si="232"/>
        <v>0</v>
      </c>
      <c r="K297" s="66">
        <f t="shared" si="232"/>
        <v>0</v>
      </c>
      <c r="L297" s="66">
        <f t="shared" si="232"/>
        <v>0</v>
      </c>
      <c r="M297" s="66">
        <f t="shared" si="232"/>
        <v>0</v>
      </c>
      <c r="N297" s="66">
        <f t="shared" si="232"/>
        <v>0</v>
      </c>
      <c r="O297" s="66">
        <f t="shared" si="232"/>
        <v>0</v>
      </c>
      <c r="P297" s="66">
        <f t="shared" si="232"/>
        <v>0</v>
      </c>
      <c r="Q297" s="66">
        <f t="shared" si="232"/>
        <v>0</v>
      </c>
      <c r="R297" s="66">
        <f t="shared" si="232"/>
        <v>0</v>
      </c>
      <c r="S297" s="66">
        <f t="shared" si="232"/>
        <v>0</v>
      </c>
      <c r="T297" s="66">
        <f t="shared" si="232"/>
        <v>0</v>
      </c>
      <c r="U297" s="66">
        <f t="shared" si="232"/>
        <v>0</v>
      </c>
      <c r="V297" s="66">
        <f t="shared" si="232"/>
        <v>0</v>
      </c>
      <c r="W297" s="66">
        <f t="shared" si="232"/>
        <v>0</v>
      </c>
      <c r="X297" s="66">
        <f t="shared" si="232"/>
        <v>0</v>
      </c>
      <c r="Y297" s="66">
        <f t="shared" si="232"/>
        <v>0</v>
      </c>
      <c r="Z297" s="66">
        <f t="shared" si="232"/>
        <v>0</v>
      </c>
      <c r="AA297" s="66">
        <f t="shared" si="232"/>
        <v>0</v>
      </c>
      <c r="AB297" s="66">
        <f t="shared" si="232"/>
        <v>0</v>
      </c>
      <c r="AC297" s="66">
        <f t="shared" si="232"/>
        <v>0</v>
      </c>
    </row>
    <row r="298" spans="1:29" ht="15.75" thickBot="1" x14ac:dyDescent="0.3">
      <c r="A298" s="59" t="str">
        <f>A235</f>
        <v>Emission Cost</v>
      </c>
      <c r="B298" s="66">
        <f>B255*B261/B261/(B258)</f>
        <v>0</v>
      </c>
      <c r="C298" s="66">
        <f t="shared" ref="C298:AC298" si="233">C255*C261/C261/(C258)</f>
        <v>0</v>
      </c>
      <c r="D298" s="66">
        <f t="shared" si="233"/>
        <v>0</v>
      </c>
      <c r="E298" s="66">
        <f t="shared" si="233"/>
        <v>0</v>
      </c>
      <c r="F298" s="66">
        <f t="shared" si="233"/>
        <v>0</v>
      </c>
      <c r="G298" s="66">
        <f t="shared" si="233"/>
        <v>0</v>
      </c>
      <c r="H298" s="66">
        <f t="shared" si="233"/>
        <v>0</v>
      </c>
      <c r="I298" s="66">
        <f t="shared" si="233"/>
        <v>0</v>
      </c>
      <c r="J298" s="66">
        <f t="shared" si="233"/>
        <v>0</v>
      </c>
      <c r="K298" s="66">
        <f t="shared" si="233"/>
        <v>0</v>
      </c>
      <c r="L298" s="66">
        <f t="shared" si="233"/>
        <v>0</v>
      </c>
      <c r="M298" s="66">
        <f t="shared" si="233"/>
        <v>0</v>
      </c>
      <c r="N298" s="66">
        <f t="shared" si="233"/>
        <v>0</v>
      </c>
      <c r="O298" s="66">
        <f t="shared" si="233"/>
        <v>0</v>
      </c>
      <c r="P298" s="66">
        <f t="shared" si="233"/>
        <v>0</v>
      </c>
      <c r="Q298" s="66">
        <f t="shared" si="233"/>
        <v>0</v>
      </c>
      <c r="R298" s="66">
        <f t="shared" si="233"/>
        <v>0</v>
      </c>
      <c r="S298" s="66">
        <f t="shared" si="233"/>
        <v>0</v>
      </c>
      <c r="T298" s="66">
        <f t="shared" si="233"/>
        <v>0</v>
      </c>
      <c r="U298" s="66">
        <f t="shared" si="233"/>
        <v>0</v>
      </c>
      <c r="V298" s="66">
        <f t="shared" si="233"/>
        <v>0</v>
      </c>
      <c r="W298" s="66">
        <f t="shared" si="233"/>
        <v>0</v>
      </c>
      <c r="X298" s="66">
        <f t="shared" si="233"/>
        <v>0</v>
      </c>
      <c r="Y298" s="66">
        <f t="shared" si="233"/>
        <v>0</v>
      </c>
      <c r="Z298" s="66">
        <f t="shared" si="233"/>
        <v>0</v>
      </c>
      <c r="AA298" s="66">
        <f t="shared" si="233"/>
        <v>0</v>
      </c>
      <c r="AB298" s="66">
        <f t="shared" si="233"/>
        <v>0</v>
      </c>
      <c r="AC298" s="66">
        <f t="shared" si="233"/>
        <v>0</v>
      </c>
    </row>
    <row r="299" spans="1:29" ht="15.75" thickBot="1" x14ac:dyDescent="0.3">
      <c r="A299" s="31" t="s">
        <v>210</v>
      </c>
      <c r="B299" s="67">
        <f>B288+B289+B290+B291+B292+B293+B294+B295+B296+B297+B298</f>
        <v>2.1470265431767766E-2</v>
      </c>
      <c r="C299" s="67">
        <f t="shared" ref="C299:AC299" si="234">C288+C289+C290+C291+C292+C293+C294+C295+C296+C297+C298</f>
        <v>2.133367733371732E-2</v>
      </c>
      <c r="D299" s="67">
        <f t="shared" si="234"/>
        <v>2.1197513752132933E-2</v>
      </c>
      <c r="E299" s="67">
        <f t="shared" si="234"/>
        <v>2.1061943659421455E-2</v>
      </c>
      <c r="F299" s="67">
        <f t="shared" si="234"/>
        <v>2.0927193288090222E-2</v>
      </c>
      <c r="G299" s="67">
        <f t="shared" si="234"/>
        <v>2.0793554992786172E-2</v>
      </c>
      <c r="H299" s="67">
        <f t="shared" si="234"/>
        <v>2.0661386043701234E-2</v>
      </c>
      <c r="I299" s="67">
        <f t="shared" si="234"/>
        <v>2.0531084517894451E-2</v>
      </c>
      <c r="J299" s="67">
        <f t="shared" si="234"/>
        <v>2.0500490884462767E-2</v>
      </c>
      <c r="K299" s="67">
        <f t="shared" si="234"/>
        <v>2.0472371129972522E-2</v>
      </c>
      <c r="L299" s="67">
        <f t="shared" si="234"/>
        <v>2.0446653699545285E-2</v>
      </c>
      <c r="M299" s="67">
        <f t="shared" si="234"/>
        <v>2.0422821458775088E-2</v>
      </c>
      <c r="N299" s="67">
        <f t="shared" si="234"/>
        <v>2.039989710892872E-2</v>
      </c>
      <c r="O299" s="67">
        <f t="shared" si="234"/>
        <v>2.0376634123086653E-2</v>
      </c>
      <c r="P299" s="67">
        <f t="shared" si="234"/>
        <v>2.0351858235339346E-2</v>
      </c>
      <c r="Q299" s="67">
        <f t="shared" si="234"/>
        <v>2.0324776578992065E-2</v>
      </c>
      <c r="R299" s="67">
        <f t="shared" si="234"/>
        <v>2.0295095348171793E-2</v>
      </c>
      <c r="S299" s="67">
        <f t="shared" si="234"/>
        <v>2.0262937488474995E-2</v>
      </c>
      <c r="T299" s="67">
        <f t="shared" si="234"/>
        <v>2.0228666829972437E-2</v>
      </c>
      <c r="U299" s="67">
        <f t="shared" si="234"/>
        <v>2.0192725291112205E-2</v>
      </c>
      <c r="V299" s="67">
        <f t="shared" si="234"/>
        <v>2.0155529856755807E-2</v>
      </c>
      <c r="W299" s="67">
        <f t="shared" si="234"/>
        <v>2.0117426864581074E-2</v>
      </c>
      <c r="X299" s="67">
        <f t="shared" si="234"/>
        <v>2.0078683068839122E-2</v>
      </c>
      <c r="Y299" s="67">
        <f t="shared" si="234"/>
        <v>2.0039494393404078E-2</v>
      </c>
      <c r="Z299" s="67">
        <f t="shared" si="234"/>
        <v>2.0000000375314755E-2</v>
      </c>
      <c r="AA299" s="67">
        <f t="shared" si="234"/>
        <v>1.9960298400957529E-2</v>
      </c>
      <c r="AB299" s="67">
        <f t="shared" si="234"/>
        <v>1.9920455532918577E-2</v>
      </c>
      <c r="AC299" s="67">
        <f t="shared" si="234"/>
        <v>1.9880517541564273E-2</v>
      </c>
    </row>
    <row r="301" spans="1:29" x14ac:dyDescent="0.25">
      <c r="B301" s="40"/>
    </row>
    <row r="324" spans="1:44" s="3" customFormat="1" ht="21" x14ac:dyDescent="0.35">
      <c r="A324" s="2" t="str">
        <f>'Parameter Input'!A182</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Input'!$L$147</f>
        <v>3500000</v>
      </c>
      <c r="C334" s="42">
        <f>'Parameter Input'!$M$147</f>
        <v>3500000</v>
      </c>
      <c r="D334" s="1" t="s">
        <v>15</v>
      </c>
      <c r="L334" s="51">
        <f>'Parameter Input'!$O$147</f>
        <v>12</v>
      </c>
      <c r="M334" s="52">
        <v>0</v>
      </c>
      <c r="N334" s="52">
        <v>1</v>
      </c>
      <c r="O334" s="52">
        <f>'Parameter Input'!$P$147</f>
        <v>0.9</v>
      </c>
      <c r="P334" s="53">
        <f>'Parameter Input'!$Q$147</f>
        <v>0.4</v>
      </c>
      <c r="Q334" s="4">
        <f t="shared" ref="Q334:AR343" si="235">$N334+($M334-$N334)*((1/(1+EXP(-$P334*(Q$9-$L334)))^$O334))</f>
        <v>0.9867978615748374</v>
      </c>
      <c r="R334" s="4">
        <f t="shared" si="235"/>
        <v>0.98114509762858249</v>
      </c>
      <c r="S334" s="4">
        <f t="shared" si="235"/>
        <v>0.97311898315872036</v>
      </c>
      <c r="T334" s="4">
        <f t="shared" si="235"/>
        <v>0.96177484161592774</v>
      </c>
      <c r="U334" s="4">
        <f t="shared" si="235"/>
        <v>0.94584787155511363</v>
      </c>
      <c r="V334" s="4">
        <f t="shared" si="235"/>
        <v>0.92370360150141495</v>
      </c>
      <c r="W334" s="4">
        <f t="shared" si="235"/>
        <v>0.89334463567658451</v>
      </c>
      <c r="X334" s="4">
        <f t="shared" si="235"/>
        <v>0.85254543874327005</v>
      </c>
      <c r="Y334" s="4">
        <f t="shared" si="235"/>
        <v>0.79921300652623883</v>
      </c>
      <c r="Z334" s="4">
        <f t="shared" si="235"/>
        <v>0.73204982249993378</v>
      </c>
      <c r="AA334" s="4">
        <f t="shared" si="235"/>
        <v>0.65145592958786691</v>
      </c>
      <c r="AB334" s="4">
        <f t="shared" si="235"/>
        <v>0.56032247880849573</v>
      </c>
      <c r="AC334" s="4">
        <f t="shared" si="235"/>
        <v>0.46411326873185343</v>
      </c>
      <c r="AD334" s="4">
        <f t="shared" si="235"/>
        <v>0.36979727595523937</v>
      </c>
      <c r="AE334" s="4">
        <f t="shared" si="235"/>
        <v>0.28393948637231203</v>
      </c>
      <c r="AF334" s="4">
        <f t="shared" si="235"/>
        <v>0.21097259161117732</v>
      </c>
      <c r="AG334" s="4">
        <f t="shared" si="235"/>
        <v>0.15253917653798199</v>
      </c>
      <c r="AH334" s="4">
        <f t="shared" si="235"/>
        <v>0.10795188737709993</v>
      </c>
      <c r="AI334" s="4">
        <f t="shared" si="235"/>
        <v>7.5176653938091809E-2</v>
      </c>
      <c r="AJ334" s="4">
        <f t="shared" si="235"/>
        <v>5.1742836177502194E-2</v>
      </c>
      <c r="AK334" s="4">
        <f t="shared" si="235"/>
        <v>3.5319190625345942E-2</v>
      </c>
      <c r="AL334" s="4">
        <f t="shared" si="235"/>
        <v>2.3969442072658165E-2</v>
      </c>
      <c r="AM334" s="4">
        <f t="shared" si="235"/>
        <v>1.6202243558389728E-2</v>
      </c>
      <c r="AN334" s="4">
        <f t="shared" si="235"/>
        <v>1.0922240564108399E-2</v>
      </c>
      <c r="AO334" s="4">
        <f t="shared" si="235"/>
        <v>7.3493212906090566E-3</v>
      </c>
      <c r="AP334" s="4">
        <f t="shared" si="235"/>
        <v>4.9390262185057265E-3</v>
      </c>
      <c r="AQ334" s="4">
        <f t="shared" si="235"/>
        <v>3.3164275492956197E-3</v>
      </c>
      <c r="AR334" s="4">
        <f t="shared" si="235"/>
        <v>2.2256362146679809E-3</v>
      </c>
    </row>
    <row r="335" spans="1:44" x14ac:dyDescent="0.25">
      <c r="A335" s="24" t="s">
        <v>28</v>
      </c>
      <c r="B335" s="60">
        <f>'Parameter Input'!$L$148</f>
        <v>-525000</v>
      </c>
      <c r="C335" s="61">
        <f>'Parameter Input'!$M$148</f>
        <v>-175000</v>
      </c>
      <c r="D335" s="1" t="s">
        <v>15</v>
      </c>
      <c r="L335" s="54">
        <f>'Parameter Input'!$O$148</f>
        <v>12</v>
      </c>
      <c r="M335" s="37">
        <v>0</v>
      </c>
      <c r="N335" s="37">
        <v>1</v>
      </c>
      <c r="O335" s="37">
        <f>'Parameter Input'!$P$148</f>
        <v>0.9</v>
      </c>
      <c r="P335" s="55">
        <f>'Parameter Input'!$Q$148</f>
        <v>0.4</v>
      </c>
      <c r="Q335" s="4">
        <f t="shared" si="235"/>
        <v>0.9867978615748374</v>
      </c>
      <c r="R335" s="4">
        <f t="shared" si="235"/>
        <v>0.98114509762858249</v>
      </c>
      <c r="S335" s="4">
        <f t="shared" si="235"/>
        <v>0.97311898315872036</v>
      </c>
      <c r="T335" s="4">
        <f t="shared" si="235"/>
        <v>0.96177484161592774</v>
      </c>
      <c r="U335" s="4">
        <f t="shared" si="235"/>
        <v>0.94584787155511363</v>
      </c>
      <c r="V335" s="4">
        <f t="shared" si="235"/>
        <v>0.92370360150141495</v>
      </c>
      <c r="W335" s="4">
        <f t="shared" si="235"/>
        <v>0.89334463567658451</v>
      </c>
      <c r="X335" s="4">
        <f t="shared" si="235"/>
        <v>0.85254543874327005</v>
      </c>
      <c r="Y335" s="4">
        <f t="shared" si="235"/>
        <v>0.79921300652623883</v>
      </c>
      <c r="Z335" s="4">
        <f t="shared" si="235"/>
        <v>0.73204982249993378</v>
      </c>
      <c r="AA335" s="4">
        <f t="shared" si="235"/>
        <v>0.65145592958786691</v>
      </c>
      <c r="AB335" s="4">
        <f t="shared" si="235"/>
        <v>0.56032247880849573</v>
      </c>
      <c r="AC335" s="4">
        <f t="shared" si="235"/>
        <v>0.46411326873185343</v>
      </c>
      <c r="AD335" s="4">
        <f t="shared" si="235"/>
        <v>0.36979727595523937</v>
      </c>
      <c r="AE335" s="4">
        <f t="shared" si="235"/>
        <v>0.28393948637231203</v>
      </c>
      <c r="AF335" s="4">
        <f t="shared" si="235"/>
        <v>0.21097259161117732</v>
      </c>
      <c r="AG335" s="4">
        <f t="shared" si="235"/>
        <v>0.15253917653798199</v>
      </c>
      <c r="AH335" s="4">
        <f t="shared" si="235"/>
        <v>0.10795188737709993</v>
      </c>
      <c r="AI335" s="4">
        <f t="shared" si="235"/>
        <v>7.5176653938091809E-2</v>
      </c>
      <c r="AJ335" s="4">
        <f t="shared" si="235"/>
        <v>5.1742836177502194E-2</v>
      </c>
      <c r="AK335" s="4">
        <f t="shared" si="235"/>
        <v>3.5319190625345942E-2</v>
      </c>
      <c r="AL335" s="4">
        <f t="shared" si="235"/>
        <v>2.3969442072658165E-2</v>
      </c>
      <c r="AM335" s="4">
        <f t="shared" si="235"/>
        <v>1.6202243558389728E-2</v>
      </c>
      <c r="AN335" s="4">
        <f t="shared" si="235"/>
        <v>1.0922240564108399E-2</v>
      </c>
      <c r="AO335" s="4">
        <f t="shared" si="235"/>
        <v>7.3493212906090566E-3</v>
      </c>
      <c r="AP335" s="4">
        <f t="shared" si="235"/>
        <v>4.9390262185057265E-3</v>
      </c>
      <c r="AQ335" s="4">
        <f t="shared" si="235"/>
        <v>3.3164275492956197E-3</v>
      </c>
      <c r="AR335" s="4">
        <f t="shared" si="235"/>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35"/>
        <v>0.9867978615748374</v>
      </c>
      <c r="R336" s="4">
        <f t="shared" si="235"/>
        <v>0.98114509762858249</v>
      </c>
      <c r="S336" s="4">
        <f t="shared" si="235"/>
        <v>0.97311898315872036</v>
      </c>
      <c r="T336" s="4">
        <f t="shared" si="235"/>
        <v>0.96177484161592774</v>
      </c>
      <c r="U336" s="4">
        <f t="shared" si="235"/>
        <v>0.94584787155511363</v>
      </c>
      <c r="V336" s="4">
        <f t="shared" si="235"/>
        <v>0.92370360150141495</v>
      </c>
      <c r="W336" s="4">
        <f t="shared" si="235"/>
        <v>0.89334463567658451</v>
      </c>
      <c r="X336" s="4">
        <f t="shared" si="235"/>
        <v>0.85254543874327005</v>
      </c>
      <c r="Y336" s="4">
        <f t="shared" si="235"/>
        <v>0.79921300652623883</v>
      </c>
      <c r="Z336" s="4">
        <f t="shared" si="235"/>
        <v>0.73204982249993378</v>
      </c>
      <c r="AA336" s="4">
        <f t="shared" si="235"/>
        <v>0.65145592958786691</v>
      </c>
      <c r="AB336" s="4">
        <f t="shared" si="235"/>
        <v>0.56032247880849573</v>
      </c>
      <c r="AC336" s="4">
        <f t="shared" si="235"/>
        <v>0.46411326873185343</v>
      </c>
      <c r="AD336" s="4">
        <f t="shared" si="235"/>
        <v>0.36979727595523937</v>
      </c>
      <c r="AE336" s="4">
        <f t="shared" si="235"/>
        <v>0.28393948637231203</v>
      </c>
      <c r="AF336" s="4">
        <f t="shared" si="235"/>
        <v>0.21097259161117732</v>
      </c>
      <c r="AG336" s="4">
        <f t="shared" si="235"/>
        <v>0.15253917653798199</v>
      </c>
      <c r="AH336" s="4">
        <f t="shared" si="235"/>
        <v>0.10795188737709993</v>
      </c>
      <c r="AI336" s="4">
        <f t="shared" si="235"/>
        <v>7.5176653938091809E-2</v>
      </c>
      <c r="AJ336" s="4">
        <f t="shared" si="235"/>
        <v>5.1742836177502194E-2</v>
      </c>
      <c r="AK336" s="4">
        <f t="shared" si="235"/>
        <v>3.5319190625345942E-2</v>
      </c>
      <c r="AL336" s="4">
        <f t="shared" si="235"/>
        <v>2.3969442072658165E-2</v>
      </c>
      <c r="AM336" s="4">
        <f t="shared" si="235"/>
        <v>1.6202243558389728E-2</v>
      </c>
      <c r="AN336" s="4">
        <f t="shared" si="235"/>
        <v>1.0922240564108399E-2</v>
      </c>
      <c r="AO336" s="4">
        <f t="shared" si="235"/>
        <v>7.3493212906090566E-3</v>
      </c>
      <c r="AP336" s="4">
        <f t="shared" si="235"/>
        <v>4.9390262185057265E-3</v>
      </c>
      <c r="AQ336" s="4">
        <f t="shared" si="235"/>
        <v>3.3164275492956197E-3</v>
      </c>
      <c r="AR336" s="4">
        <f t="shared" si="235"/>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35"/>
        <v>0.9867978615748374</v>
      </c>
      <c r="R337" s="4">
        <f t="shared" si="235"/>
        <v>0.98114509762858249</v>
      </c>
      <c r="S337" s="4">
        <f t="shared" si="235"/>
        <v>0.97311898315872036</v>
      </c>
      <c r="T337" s="4">
        <f t="shared" si="235"/>
        <v>0.96177484161592774</v>
      </c>
      <c r="U337" s="4">
        <f t="shared" si="235"/>
        <v>0.94584787155511363</v>
      </c>
      <c r="V337" s="4">
        <f t="shared" si="235"/>
        <v>0.92370360150141495</v>
      </c>
      <c r="W337" s="4">
        <f t="shared" si="235"/>
        <v>0.89334463567658451</v>
      </c>
      <c r="X337" s="4">
        <f t="shared" si="235"/>
        <v>0.85254543874327005</v>
      </c>
      <c r="Y337" s="4">
        <f t="shared" si="235"/>
        <v>0.79921300652623883</v>
      </c>
      <c r="Z337" s="4">
        <f t="shared" si="235"/>
        <v>0.73204982249993378</v>
      </c>
      <c r="AA337" s="4">
        <f t="shared" si="235"/>
        <v>0.65145592958786691</v>
      </c>
      <c r="AB337" s="4">
        <f t="shared" si="235"/>
        <v>0.56032247880849573</v>
      </c>
      <c r="AC337" s="4">
        <f t="shared" si="235"/>
        <v>0.46411326873185343</v>
      </c>
      <c r="AD337" s="4">
        <f t="shared" si="235"/>
        <v>0.36979727595523937</v>
      </c>
      <c r="AE337" s="4">
        <f t="shared" si="235"/>
        <v>0.28393948637231203</v>
      </c>
      <c r="AF337" s="4">
        <f t="shared" si="235"/>
        <v>0.21097259161117732</v>
      </c>
      <c r="AG337" s="4">
        <f t="shared" si="235"/>
        <v>0.15253917653798199</v>
      </c>
      <c r="AH337" s="4">
        <f t="shared" si="235"/>
        <v>0.10795188737709993</v>
      </c>
      <c r="AI337" s="4">
        <f t="shared" si="235"/>
        <v>7.5176653938091809E-2</v>
      </c>
      <c r="AJ337" s="4">
        <f t="shared" si="235"/>
        <v>5.1742836177502194E-2</v>
      </c>
      <c r="AK337" s="4">
        <f t="shared" si="235"/>
        <v>3.5319190625345942E-2</v>
      </c>
      <c r="AL337" s="4">
        <f t="shared" si="235"/>
        <v>2.3969442072658165E-2</v>
      </c>
      <c r="AM337" s="4">
        <f t="shared" si="235"/>
        <v>1.6202243558389728E-2</v>
      </c>
      <c r="AN337" s="4">
        <f t="shared" si="235"/>
        <v>1.0922240564108399E-2</v>
      </c>
      <c r="AO337" s="4">
        <f t="shared" si="235"/>
        <v>7.3493212906090566E-3</v>
      </c>
      <c r="AP337" s="4">
        <f t="shared" si="235"/>
        <v>4.9390262185057265E-3</v>
      </c>
      <c r="AQ337" s="4">
        <f t="shared" si="235"/>
        <v>3.3164275492956197E-3</v>
      </c>
      <c r="AR337" s="4">
        <f t="shared" si="235"/>
        <v>2.2256362146679809E-3</v>
      </c>
    </row>
    <row r="338" spans="1:44" x14ac:dyDescent="0.25">
      <c r="A338" s="24" t="s">
        <v>79</v>
      </c>
      <c r="B338" s="45">
        <f>'Parameter Input'!$L$154</f>
        <v>0.06</v>
      </c>
      <c r="C338" s="46">
        <f>'Parameter Input'!$M$154</f>
        <v>0.06</v>
      </c>
      <c r="D338" s="1" t="s">
        <v>57</v>
      </c>
      <c r="L338" s="54">
        <f>'Parameter Input'!$O$154</f>
        <v>12</v>
      </c>
      <c r="M338" s="37">
        <v>0</v>
      </c>
      <c r="N338" s="37">
        <v>1</v>
      </c>
      <c r="O338" s="37">
        <f>'Parameter Input'!$P$154</f>
        <v>0.9</v>
      </c>
      <c r="P338" s="55">
        <f>'Parameter Input'!$Q$154</f>
        <v>0.4</v>
      </c>
      <c r="Q338" s="4">
        <f t="shared" si="235"/>
        <v>0.9867978615748374</v>
      </c>
      <c r="R338" s="4">
        <f t="shared" si="235"/>
        <v>0.98114509762858249</v>
      </c>
      <c r="S338" s="4">
        <f t="shared" si="235"/>
        <v>0.97311898315872036</v>
      </c>
      <c r="T338" s="4">
        <f t="shared" si="235"/>
        <v>0.96177484161592774</v>
      </c>
      <c r="U338" s="4">
        <f t="shared" si="235"/>
        <v>0.94584787155511363</v>
      </c>
      <c r="V338" s="4">
        <f t="shared" si="235"/>
        <v>0.92370360150141495</v>
      </c>
      <c r="W338" s="4">
        <f t="shared" si="235"/>
        <v>0.89334463567658451</v>
      </c>
      <c r="X338" s="4">
        <f t="shared" si="235"/>
        <v>0.85254543874327005</v>
      </c>
      <c r="Y338" s="4">
        <f t="shared" si="235"/>
        <v>0.79921300652623883</v>
      </c>
      <c r="Z338" s="4">
        <f t="shared" si="235"/>
        <v>0.73204982249993378</v>
      </c>
      <c r="AA338" s="4">
        <f t="shared" si="235"/>
        <v>0.65145592958786691</v>
      </c>
      <c r="AB338" s="4">
        <f t="shared" si="235"/>
        <v>0.56032247880849573</v>
      </c>
      <c r="AC338" s="4">
        <f t="shared" si="235"/>
        <v>0.46411326873185343</v>
      </c>
      <c r="AD338" s="4">
        <f t="shared" si="235"/>
        <v>0.36979727595523937</v>
      </c>
      <c r="AE338" s="4">
        <f t="shared" si="235"/>
        <v>0.28393948637231203</v>
      </c>
      <c r="AF338" s="4">
        <f t="shared" si="235"/>
        <v>0.21097259161117732</v>
      </c>
      <c r="AG338" s="4">
        <f t="shared" si="235"/>
        <v>0.15253917653798199</v>
      </c>
      <c r="AH338" s="4">
        <f t="shared" si="235"/>
        <v>0.10795188737709993</v>
      </c>
      <c r="AI338" s="4">
        <f t="shared" si="235"/>
        <v>7.5176653938091809E-2</v>
      </c>
      <c r="AJ338" s="4">
        <f t="shared" si="235"/>
        <v>5.1742836177502194E-2</v>
      </c>
      <c r="AK338" s="4">
        <f t="shared" si="235"/>
        <v>3.5319190625345942E-2</v>
      </c>
      <c r="AL338" s="4">
        <f t="shared" si="235"/>
        <v>2.3969442072658165E-2</v>
      </c>
      <c r="AM338" s="4">
        <f t="shared" si="235"/>
        <v>1.6202243558389728E-2</v>
      </c>
      <c r="AN338" s="4">
        <f t="shared" si="235"/>
        <v>1.0922240564108399E-2</v>
      </c>
      <c r="AO338" s="4">
        <f t="shared" si="235"/>
        <v>7.3493212906090566E-3</v>
      </c>
      <c r="AP338" s="4">
        <f t="shared" si="235"/>
        <v>4.9390262185057265E-3</v>
      </c>
      <c r="AQ338" s="4">
        <f t="shared" si="235"/>
        <v>3.3164275492956197E-3</v>
      </c>
      <c r="AR338" s="4">
        <f t="shared" si="235"/>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35"/>
        <v>0.9867978615748374</v>
      </c>
      <c r="R339" s="4">
        <f t="shared" si="235"/>
        <v>0.98114509762858249</v>
      </c>
      <c r="S339" s="4">
        <f t="shared" si="235"/>
        <v>0.97311898315872036</v>
      </c>
      <c r="T339" s="4">
        <f t="shared" si="235"/>
        <v>0.96177484161592774</v>
      </c>
      <c r="U339" s="4">
        <f t="shared" si="235"/>
        <v>0.94584787155511363</v>
      </c>
      <c r="V339" s="4">
        <f t="shared" si="235"/>
        <v>0.92370360150141495</v>
      </c>
      <c r="W339" s="4">
        <f t="shared" si="235"/>
        <v>0.89334463567658451</v>
      </c>
      <c r="X339" s="4">
        <f t="shared" si="235"/>
        <v>0.85254543874327005</v>
      </c>
      <c r="Y339" s="4">
        <f t="shared" si="235"/>
        <v>0.79921300652623883</v>
      </c>
      <c r="Z339" s="4">
        <f t="shared" si="235"/>
        <v>0.73204982249993378</v>
      </c>
      <c r="AA339" s="4">
        <f t="shared" si="235"/>
        <v>0.65145592958786691</v>
      </c>
      <c r="AB339" s="4">
        <f t="shared" si="235"/>
        <v>0.56032247880849573</v>
      </c>
      <c r="AC339" s="4">
        <f t="shared" si="235"/>
        <v>0.46411326873185343</v>
      </c>
      <c r="AD339" s="4">
        <f t="shared" si="235"/>
        <v>0.36979727595523937</v>
      </c>
      <c r="AE339" s="4">
        <f t="shared" si="235"/>
        <v>0.28393948637231203</v>
      </c>
      <c r="AF339" s="4">
        <f t="shared" si="235"/>
        <v>0.21097259161117732</v>
      </c>
      <c r="AG339" s="4">
        <f t="shared" si="235"/>
        <v>0.15253917653798199</v>
      </c>
      <c r="AH339" s="4">
        <f t="shared" si="235"/>
        <v>0.10795188737709993</v>
      </c>
      <c r="AI339" s="4">
        <f t="shared" si="235"/>
        <v>7.5176653938091809E-2</v>
      </c>
      <c r="AJ339" s="4">
        <f t="shared" si="235"/>
        <v>5.1742836177502194E-2</v>
      </c>
      <c r="AK339" s="4">
        <f t="shared" si="235"/>
        <v>3.5319190625345942E-2</v>
      </c>
      <c r="AL339" s="4">
        <f t="shared" si="235"/>
        <v>2.3969442072658165E-2</v>
      </c>
      <c r="AM339" s="4">
        <f t="shared" si="235"/>
        <v>1.6202243558389728E-2</v>
      </c>
      <c r="AN339" s="4">
        <f t="shared" si="235"/>
        <v>1.0922240564108399E-2</v>
      </c>
      <c r="AO339" s="4">
        <f t="shared" si="235"/>
        <v>7.3493212906090566E-3</v>
      </c>
      <c r="AP339" s="4">
        <f t="shared" si="235"/>
        <v>4.9390262185057265E-3</v>
      </c>
      <c r="AQ339" s="4">
        <f t="shared" si="235"/>
        <v>3.3164275492956197E-3</v>
      </c>
      <c r="AR339" s="4">
        <f t="shared" si="235"/>
        <v>2.2256362146679809E-3</v>
      </c>
    </row>
    <row r="340" spans="1:44" x14ac:dyDescent="0.25">
      <c r="A340" s="24" t="s">
        <v>52</v>
      </c>
      <c r="B340" s="43">
        <f>'Parameter Input'!$L$150</f>
        <v>1050000</v>
      </c>
      <c r="C340" s="44">
        <f>'Parameter Input'!$M$150</f>
        <v>1050000</v>
      </c>
      <c r="D340" s="1" t="s">
        <v>38</v>
      </c>
      <c r="L340" s="54">
        <f>'Parameter Input'!$O$150</f>
        <v>12</v>
      </c>
      <c r="M340" s="37">
        <v>0</v>
      </c>
      <c r="N340" s="37">
        <v>1</v>
      </c>
      <c r="O340" s="37">
        <f>'Parameter Input'!$P$150</f>
        <v>0.9</v>
      </c>
      <c r="P340" s="55">
        <f>'Parameter Input'!$Q$150</f>
        <v>0.4</v>
      </c>
      <c r="Q340" s="4">
        <f t="shared" si="235"/>
        <v>0.9867978615748374</v>
      </c>
      <c r="R340" s="4">
        <f t="shared" si="235"/>
        <v>0.98114509762858249</v>
      </c>
      <c r="S340" s="4">
        <f t="shared" si="235"/>
        <v>0.97311898315872036</v>
      </c>
      <c r="T340" s="4">
        <f t="shared" si="235"/>
        <v>0.96177484161592774</v>
      </c>
      <c r="U340" s="4">
        <f t="shared" si="235"/>
        <v>0.94584787155511363</v>
      </c>
      <c r="V340" s="4">
        <f t="shared" si="235"/>
        <v>0.92370360150141495</v>
      </c>
      <c r="W340" s="4">
        <f t="shared" si="235"/>
        <v>0.89334463567658451</v>
      </c>
      <c r="X340" s="4">
        <f t="shared" si="235"/>
        <v>0.85254543874327005</v>
      </c>
      <c r="Y340" s="4">
        <f t="shared" si="235"/>
        <v>0.79921300652623883</v>
      </c>
      <c r="Z340" s="4">
        <f t="shared" si="235"/>
        <v>0.73204982249993378</v>
      </c>
      <c r="AA340" s="4">
        <f t="shared" si="235"/>
        <v>0.65145592958786691</v>
      </c>
      <c r="AB340" s="4">
        <f t="shared" si="235"/>
        <v>0.56032247880849573</v>
      </c>
      <c r="AC340" s="4">
        <f t="shared" si="235"/>
        <v>0.46411326873185343</v>
      </c>
      <c r="AD340" s="4">
        <f t="shared" si="235"/>
        <v>0.36979727595523937</v>
      </c>
      <c r="AE340" s="4">
        <f t="shared" si="235"/>
        <v>0.28393948637231203</v>
      </c>
      <c r="AF340" s="4">
        <f t="shared" si="235"/>
        <v>0.21097259161117732</v>
      </c>
      <c r="AG340" s="4">
        <f t="shared" si="235"/>
        <v>0.15253917653798199</v>
      </c>
      <c r="AH340" s="4">
        <f t="shared" si="235"/>
        <v>0.10795188737709993</v>
      </c>
      <c r="AI340" s="4">
        <f t="shared" si="235"/>
        <v>7.5176653938091809E-2</v>
      </c>
      <c r="AJ340" s="4">
        <f t="shared" si="235"/>
        <v>5.1742836177502194E-2</v>
      </c>
      <c r="AK340" s="4">
        <f t="shared" si="235"/>
        <v>3.5319190625345942E-2</v>
      </c>
      <c r="AL340" s="4">
        <f t="shared" si="235"/>
        <v>2.3969442072658165E-2</v>
      </c>
      <c r="AM340" s="4">
        <f t="shared" si="235"/>
        <v>1.6202243558389728E-2</v>
      </c>
      <c r="AN340" s="4">
        <f t="shared" si="235"/>
        <v>1.0922240564108399E-2</v>
      </c>
      <c r="AO340" s="4">
        <f t="shared" si="235"/>
        <v>7.3493212906090566E-3</v>
      </c>
      <c r="AP340" s="4">
        <f t="shared" si="235"/>
        <v>4.9390262185057265E-3</v>
      </c>
      <c r="AQ340" s="4">
        <f t="shared" si="235"/>
        <v>3.3164275492956197E-3</v>
      </c>
      <c r="AR340" s="4">
        <f t="shared" si="235"/>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35"/>
        <v>0.9867978615748374</v>
      </c>
      <c r="R341" s="4">
        <f t="shared" si="235"/>
        <v>0.98114509762858249</v>
      </c>
      <c r="S341" s="4">
        <f t="shared" si="235"/>
        <v>0.97311898315872036</v>
      </c>
      <c r="T341" s="4">
        <f t="shared" si="235"/>
        <v>0.96177484161592774</v>
      </c>
      <c r="U341" s="4">
        <f t="shared" si="235"/>
        <v>0.94584787155511363</v>
      </c>
      <c r="V341" s="4">
        <f t="shared" si="235"/>
        <v>0.92370360150141495</v>
      </c>
      <c r="W341" s="4">
        <f t="shared" si="235"/>
        <v>0.89334463567658451</v>
      </c>
      <c r="X341" s="4">
        <f t="shared" si="235"/>
        <v>0.85254543874327005</v>
      </c>
      <c r="Y341" s="4">
        <f t="shared" si="235"/>
        <v>0.79921300652623883</v>
      </c>
      <c r="Z341" s="4">
        <f t="shared" si="235"/>
        <v>0.73204982249993378</v>
      </c>
      <c r="AA341" s="4">
        <f t="shared" si="235"/>
        <v>0.65145592958786691</v>
      </c>
      <c r="AB341" s="4">
        <f t="shared" si="235"/>
        <v>0.56032247880849573</v>
      </c>
      <c r="AC341" s="4">
        <f t="shared" si="235"/>
        <v>0.46411326873185343</v>
      </c>
      <c r="AD341" s="4">
        <f t="shared" si="235"/>
        <v>0.36979727595523937</v>
      </c>
      <c r="AE341" s="4">
        <f t="shared" si="235"/>
        <v>0.28393948637231203</v>
      </c>
      <c r="AF341" s="4">
        <f t="shared" si="235"/>
        <v>0.21097259161117732</v>
      </c>
      <c r="AG341" s="4">
        <f t="shared" si="235"/>
        <v>0.15253917653798199</v>
      </c>
      <c r="AH341" s="4">
        <f t="shared" si="235"/>
        <v>0.10795188737709993</v>
      </c>
      <c r="AI341" s="4">
        <f t="shared" si="235"/>
        <v>7.5176653938091809E-2</v>
      </c>
      <c r="AJ341" s="4">
        <f t="shared" si="235"/>
        <v>5.1742836177502194E-2</v>
      </c>
      <c r="AK341" s="4">
        <f t="shared" si="235"/>
        <v>3.5319190625345942E-2</v>
      </c>
      <c r="AL341" s="4">
        <f t="shared" si="235"/>
        <v>2.3969442072658165E-2</v>
      </c>
      <c r="AM341" s="4">
        <f t="shared" si="235"/>
        <v>1.6202243558389728E-2</v>
      </c>
      <c r="AN341" s="4">
        <f t="shared" si="235"/>
        <v>1.0922240564108399E-2</v>
      </c>
      <c r="AO341" s="4">
        <f t="shared" si="235"/>
        <v>7.3493212906090566E-3</v>
      </c>
      <c r="AP341" s="4">
        <f t="shared" si="235"/>
        <v>4.9390262185057265E-3</v>
      </c>
      <c r="AQ341" s="4">
        <f t="shared" si="235"/>
        <v>3.3164275492956197E-3</v>
      </c>
      <c r="AR341" s="4">
        <f t="shared" si="235"/>
        <v>2.2256362146679809E-3</v>
      </c>
    </row>
    <row r="342" spans="1:44" x14ac:dyDescent="0.25">
      <c r="A342" s="24" t="s">
        <v>59</v>
      </c>
      <c r="B342" s="47">
        <f>'Parameter Input'!$L$151</f>
        <v>76.777599999999993</v>
      </c>
      <c r="C342" s="48">
        <f>'Parameter Input'!$M$151</f>
        <v>76.777599999999993</v>
      </c>
      <c r="D342" s="1" t="s">
        <v>60</v>
      </c>
      <c r="L342" s="54">
        <f>'Parameter Input'!$O$151</f>
        <v>12</v>
      </c>
      <c r="M342" s="37">
        <v>0</v>
      </c>
      <c r="N342" s="37">
        <v>1</v>
      </c>
      <c r="O342" s="37">
        <f>'Parameter Input'!$P$151</f>
        <v>0.9</v>
      </c>
      <c r="P342" s="55">
        <f>'Parameter Input'!$Q$151</f>
        <v>0.4</v>
      </c>
      <c r="Q342" s="4">
        <f t="shared" si="235"/>
        <v>0.9867978615748374</v>
      </c>
      <c r="R342" s="4">
        <f t="shared" si="235"/>
        <v>0.98114509762858249</v>
      </c>
      <c r="S342" s="4">
        <f t="shared" si="235"/>
        <v>0.97311898315872036</v>
      </c>
      <c r="T342" s="4">
        <f t="shared" si="235"/>
        <v>0.96177484161592774</v>
      </c>
      <c r="U342" s="4">
        <f t="shared" si="235"/>
        <v>0.94584787155511363</v>
      </c>
      <c r="V342" s="4">
        <f t="shared" si="235"/>
        <v>0.92370360150141495</v>
      </c>
      <c r="W342" s="4">
        <f t="shared" si="235"/>
        <v>0.89334463567658451</v>
      </c>
      <c r="X342" s="4">
        <f t="shared" si="235"/>
        <v>0.85254543874327005</v>
      </c>
      <c r="Y342" s="4">
        <f t="shared" si="235"/>
        <v>0.79921300652623883</v>
      </c>
      <c r="Z342" s="4">
        <f t="shared" si="235"/>
        <v>0.73204982249993378</v>
      </c>
      <c r="AA342" s="4">
        <f t="shared" si="235"/>
        <v>0.65145592958786691</v>
      </c>
      <c r="AB342" s="4">
        <f t="shared" si="235"/>
        <v>0.56032247880849573</v>
      </c>
      <c r="AC342" s="4">
        <f t="shared" si="235"/>
        <v>0.46411326873185343</v>
      </c>
      <c r="AD342" s="4">
        <f t="shared" si="235"/>
        <v>0.36979727595523937</v>
      </c>
      <c r="AE342" s="4">
        <f t="shared" si="235"/>
        <v>0.28393948637231203</v>
      </c>
      <c r="AF342" s="4">
        <f t="shared" si="235"/>
        <v>0.21097259161117732</v>
      </c>
      <c r="AG342" s="4">
        <f t="shared" si="235"/>
        <v>0.15253917653798199</v>
      </c>
      <c r="AH342" s="4">
        <f t="shared" si="235"/>
        <v>0.10795188737709993</v>
      </c>
      <c r="AI342" s="4">
        <f t="shared" si="235"/>
        <v>7.5176653938091809E-2</v>
      </c>
      <c r="AJ342" s="4">
        <f t="shared" si="235"/>
        <v>5.1742836177502194E-2</v>
      </c>
      <c r="AK342" s="4">
        <f t="shared" si="235"/>
        <v>3.5319190625345942E-2</v>
      </c>
      <c r="AL342" s="4">
        <f t="shared" si="235"/>
        <v>2.3969442072658165E-2</v>
      </c>
      <c r="AM342" s="4">
        <f t="shared" si="235"/>
        <v>1.6202243558389728E-2</v>
      </c>
      <c r="AN342" s="4">
        <f t="shared" si="235"/>
        <v>1.0922240564108399E-2</v>
      </c>
      <c r="AO342" s="4">
        <f t="shared" si="235"/>
        <v>7.3493212906090566E-3</v>
      </c>
      <c r="AP342" s="4">
        <f t="shared" si="235"/>
        <v>4.9390262185057265E-3</v>
      </c>
      <c r="AQ342" s="4">
        <f t="shared" si="235"/>
        <v>3.3164275492956197E-3</v>
      </c>
      <c r="AR342" s="4">
        <f t="shared" si="235"/>
        <v>2.2256362146679809E-3</v>
      </c>
    </row>
    <row r="343" spans="1:44" x14ac:dyDescent="0.25">
      <c r="A343" s="24" t="s">
        <v>67</v>
      </c>
      <c r="B343" s="45">
        <f>'Parameter Input'!$L$152</f>
        <v>0.1</v>
      </c>
      <c r="C343" s="46">
        <f>'Parameter Input'!$M$152</f>
        <v>0.1</v>
      </c>
      <c r="D343" s="1" t="s">
        <v>68</v>
      </c>
      <c r="L343" s="54">
        <f>'Parameter Input'!$O$152</f>
        <v>12</v>
      </c>
      <c r="M343" s="37">
        <v>0</v>
      </c>
      <c r="N343" s="37">
        <v>1</v>
      </c>
      <c r="O343" s="37">
        <f>'Parameter Input'!$P$152</f>
        <v>0.9</v>
      </c>
      <c r="P343" s="55">
        <f>'Parameter Input'!$Q$152</f>
        <v>0.4</v>
      </c>
      <c r="Q343" s="4">
        <f t="shared" si="235"/>
        <v>0.9867978615748374</v>
      </c>
      <c r="R343" s="4">
        <f t="shared" ref="R343:AR343" si="236">$N343+($M343-$N343)*((1/(1+EXP(-$P343*(R$9-$L343)))^$O343))</f>
        <v>0.98114509762858249</v>
      </c>
      <c r="S343" s="4">
        <f t="shared" si="236"/>
        <v>0.97311898315872036</v>
      </c>
      <c r="T343" s="4">
        <f t="shared" si="236"/>
        <v>0.96177484161592774</v>
      </c>
      <c r="U343" s="4">
        <f t="shared" si="236"/>
        <v>0.94584787155511363</v>
      </c>
      <c r="V343" s="4">
        <f t="shared" si="236"/>
        <v>0.92370360150141495</v>
      </c>
      <c r="W343" s="4">
        <f t="shared" si="236"/>
        <v>0.89334463567658451</v>
      </c>
      <c r="X343" s="4">
        <f t="shared" si="236"/>
        <v>0.85254543874327005</v>
      </c>
      <c r="Y343" s="4">
        <f t="shared" si="236"/>
        <v>0.79921300652623883</v>
      </c>
      <c r="Z343" s="4">
        <f t="shared" si="236"/>
        <v>0.73204982249993378</v>
      </c>
      <c r="AA343" s="4">
        <f t="shared" si="236"/>
        <v>0.65145592958786691</v>
      </c>
      <c r="AB343" s="4">
        <f t="shared" si="236"/>
        <v>0.56032247880849573</v>
      </c>
      <c r="AC343" s="4">
        <f t="shared" si="236"/>
        <v>0.46411326873185343</v>
      </c>
      <c r="AD343" s="4">
        <f t="shared" si="236"/>
        <v>0.36979727595523937</v>
      </c>
      <c r="AE343" s="4">
        <f t="shared" si="236"/>
        <v>0.28393948637231203</v>
      </c>
      <c r="AF343" s="4">
        <f t="shared" si="236"/>
        <v>0.21097259161117732</v>
      </c>
      <c r="AG343" s="4">
        <f t="shared" si="236"/>
        <v>0.15253917653798199</v>
      </c>
      <c r="AH343" s="4">
        <f t="shared" si="236"/>
        <v>0.10795188737709993</v>
      </c>
      <c r="AI343" s="4">
        <f t="shared" si="236"/>
        <v>7.5176653938091809E-2</v>
      </c>
      <c r="AJ343" s="4">
        <f t="shared" si="236"/>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Input'!$L$149</f>
        <v>20</v>
      </c>
      <c r="C345" s="44">
        <f>'Parameter Input'!$M$149</f>
        <v>20</v>
      </c>
      <c r="D345" s="1" t="s">
        <v>42</v>
      </c>
      <c r="L345" s="54">
        <f>'Parameter Input'!$O$149</f>
        <v>12</v>
      </c>
      <c r="M345" s="37">
        <v>0</v>
      </c>
      <c r="N345" s="37">
        <v>1</v>
      </c>
      <c r="O345" s="37">
        <f>'Parameter Input'!$P$149</f>
        <v>0.9</v>
      </c>
      <c r="P345" s="55">
        <f>'Parameter Input'!$Q$149</f>
        <v>0.4</v>
      </c>
      <c r="Q345" s="4">
        <f t="shared" ref="Q345:AF350" si="238">$N345+($M345-$N345)*((1/(1+EXP(-$P345*(Q$9-$L345)))^$O345))</f>
        <v>0.9867978615748374</v>
      </c>
      <c r="R345" s="4">
        <f t="shared" si="238"/>
        <v>0.98114509762858249</v>
      </c>
      <c r="S345" s="4">
        <f t="shared" si="238"/>
        <v>0.97311898315872036</v>
      </c>
      <c r="T345" s="4">
        <f t="shared" si="238"/>
        <v>0.96177484161592774</v>
      </c>
      <c r="U345" s="4">
        <f t="shared" si="238"/>
        <v>0.94584787155511363</v>
      </c>
      <c r="V345" s="4">
        <f t="shared" si="238"/>
        <v>0.92370360150141495</v>
      </c>
      <c r="W345" s="4">
        <f t="shared" si="238"/>
        <v>0.89334463567658451</v>
      </c>
      <c r="X345" s="4">
        <f t="shared" si="238"/>
        <v>0.85254543874327005</v>
      </c>
      <c r="Y345" s="4">
        <f t="shared" si="238"/>
        <v>0.79921300652623883</v>
      </c>
      <c r="Z345" s="4">
        <f t="shared" si="238"/>
        <v>0.73204982249993378</v>
      </c>
      <c r="AA345" s="4">
        <f t="shared" si="238"/>
        <v>0.65145592958786691</v>
      </c>
      <c r="AB345" s="4">
        <f t="shared" si="238"/>
        <v>0.56032247880849573</v>
      </c>
      <c r="AC345" s="4">
        <f t="shared" si="238"/>
        <v>0.46411326873185343</v>
      </c>
      <c r="AD345" s="4">
        <f t="shared" si="238"/>
        <v>0.36979727595523937</v>
      </c>
      <c r="AE345" s="4">
        <f t="shared" si="238"/>
        <v>0.28393948637231203</v>
      </c>
      <c r="AF345" s="4">
        <f t="shared" si="238"/>
        <v>0.21097259161117732</v>
      </c>
      <c r="AG345" s="4">
        <f t="shared" ref="AG345:AI350" si="239">$N345+($M345-$N345)*((1/(1+EXP(-$P345*(AG$9-$L345)))^$O345))</f>
        <v>0.15253917653798199</v>
      </c>
      <c r="AH345" s="4">
        <f t="shared" si="239"/>
        <v>0.10795188737709993</v>
      </c>
      <c r="AI345" s="4">
        <f t="shared" si="239"/>
        <v>7.5176653938091809E-2</v>
      </c>
      <c r="AJ345" s="4">
        <f t="shared" ref="AJ345:AR350" si="240">$N345+($M345-$N345)*((1/(1+EXP(-$P345*(AJ$9-$L345)))^$O345))</f>
        <v>5.1742836177502194E-2</v>
      </c>
      <c r="AK345" s="4">
        <f t="shared" si="240"/>
        <v>3.5319190625345942E-2</v>
      </c>
      <c r="AL345" s="4">
        <f t="shared" si="240"/>
        <v>2.3969442072658165E-2</v>
      </c>
      <c r="AM345" s="4">
        <f t="shared" si="240"/>
        <v>1.6202243558389728E-2</v>
      </c>
      <c r="AN345" s="4">
        <f t="shared" si="240"/>
        <v>1.0922240564108399E-2</v>
      </c>
      <c r="AO345" s="4">
        <f t="shared" si="240"/>
        <v>7.3493212906090566E-3</v>
      </c>
      <c r="AP345" s="4">
        <f t="shared" si="240"/>
        <v>4.9390262185057265E-3</v>
      </c>
      <c r="AQ345" s="4">
        <f t="shared" si="240"/>
        <v>3.3164275492956197E-3</v>
      </c>
      <c r="AR345" s="4">
        <f t="shared" si="240"/>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9"/>
        <v>0.15253917653798199</v>
      </c>
      <c r="AH346" s="4">
        <f t="shared" si="239"/>
        <v>0.10795188737709993</v>
      </c>
      <c r="AI346" s="4">
        <f t="shared" si="239"/>
        <v>7.5176653938091809E-2</v>
      </c>
      <c r="AJ346" s="4">
        <f t="shared" si="240"/>
        <v>5.1742836177502194E-2</v>
      </c>
      <c r="AK346" s="4">
        <f t="shared" si="240"/>
        <v>3.5319190625345942E-2</v>
      </c>
      <c r="AL346" s="4">
        <f t="shared" si="240"/>
        <v>2.3969442072658165E-2</v>
      </c>
      <c r="AM346" s="4">
        <f t="shared" si="240"/>
        <v>1.6202243558389728E-2</v>
      </c>
      <c r="AN346" s="4">
        <f t="shared" si="240"/>
        <v>1.0922240564108399E-2</v>
      </c>
      <c r="AO346" s="4">
        <f t="shared" si="240"/>
        <v>7.3493212906090566E-3</v>
      </c>
      <c r="AP346" s="4">
        <f t="shared" si="240"/>
        <v>4.9390262185057265E-3</v>
      </c>
      <c r="AQ346" s="4">
        <f t="shared" si="240"/>
        <v>3.3164275492956197E-3</v>
      </c>
      <c r="AR346" s="4">
        <f t="shared" si="240"/>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9"/>
        <v>0.15253917653798199</v>
      </c>
      <c r="AH347" s="4">
        <f t="shared" si="239"/>
        <v>0.10795188737709993</v>
      </c>
      <c r="AI347" s="4">
        <f t="shared" si="239"/>
        <v>7.5176653938091809E-2</v>
      </c>
      <c r="AJ347" s="4">
        <f t="shared" si="240"/>
        <v>5.1742836177502194E-2</v>
      </c>
      <c r="AK347" s="4">
        <f t="shared" si="240"/>
        <v>3.5319190625345942E-2</v>
      </c>
      <c r="AL347" s="4">
        <f t="shared" si="240"/>
        <v>2.3969442072658165E-2</v>
      </c>
      <c r="AM347" s="4">
        <f t="shared" si="240"/>
        <v>1.6202243558389728E-2</v>
      </c>
      <c r="AN347" s="4">
        <f t="shared" si="240"/>
        <v>1.0922240564108399E-2</v>
      </c>
      <c r="AO347" s="4">
        <f t="shared" si="240"/>
        <v>7.3493212906090566E-3</v>
      </c>
      <c r="AP347" s="4">
        <f t="shared" si="240"/>
        <v>4.9390262185057265E-3</v>
      </c>
      <c r="AQ347" s="4">
        <f t="shared" si="240"/>
        <v>3.3164275492956197E-3</v>
      </c>
      <c r="AR347" s="4">
        <f t="shared" si="240"/>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9"/>
        <v>0.15253917653798199</v>
      </c>
      <c r="AH348" s="4">
        <f t="shared" si="239"/>
        <v>0.10795188737709993</v>
      </c>
      <c r="AI348" s="4">
        <f t="shared" si="239"/>
        <v>7.5176653938091809E-2</v>
      </c>
      <c r="AJ348" s="4">
        <f t="shared" si="240"/>
        <v>5.1742836177502194E-2</v>
      </c>
      <c r="AK348" s="4">
        <f t="shared" si="240"/>
        <v>3.5319190625345942E-2</v>
      </c>
      <c r="AL348" s="4">
        <f t="shared" si="240"/>
        <v>2.3969442072658165E-2</v>
      </c>
      <c r="AM348" s="4">
        <f t="shared" si="240"/>
        <v>1.6202243558389728E-2</v>
      </c>
      <c r="AN348" s="4">
        <f t="shared" si="240"/>
        <v>1.0922240564108399E-2</v>
      </c>
      <c r="AO348" s="4">
        <f t="shared" si="240"/>
        <v>7.3493212906090566E-3</v>
      </c>
      <c r="AP348" s="4">
        <f t="shared" si="240"/>
        <v>4.9390262185057265E-3</v>
      </c>
      <c r="AQ348" s="4">
        <f t="shared" si="240"/>
        <v>3.3164275492956197E-3</v>
      </c>
      <c r="AR348" s="4">
        <f t="shared" si="240"/>
        <v>2.2256362146679809E-3</v>
      </c>
    </row>
    <row r="349" spans="1:44" x14ac:dyDescent="0.25">
      <c r="A349" s="24" t="s">
        <v>73</v>
      </c>
      <c r="B349" s="72">
        <f>'Parameter Input'!$L$153</f>
        <v>0</v>
      </c>
      <c r="C349" s="73">
        <f>'Parameter Input'!$M$153</f>
        <v>0</v>
      </c>
      <c r="D349" s="1" t="s">
        <v>57</v>
      </c>
      <c r="L349" s="54">
        <f>'Parameter Input'!$O$153</f>
        <v>12</v>
      </c>
      <c r="M349" s="37">
        <v>0</v>
      </c>
      <c r="N349" s="37">
        <v>1</v>
      </c>
      <c r="O349" s="37">
        <f>'Parameter Input'!$P$153</f>
        <v>0.9</v>
      </c>
      <c r="P349" s="55">
        <f>'Parameter Input'!$Q$153</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9"/>
        <v>0.15253917653798199</v>
      </c>
      <c r="AH349" s="4">
        <f t="shared" si="239"/>
        <v>0.10795188737709993</v>
      </c>
      <c r="AI349" s="4">
        <f t="shared" si="239"/>
        <v>7.5176653938091809E-2</v>
      </c>
      <c r="AJ349" s="4">
        <f t="shared" si="240"/>
        <v>5.1742836177502194E-2</v>
      </c>
      <c r="AK349" s="4">
        <f t="shared" si="240"/>
        <v>3.5319190625345942E-2</v>
      </c>
      <c r="AL349" s="4">
        <f t="shared" si="240"/>
        <v>2.3969442072658165E-2</v>
      </c>
      <c r="AM349" s="4">
        <f t="shared" si="240"/>
        <v>1.6202243558389728E-2</v>
      </c>
      <c r="AN349" s="4">
        <f t="shared" si="240"/>
        <v>1.0922240564108399E-2</v>
      </c>
      <c r="AO349" s="4">
        <f t="shared" si="240"/>
        <v>7.3493212906090566E-3</v>
      </c>
      <c r="AP349" s="4">
        <f t="shared" si="240"/>
        <v>4.9390262185057265E-3</v>
      </c>
      <c r="AQ349" s="4">
        <f t="shared" si="240"/>
        <v>3.3164275492956197E-3</v>
      </c>
      <c r="AR349" s="4">
        <f t="shared" si="240"/>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9"/>
        <v>0.15253917653798199</v>
      </c>
      <c r="AH350" s="4">
        <f t="shared" si="239"/>
        <v>0.10795188737709993</v>
      </c>
      <c r="AI350" s="4">
        <f t="shared" si="239"/>
        <v>7.5176653938091809E-2</v>
      </c>
      <c r="AJ350" s="4">
        <f t="shared" si="240"/>
        <v>5.1742836177502194E-2</v>
      </c>
      <c r="AK350" s="4">
        <f t="shared" si="240"/>
        <v>3.5319190625345942E-2</v>
      </c>
      <c r="AL350" s="4">
        <f t="shared" si="240"/>
        <v>2.3969442072658165E-2</v>
      </c>
      <c r="AM350" s="4">
        <f t="shared" si="240"/>
        <v>1.6202243558389728E-2</v>
      </c>
      <c r="AN350" s="4">
        <f t="shared" si="240"/>
        <v>1.0922240564108399E-2</v>
      </c>
      <c r="AO350" s="4">
        <f t="shared" si="240"/>
        <v>7.3493212906090566E-3</v>
      </c>
      <c r="AP350" s="4">
        <f t="shared" si="240"/>
        <v>4.9390262185057265E-3</v>
      </c>
      <c r="AQ350" s="4">
        <f t="shared" si="240"/>
        <v>3.3164275492956197E-3</v>
      </c>
      <c r="AR350" s="4">
        <f t="shared" si="24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1">A334</f>
        <v>Capex vehicle</v>
      </c>
      <c r="B354" s="62">
        <f t="shared" ref="B354:B362" si="242">$B334+($C334-$B334)*(1-Q334)</f>
        <v>3500000</v>
      </c>
      <c r="C354" s="62">
        <f t="shared" ref="C354:C362" si="243">$B334+($C334-$B334)*(1-R334)</f>
        <v>3500000</v>
      </c>
      <c r="D354" s="62">
        <f t="shared" ref="D354:D362" si="244">$B334+($C334-$B334)*(1-S334)</f>
        <v>3500000</v>
      </c>
      <c r="E354" s="62">
        <f t="shared" ref="E354:E362" si="245">$B334+($C334-$B334)*(1-T334)</f>
        <v>3500000</v>
      </c>
      <c r="F354" s="62">
        <f t="shared" ref="F354:F362" si="246">$B334+($C334-$B334)*(1-U334)</f>
        <v>3500000</v>
      </c>
      <c r="G354" s="62">
        <f t="shared" ref="G354:G362" si="247">$B334+($C334-$B334)*(1-V334)</f>
        <v>3500000</v>
      </c>
      <c r="H354" s="62">
        <f t="shared" ref="H354:H362" si="248">$B334+($C334-$B334)*(1-W334)</f>
        <v>3500000</v>
      </c>
      <c r="I354" s="62">
        <f t="shared" ref="I354:I362" si="249">$B334+($C334-$B334)*(1-X334)</f>
        <v>3500000</v>
      </c>
      <c r="J354" s="62">
        <f t="shared" ref="J354:J362" si="250">$B334+($C334-$B334)*(1-Y334)</f>
        <v>3500000</v>
      </c>
      <c r="K354" s="62">
        <f t="shared" ref="K354:K362" si="251">$B334+($C334-$B334)*(1-Z334)</f>
        <v>3500000</v>
      </c>
      <c r="L354" s="62">
        <f t="shared" ref="L354:L362" si="252">$B334+($C334-$B334)*(1-AA334)</f>
        <v>3500000</v>
      </c>
      <c r="M354" s="62">
        <f t="shared" ref="M354:M362" si="253">$B334+($C334-$B334)*(1-AB334)</f>
        <v>3500000</v>
      </c>
      <c r="N354" s="62">
        <f t="shared" ref="N354:N362" si="254">$B334+($C334-$B334)*(1-AC334)</f>
        <v>3500000</v>
      </c>
      <c r="O354" s="62">
        <f t="shared" ref="O354:O362" si="255">$B334+($C334-$B334)*(1-AD334)</f>
        <v>3500000</v>
      </c>
      <c r="P354" s="62">
        <f t="shared" ref="P354:P362" si="256">$B334+($C334-$B334)*(1-AE334)</f>
        <v>3500000</v>
      </c>
      <c r="Q354" s="62">
        <f t="shared" ref="Q354:Q362" si="257">$B334+($C334-$B334)*(1-AF334)</f>
        <v>3500000</v>
      </c>
      <c r="R354" s="62">
        <f t="shared" ref="R354:R362" si="258">$B334+($C334-$B334)*(1-AG334)</f>
        <v>3500000</v>
      </c>
      <c r="S354" s="62">
        <f t="shared" ref="S354:S362" si="259">$B334+($C334-$B334)*(1-AH334)</f>
        <v>3500000</v>
      </c>
      <c r="T354" s="62">
        <f t="shared" ref="T354:T362" si="260">$B334+($C334-$B334)*(1-AI334)</f>
        <v>3500000</v>
      </c>
      <c r="U354" s="62">
        <f t="shared" ref="U354:U362" si="261">$B334+($C334-$B334)*(1-AJ334)</f>
        <v>3500000</v>
      </c>
      <c r="V354" s="62">
        <f t="shared" ref="V354:V362" si="262">$B334+($C334-$B334)*(1-AK334)</f>
        <v>3500000</v>
      </c>
      <c r="W354" s="62">
        <f t="shared" ref="W354:W362" si="263">$B334+($C334-$B334)*(1-AL334)</f>
        <v>3500000</v>
      </c>
      <c r="X354" s="62">
        <f t="shared" ref="X354:X362" si="264">$B334+($C334-$B334)*(1-AM334)</f>
        <v>3500000</v>
      </c>
      <c r="Y354" s="62">
        <f t="shared" ref="Y354:Y362" si="265">$B334+($C334-$B334)*(1-AN334)</f>
        <v>3500000</v>
      </c>
      <c r="Z354" s="62">
        <f t="shared" ref="Z354:Z362" si="266">$B334+($C334-$B334)*(1-AO334)</f>
        <v>3500000</v>
      </c>
      <c r="AA354" s="62">
        <f t="shared" ref="AA354:AA362" si="267">$B334+($C334-$B334)*(1-AP334)</f>
        <v>3500000</v>
      </c>
      <c r="AB354" s="62">
        <f t="shared" ref="AB354:AB362" si="268">$B334+($C334-$B334)*(1-AQ334)</f>
        <v>3500000</v>
      </c>
      <c r="AC354" s="62">
        <f t="shared" ref="AC354:AC362" si="269">$B334+($C334-$B334)*(1-AR334)</f>
        <v>3500000</v>
      </c>
    </row>
    <row r="355" spans="1:29" x14ac:dyDescent="0.25">
      <c r="A355" s="30" t="str">
        <f t="shared" si="241"/>
        <v>Residual value (vehicle)</v>
      </c>
      <c r="B355" s="62">
        <f t="shared" si="242"/>
        <v>-520379.25155119307</v>
      </c>
      <c r="C355" s="62">
        <f t="shared" si="243"/>
        <v>-518400.78417000384</v>
      </c>
      <c r="D355" s="62">
        <f t="shared" si="244"/>
        <v>-515591.64410555211</v>
      </c>
      <c r="E355" s="62">
        <f t="shared" si="245"/>
        <v>-511621.1945655747</v>
      </c>
      <c r="F355" s="62">
        <f t="shared" si="246"/>
        <v>-506046.75504428975</v>
      </c>
      <c r="G355" s="62">
        <f t="shared" si="247"/>
        <v>-498296.26052549522</v>
      </c>
      <c r="H355" s="62">
        <f t="shared" si="248"/>
        <v>-487670.62248680455</v>
      </c>
      <c r="I355" s="62">
        <f t="shared" si="249"/>
        <v>-473390.90356014454</v>
      </c>
      <c r="J355" s="62">
        <f t="shared" si="250"/>
        <v>-454724.55228418356</v>
      </c>
      <c r="K355" s="62">
        <f t="shared" si="251"/>
        <v>-431217.43787497684</v>
      </c>
      <c r="L355" s="62">
        <f t="shared" si="252"/>
        <v>-403009.57535575342</v>
      </c>
      <c r="M355" s="62">
        <f t="shared" si="253"/>
        <v>-371112.8675829735</v>
      </c>
      <c r="N355" s="62">
        <f t="shared" si="254"/>
        <v>-337439.64405614871</v>
      </c>
      <c r="O355" s="62">
        <f t="shared" si="255"/>
        <v>-304429.04658433376</v>
      </c>
      <c r="P355" s="62">
        <f t="shared" si="256"/>
        <v>-274378.82023030921</v>
      </c>
      <c r="Q355" s="62">
        <f t="shared" si="257"/>
        <v>-248840.40706391208</v>
      </c>
      <c r="R355" s="62">
        <f t="shared" si="258"/>
        <v>-228388.71178829367</v>
      </c>
      <c r="S355" s="62">
        <f t="shared" si="259"/>
        <v>-212783.16058198496</v>
      </c>
      <c r="T355" s="62">
        <f t="shared" si="260"/>
        <v>-201311.8288783321</v>
      </c>
      <c r="U355" s="62">
        <f t="shared" si="261"/>
        <v>-193109.99266212579</v>
      </c>
      <c r="V355" s="62">
        <f t="shared" si="262"/>
        <v>-187361.71671887109</v>
      </c>
      <c r="W355" s="62">
        <f t="shared" si="263"/>
        <v>-183389.30472543038</v>
      </c>
      <c r="X355" s="62">
        <f t="shared" si="264"/>
        <v>-180670.78524543642</v>
      </c>
      <c r="Y355" s="62">
        <f t="shared" si="265"/>
        <v>-178822.78419743793</v>
      </c>
      <c r="Z355" s="62">
        <f t="shared" si="266"/>
        <v>-177572.26245171315</v>
      </c>
      <c r="AA355" s="62">
        <f t="shared" si="267"/>
        <v>-176728.659176477</v>
      </c>
      <c r="AB355" s="62">
        <f t="shared" si="268"/>
        <v>-176160.74964225345</v>
      </c>
      <c r="AC355" s="62">
        <f t="shared" si="269"/>
        <v>-175778.97267513379</v>
      </c>
    </row>
    <row r="356" spans="1:29" x14ac:dyDescent="0.25">
      <c r="A356" s="30" t="str">
        <f t="shared" si="241"/>
        <v>Capex costumization</v>
      </c>
      <c r="B356" s="62">
        <f t="shared" si="242"/>
        <v>4200000</v>
      </c>
      <c r="C356" s="62">
        <f t="shared" si="243"/>
        <v>4200000</v>
      </c>
      <c r="D356" s="62">
        <f t="shared" si="244"/>
        <v>4200000</v>
      </c>
      <c r="E356" s="62">
        <f t="shared" si="245"/>
        <v>4200000</v>
      </c>
      <c r="F356" s="62">
        <f t="shared" si="246"/>
        <v>4200000</v>
      </c>
      <c r="G356" s="62">
        <f t="shared" si="247"/>
        <v>4200000</v>
      </c>
      <c r="H356" s="62">
        <f t="shared" si="248"/>
        <v>4200000</v>
      </c>
      <c r="I356" s="62">
        <f t="shared" si="249"/>
        <v>4200000</v>
      </c>
      <c r="J356" s="62">
        <f t="shared" si="250"/>
        <v>4200000</v>
      </c>
      <c r="K356" s="62">
        <f t="shared" si="251"/>
        <v>4200000</v>
      </c>
      <c r="L356" s="62">
        <f t="shared" si="252"/>
        <v>4200000</v>
      </c>
      <c r="M356" s="62">
        <f t="shared" si="253"/>
        <v>4200000</v>
      </c>
      <c r="N356" s="62">
        <f t="shared" si="254"/>
        <v>4200000</v>
      </c>
      <c r="O356" s="62">
        <f t="shared" si="255"/>
        <v>4200000</v>
      </c>
      <c r="P356" s="62">
        <f t="shared" si="256"/>
        <v>4200000</v>
      </c>
      <c r="Q356" s="62">
        <f t="shared" si="257"/>
        <v>4200000</v>
      </c>
      <c r="R356" s="62">
        <f t="shared" si="258"/>
        <v>4200000</v>
      </c>
      <c r="S356" s="62">
        <f t="shared" si="259"/>
        <v>4200000</v>
      </c>
      <c r="T356" s="62">
        <f t="shared" si="260"/>
        <v>4200000</v>
      </c>
      <c r="U356" s="62">
        <f t="shared" si="261"/>
        <v>4200000</v>
      </c>
      <c r="V356" s="62">
        <f t="shared" si="262"/>
        <v>4200000</v>
      </c>
      <c r="W356" s="62">
        <f t="shared" si="263"/>
        <v>4200000</v>
      </c>
      <c r="X356" s="62">
        <f t="shared" si="264"/>
        <v>4200000</v>
      </c>
      <c r="Y356" s="62">
        <f t="shared" si="265"/>
        <v>4200000</v>
      </c>
      <c r="Z356" s="62">
        <f t="shared" si="266"/>
        <v>4200000</v>
      </c>
      <c r="AA356" s="62">
        <f t="shared" si="267"/>
        <v>4200000</v>
      </c>
      <c r="AB356" s="62">
        <f t="shared" si="268"/>
        <v>4200000</v>
      </c>
      <c r="AC356" s="62">
        <f t="shared" si="269"/>
        <v>4200000</v>
      </c>
    </row>
    <row r="357" spans="1:29" x14ac:dyDescent="0.25">
      <c r="A357" s="30" t="str">
        <f t="shared" si="241"/>
        <v>Residual value (costumization)</v>
      </c>
      <c r="B357" s="62">
        <f t="shared" si="242"/>
        <v>-210000</v>
      </c>
      <c r="C357" s="62">
        <f t="shared" si="243"/>
        <v>-210000</v>
      </c>
      <c r="D357" s="62">
        <f t="shared" si="244"/>
        <v>-210000</v>
      </c>
      <c r="E357" s="62">
        <f t="shared" si="245"/>
        <v>-210000</v>
      </c>
      <c r="F357" s="62">
        <f t="shared" si="246"/>
        <v>-210000</v>
      </c>
      <c r="G357" s="62">
        <f t="shared" si="247"/>
        <v>-210000</v>
      </c>
      <c r="H357" s="62">
        <f t="shared" si="248"/>
        <v>-210000</v>
      </c>
      <c r="I357" s="62">
        <f t="shared" si="249"/>
        <v>-210000</v>
      </c>
      <c r="J357" s="62">
        <f t="shared" si="250"/>
        <v>-210000</v>
      </c>
      <c r="K357" s="62">
        <f t="shared" si="251"/>
        <v>-210000</v>
      </c>
      <c r="L357" s="62">
        <f t="shared" si="252"/>
        <v>-210000</v>
      </c>
      <c r="M357" s="62">
        <f t="shared" si="253"/>
        <v>-210000</v>
      </c>
      <c r="N357" s="62">
        <f t="shared" si="254"/>
        <v>-210000</v>
      </c>
      <c r="O357" s="62">
        <f t="shared" si="255"/>
        <v>-210000</v>
      </c>
      <c r="P357" s="62">
        <f t="shared" si="256"/>
        <v>-210000</v>
      </c>
      <c r="Q357" s="62">
        <f t="shared" si="257"/>
        <v>-210000</v>
      </c>
      <c r="R357" s="62">
        <f t="shared" si="258"/>
        <v>-210000</v>
      </c>
      <c r="S357" s="62">
        <f t="shared" si="259"/>
        <v>-210000</v>
      </c>
      <c r="T357" s="62">
        <f t="shared" si="260"/>
        <v>-210000</v>
      </c>
      <c r="U357" s="62">
        <f t="shared" si="261"/>
        <v>-210000</v>
      </c>
      <c r="V357" s="62">
        <f t="shared" si="262"/>
        <v>-210000</v>
      </c>
      <c r="W357" s="62">
        <f t="shared" si="263"/>
        <v>-210000</v>
      </c>
      <c r="X357" s="62">
        <f t="shared" si="264"/>
        <v>-210000</v>
      </c>
      <c r="Y357" s="62">
        <f t="shared" si="265"/>
        <v>-210000</v>
      </c>
      <c r="Z357" s="62">
        <f t="shared" si="266"/>
        <v>-210000</v>
      </c>
      <c r="AA357" s="62">
        <f t="shared" si="267"/>
        <v>-210000</v>
      </c>
      <c r="AB357" s="62">
        <f t="shared" si="268"/>
        <v>-210000</v>
      </c>
      <c r="AC357" s="62">
        <f t="shared" si="269"/>
        <v>-210000</v>
      </c>
    </row>
    <row r="358" spans="1:29" x14ac:dyDescent="0.25">
      <c r="A358" s="30" t="str">
        <f t="shared" si="241"/>
        <v>WACC</v>
      </c>
      <c r="B358" s="62">
        <f t="shared" si="242"/>
        <v>0.06</v>
      </c>
      <c r="C358" s="62">
        <f t="shared" si="243"/>
        <v>0.06</v>
      </c>
      <c r="D358" s="62">
        <f t="shared" si="244"/>
        <v>0.06</v>
      </c>
      <c r="E358" s="62">
        <f t="shared" si="245"/>
        <v>0.06</v>
      </c>
      <c r="F358" s="62">
        <f t="shared" si="246"/>
        <v>0.06</v>
      </c>
      <c r="G358" s="62">
        <f t="shared" si="247"/>
        <v>0.06</v>
      </c>
      <c r="H358" s="62">
        <f t="shared" si="248"/>
        <v>0.06</v>
      </c>
      <c r="I358" s="62">
        <f t="shared" si="249"/>
        <v>0.06</v>
      </c>
      <c r="J358" s="62">
        <f t="shared" si="250"/>
        <v>0.06</v>
      </c>
      <c r="K358" s="62">
        <f t="shared" si="251"/>
        <v>0.06</v>
      </c>
      <c r="L358" s="62">
        <f t="shared" si="252"/>
        <v>0.06</v>
      </c>
      <c r="M358" s="62">
        <f t="shared" si="253"/>
        <v>0.06</v>
      </c>
      <c r="N358" s="62">
        <f t="shared" si="254"/>
        <v>0.06</v>
      </c>
      <c r="O358" s="62">
        <f t="shared" si="255"/>
        <v>0.06</v>
      </c>
      <c r="P358" s="62">
        <f t="shared" si="256"/>
        <v>0.06</v>
      </c>
      <c r="Q358" s="62">
        <f t="shared" si="257"/>
        <v>0.06</v>
      </c>
      <c r="R358" s="62">
        <f t="shared" si="258"/>
        <v>0.06</v>
      </c>
      <c r="S358" s="62">
        <f t="shared" si="259"/>
        <v>0.06</v>
      </c>
      <c r="T358" s="62">
        <f t="shared" si="260"/>
        <v>0.06</v>
      </c>
      <c r="U358" s="62">
        <f t="shared" si="261"/>
        <v>0.06</v>
      </c>
      <c r="V358" s="62">
        <f t="shared" si="262"/>
        <v>0.06</v>
      </c>
      <c r="W358" s="62">
        <f t="shared" si="263"/>
        <v>0.06</v>
      </c>
      <c r="X358" s="62">
        <f t="shared" si="264"/>
        <v>0.06</v>
      </c>
      <c r="Y358" s="62">
        <f t="shared" si="265"/>
        <v>0.06</v>
      </c>
      <c r="Z358" s="62">
        <f t="shared" si="266"/>
        <v>0.06</v>
      </c>
      <c r="AA358" s="62">
        <f t="shared" si="267"/>
        <v>0.06</v>
      </c>
      <c r="AB358" s="62">
        <f t="shared" si="268"/>
        <v>0.06</v>
      </c>
      <c r="AC358" s="62">
        <f t="shared" si="269"/>
        <v>0.06</v>
      </c>
    </row>
    <row r="359" spans="1:29" x14ac:dyDescent="0.25">
      <c r="A359" s="30" t="str">
        <f t="shared" si="241"/>
        <v>Opex fix (admin, crew, insurance)</v>
      </c>
      <c r="B359" s="62">
        <f t="shared" si="242"/>
        <v>1450000</v>
      </c>
      <c r="C359" s="62">
        <f t="shared" si="243"/>
        <v>1450000</v>
      </c>
      <c r="D359" s="62">
        <f t="shared" si="244"/>
        <v>1450000</v>
      </c>
      <c r="E359" s="62">
        <f t="shared" si="245"/>
        <v>1450000</v>
      </c>
      <c r="F359" s="62">
        <f t="shared" si="246"/>
        <v>1450000</v>
      </c>
      <c r="G359" s="62">
        <f t="shared" si="247"/>
        <v>1450000</v>
      </c>
      <c r="H359" s="62">
        <f t="shared" si="248"/>
        <v>1450000</v>
      </c>
      <c r="I359" s="62">
        <f t="shared" si="249"/>
        <v>1450000</v>
      </c>
      <c r="J359" s="62">
        <f t="shared" si="250"/>
        <v>1450000</v>
      </c>
      <c r="K359" s="62">
        <f t="shared" si="251"/>
        <v>1450000</v>
      </c>
      <c r="L359" s="62">
        <f t="shared" si="252"/>
        <v>1450000</v>
      </c>
      <c r="M359" s="62">
        <f t="shared" si="253"/>
        <v>1450000</v>
      </c>
      <c r="N359" s="62">
        <f t="shared" si="254"/>
        <v>1450000</v>
      </c>
      <c r="O359" s="62">
        <f t="shared" si="255"/>
        <v>1450000</v>
      </c>
      <c r="P359" s="62">
        <f t="shared" si="256"/>
        <v>1450000</v>
      </c>
      <c r="Q359" s="62">
        <f t="shared" si="257"/>
        <v>1450000</v>
      </c>
      <c r="R359" s="62">
        <f t="shared" si="258"/>
        <v>1450000</v>
      </c>
      <c r="S359" s="62">
        <f t="shared" si="259"/>
        <v>1450000</v>
      </c>
      <c r="T359" s="62">
        <f t="shared" si="260"/>
        <v>1450000</v>
      </c>
      <c r="U359" s="62">
        <f t="shared" si="261"/>
        <v>1450000</v>
      </c>
      <c r="V359" s="62">
        <f t="shared" si="262"/>
        <v>1450000</v>
      </c>
      <c r="W359" s="62">
        <f t="shared" si="263"/>
        <v>1450000</v>
      </c>
      <c r="X359" s="62">
        <f t="shared" si="264"/>
        <v>1450000</v>
      </c>
      <c r="Y359" s="62">
        <f t="shared" si="265"/>
        <v>1450000</v>
      </c>
      <c r="Z359" s="62">
        <f t="shared" si="266"/>
        <v>1450000</v>
      </c>
      <c r="AA359" s="62">
        <f t="shared" si="267"/>
        <v>1450000</v>
      </c>
      <c r="AB359" s="62">
        <f t="shared" si="268"/>
        <v>1450000</v>
      </c>
      <c r="AC359" s="62">
        <f t="shared" si="269"/>
        <v>1450000</v>
      </c>
    </row>
    <row r="360" spans="1:29" x14ac:dyDescent="0.25">
      <c r="A360" s="30" t="str">
        <f t="shared" si="241"/>
        <v>Opex maintenance &amp; repair</v>
      </c>
      <c r="B360" s="62">
        <f t="shared" si="242"/>
        <v>1050000</v>
      </c>
      <c r="C360" s="62">
        <f t="shared" si="243"/>
        <v>1050000</v>
      </c>
      <c r="D360" s="62">
        <f t="shared" si="244"/>
        <v>1050000</v>
      </c>
      <c r="E360" s="62">
        <f t="shared" si="245"/>
        <v>1050000</v>
      </c>
      <c r="F360" s="62">
        <f t="shared" si="246"/>
        <v>1050000</v>
      </c>
      <c r="G360" s="62">
        <f t="shared" si="247"/>
        <v>1050000</v>
      </c>
      <c r="H360" s="62">
        <f t="shared" si="248"/>
        <v>1050000</v>
      </c>
      <c r="I360" s="62">
        <f t="shared" si="249"/>
        <v>1050000</v>
      </c>
      <c r="J360" s="62">
        <f t="shared" si="250"/>
        <v>1050000</v>
      </c>
      <c r="K360" s="62">
        <f t="shared" si="251"/>
        <v>1050000</v>
      </c>
      <c r="L360" s="62">
        <f t="shared" si="252"/>
        <v>1050000</v>
      </c>
      <c r="M360" s="62">
        <f t="shared" si="253"/>
        <v>1050000</v>
      </c>
      <c r="N360" s="62">
        <f t="shared" si="254"/>
        <v>1050000</v>
      </c>
      <c r="O360" s="62">
        <f t="shared" si="255"/>
        <v>1050000</v>
      </c>
      <c r="P360" s="62">
        <f t="shared" si="256"/>
        <v>1050000</v>
      </c>
      <c r="Q360" s="62">
        <f t="shared" si="257"/>
        <v>1050000</v>
      </c>
      <c r="R360" s="62">
        <f t="shared" si="258"/>
        <v>1050000</v>
      </c>
      <c r="S360" s="62">
        <f t="shared" si="259"/>
        <v>1050000</v>
      </c>
      <c r="T360" s="62">
        <f t="shared" si="260"/>
        <v>1050000</v>
      </c>
      <c r="U360" s="62">
        <f t="shared" si="261"/>
        <v>1050000</v>
      </c>
      <c r="V360" s="62">
        <f t="shared" si="262"/>
        <v>1050000</v>
      </c>
      <c r="W360" s="62">
        <f t="shared" si="263"/>
        <v>1050000</v>
      </c>
      <c r="X360" s="62">
        <f t="shared" si="264"/>
        <v>1050000</v>
      </c>
      <c r="Y360" s="62">
        <f t="shared" si="265"/>
        <v>1050000</v>
      </c>
      <c r="Z360" s="62">
        <f t="shared" si="266"/>
        <v>1050000</v>
      </c>
      <c r="AA360" s="62">
        <f t="shared" si="267"/>
        <v>1050000</v>
      </c>
      <c r="AB360" s="62">
        <f t="shared" si="268"/>
        <v>1050000</v>
      </c>
      <c r="AC360" s="62">
        <f t="shared" si="269"/>
        <v>1050000</v>
      </c>
    </row>
    <row r="361" spans="1:29" x14ac:dyDescent="0.25">
      <c r="A361" s="30" t="str">
        <f t="shared" si="241"/>
        <v>Opex var (mode-fees, shunting)</v>
      </c>
      <c r="B361" s="62">
        <f t="shared" si="242"/>
        <v>8.9635854341736696</v>
      </c>
      <c r="C361" s="62">
        <f t="shared" si="243"/>
        <v>8.9635854341736696</v>
      </c>
      <c r="D361" s="62">
        <f t="shared" si="244"/>
        <v>8.9635854341736696</v>
      </c>
      <c r="E361" s="62">
        <f t="shared" si="245"/>
        <v>8.9635854341736696</v>
      </c>
      <c r="F361" s="62">
        <f t="shared" si="246"/>
        <v>8.9635854341736696</v>
      </c>
      <c r="G361" s="62">
        <f t="shared" si="247"/>
        <v>8.9635854341736696</v>
      </c>
      <c r="H361" s="62">
        <f t="shared" si="248"/>
        <v>8.9635854341736696</v>
      </c>
      <c r="I361" s="62">
        <f t="shared" si="249"/>
        <v>8.9635854341736696</v>
      </c>
      <c r="J361" s="62">
        <f t="shared" si="250"/>
        <v>8.9635854341736696</v>
      </c>
      <c r="K361" s="62">
        <f t="shared" si="251"/>
        <v>8.9635854341736696</v>
      </c>
      <c r="L361" s="62">
        <f t="shared" si="252"/>
        <v>8.9635854341736696</v>
      </c>
      <c r="M361" s="62">
        <f t="shared" si="253"/>
        <v>8.9635854341736696</v>
      </c>
      <c r="N361" s="62">
        <f t="shared" si="254"/>
        <v>8.9635854341736696</v>
      </c>
      <c r="O361" s="62">
        <f t="shared" si="255"/>
        <v>8.9635854341736696</v>
      </c>
      <c r="P361" s="62">
        <f t="shared" si="256"/>
        <v>8.9635854341736696</v>
      </c>
      <c r="Q361" s="62">
        <f t="shared" si="257"/>
        <v>8.9635854341736696</v>
      </c>
      <c r="R361" s="62">
        <f t="shared" si="258"/>
        <v>8.9635854341736696</v>
      </c>
      <c r="S361" s="62">
        <f t="shared" si="259"/>
        <v>8.9635854341736696</v>
      </c>
      <c r="T361" s="62">
        <f t="shared" si="260"/>
        <v>8.9635854341736696</v>
      </c>
      <c r="U361" s="62">
        <f t="shared" si="261"/>
        <v>8.9635854341736696</v>
      </c>
      <c r="V361" s="62">
        <f t="shared" si="262"/>
        <v>8.9635854341736696</v>
      </c>
      <c r="W361" s="62">
        <f t="shared" si="263"/>
        <v>8.9635854341736696</v>
      </c>
      <c r="X361" s="62">
        <f t="shared" si="264"/>
        <v>8.9635854341736696</v>
      </c>
      <c r="Y361" s="62">
        <f t="shared" si="265"/>
        <v>8.9635854341736696</v>
      </c>
      <c r="Z361" s="62">
        <f t="shared" si="266"/>
        <v>8.9635854341736696</v>
      </c>
      <c r="AA361" s="62">
        <f t="shared" si="267"/>
        <v>8.9635854341736696</v>
      </c>
      <c r="AB361" s="62">
        <f t="shared" si="268"/>
        <v>8.9635854341736696</v>
      </c>
      <c r="AC361" s="62">
        <f t="shared" si="269"/>
        <v>8.9635854341736696</v>
      </c>
    </row>
    <row r="362" spans="1:29" x14ac:dyDescent="0.25">
      <c r="A362" s="30" t="str">
        <f t="shared" si="241"/>
        <v>Fuel Economy</v>
      </c>
      <c r="B362" s="62">
        <f t="shared" si="242"/>
        <v>76.777599999999993</v>
      </c>
      <c r="C362" s="62">
        <f t="shared" si="243"/>
        <v>76.777599999999993</v>
      </c>
      <c r="D362" s="62">
        <f t="shared" si="244"/>
        <v>76.777599999999993</v>
      </c>
      <c r="E362" s="62">
        <f t="shared" si="245"/>
        <v>76.777599999999993</v>
      </c>
      <c r="F362" s="62">
        <f t="shared" si="246"/>
        <v>76.777599999999993</v>
      </c>
      <c r="G362" s="62">
        <f t="shared" si="247"/>
        <v>76.777599999999993</v>
      </c>
      <c r="H362" s="62">
        <f t="shared" si="248"/>
        <v>76.777599999999993</v>
      </c>
      <c r="I362" s="62">
        <f t="shared" si="249"/>
        <v>76.777599999999993</v>
      </c>
      <c r="J362" s="62">
        <f t="shared" si="250"/>
        <v>76.777599999999993</v>
      </c>
      <c r="K362" s="62">
        <f t="shared" si="251"/>
        <v>76.777599999999993</v>
      </c>
      <c r="L362" s="62">
        <f t="shared" si="252"/>
        <v>76.777599999999993</v>
      </c>
      <c r="M362" s="62">
        <f t="shared" si="253"/>
        <v>76.777599999999993</v>
      </c>
      <c r="N362" s="62">
        <f t="shared" si="254"/>
        <v>76.777599999999993</v>
      </c>
      <c r="O362" s="62">
        <f t="shared" si="255"/>
        <v>76.777599999999993</v>
      </c>
      <c r="P362" s="62">
        <f t="shared" si="256"/>
        <v>76.777599999999993</v>
      </c>
      <c r="Q362" s="62">
        <f t="shared" si="257"/>
        <v>76.777599999999993</v>
      </c>
      <c r="R362" s="62">
        <f t="shared" si="258"/>
        <v>76.777599999999993</v>
      </c>
      <c r="S362" s="62">
        <f t="shared" si="259"/>
        <v>76.777599999999993</v>
      </c>
      <c r="T362" s="62">
        <f t="shared" si="260"/>
        <v>76.777599999999993</v>
      </c>
      <c r="U362" s="62">
        <f t="shared" si="261"/>
        <v>76.777599999999993</v>
      </c>
      <c r="V362" s="62">
        <f t="shared" si="262"/>
        <v>76.777599999999993</v>
      </c>
      <c r="W362" s="62">
        <f t="shared" si="263"/>
        <v>76.777599999999993</v>
      </c>
      <c r="X362" s="62">
        <f t="shared" si="264"/>
        <v>76.777599999999993</v>
      </c>
      <c r="Y362" s="62">
        <f t="shared" si="265"/>
        <v>76.777599999999993</v>
      </c>
      <c r="Z362" s="62">
        <f t="shared" si="266"/>
        <v>76.777599999999993</v>
      </c>
      <c r="AA362" s="62">
        <f t="shared" si="267"/>
        <v>76.777599999999993</v>
      </c>
      <c r="AB362" s="62">
        <f t="shared" si="268"/>
        <v>76.777599999999993</v>
      </c>
      <c r="AC362" s="62">
        <f t="shared" si="269"/>
        <v>76.777599999999993</v>
      </c>
    </row>
    <row r="363" spans="1:29" x14ac:dyDescent="0.25">
      <c r="A363" s="30" t="str">
        <f t="shared" si="241"/>
        <v>Fuel Cost</v>
      </c>
      <c r="B363" s="62">
        <f>'Parameter Input'!J8</f>
        <v>6.4802641056422569E-2</v>
      </c>
      <c r="C363" s="62">
        <f>'Parameter Input'!K8</f>
        <v>6.3089795918367345E-2</v>
      </c>
      <c r="D363" s="62">
        <f>'Parameter Input'!L8</f>
        <v>6.1376950780312127E-2</v>
      </c>
      <c r="E363" s="62">
        <f>'Parameter Input'!M8</f>
        <v>5.9664105642256909E-2</v>
      </c>
      <c r="F363" s="62">
        <f>'Parameter Input'!N8</f>
        <v>5.7951260504201692E-2</v>
      </c>
      <c r="G363" s="62">
        <f>'Parameter Input'!O8</f>
        <v>5.6238415366146474E-2</v>
      </c>
      <c r="H363" s="62">
        <f>'Parameter Input'!P8</f>
        <v>5.4525570228091257E-2</v>
      </c>
      <c r="I363" s="62">
        <f>'Parameter Input'!Q8</f>
        <v>5.2812725090036025E-2</v>
      </c>
      <c r="J363" s="62">
        <f>'Parameter Input'!R8</f>
        <v>5.2313145258103252E-2</v>
      </c>
      <c r="K363" s="62">
        <f>'Parameter Input'!S8</f>
        <v>5.181356542617048E-2</v>
      </c>
      <c r="L363" s="62">
        <f>'Parameter Input'!T8</f>
        <v>5.1313985594237707E-2</v>
      </c>
      <c r="M363" s="62">
        <f>'Parameter Input'!U8</f>
        <v>5.0814405762304934E-2</v>
      </c>
      <c r="N363" s="62">
        <f>'Parameter Input'!V8</f>
        <v>5.0314825930372155E-2</v>
      </c>
      <c r="O363" s="62">
        <f>'Parameter Input'!W8</f>
        <v>4.9815246098439382E-2</v>
      </c>
      <c r="P363" s="62">
        <f>'Parameter Input'!X8</f>
        <v>4.931566626650661E-2</v>
      </c>
      <c r="Q363" s="62">
        <f>'Parameter Input'!Y8</f>
        <v>4.8816086434573837E-2</v>
      </c>
      <c r="R363" s="62">
        <f>'Parameter Input'!Z8</f>
        <v>4.8316506602641064E-2</v>
      </c>
      <c r="S363" s="62">
        <f>'Parameter Input'!AA8</f>
        <v>4.7816926770708292E-2</v>
      </c>
      <c r="T363" s="62">
        <f>'Parameter Input'!AB8</f>
        <v>4.7317346938775519E-2</v>
      </c>
      <c r="U363" s="62">
        <f>'Parameter Input'!AC8</f>
        <v>4.6817767106842746E-2</v>
      </c>
      <c r="V363" s="62">
        <f>'Parameter Input'!AD8</f>
        <v>4.6318187274909974E-2</v>
      </c>
      <c r="W363" s="62">
        <f>'Parameter Input'!AE8</f>
        <v>4.5818607442977201E-2</v>
      </c>
      <c r="X363" s="62">
        <f>'Parameter Input'!AF8</f>
        <v>4.5319027611044428E-2</v>
      </c>
      <c r="Y363" s="62">
        <f>'Parameter Input'!AG8</f>
        <v>4.4819447779111656E-2</v>
      </c>
      <c r="Z363" s="62">
        <f>'Parameter Input'!AH8</f>
        <v>4.4319867947178883E-2</v>
      </c>
      <c r="AA363" s="62">
        <f>'Parameter Input'!AI8</f>
        <v>4.382028811524611E-2</v>
      </c>
      <c r="AB363" s="62">
        <f>'Parameter Input'!AJ8</f>
        <v>4.3320708283313338E-2</v>
      </c>
      <c r="AC363" s="62">
        <f>'Parameter Input'!AK8</f>
        <v>4.2821128451380565E-2</v>
      </c>
    </row>
    <row r="364" spans="1:29" x14ac:dyDescent="0.25">
      <c r="A364" s="30" t="str">
        <f t="shared" si="241"/>
        <v>Emission Cost</v>
      </c>
      <c r="B364" s="66">
        <f>$B344+($C344-$B344)*(1-Q344)</f>
        <v>0</v>
      </c>
      <c r="C364" s="66">
        <f t="shared" ref="C364:AC364" si="270">$B344+($C344-$B344)*(1-R344)</f>
        <v>0</v>
      </c>
      <c r="D364" s="66">
        <f t="shared" si="270"/>
        <v>0</v>
      </c>
      <c r="E364" s="66">
        <f t="shared" si="270"/>
        <v>0</v>
      </c>
      <c r="F364" s="66">
        <f t="shared" si="270"/>
        <v>0</v>
      </c>
      <c r="G364" s="66">
        <f t="shared" si="270"/>
        <v>0</v>
      </c>
      <c r="H364" s="66">
        <f t="shared" si="270"/>
        <v>0</v>
      </c>
      <c r="I364" s="66">
        <f t="shared" si="270"/>
        <v>0</v>
      </c>
      <c r="J364" s="66">
        <f t="shared" si="270"/>
        <v>0</v>
      </c>
      <c r="K364" s="66">
        <f t="shared" si="270"/>
        <v>0</v>
      </c>
      <c r="L364" s="66">
        <f t="shared" si="270"/>
        <v>0</v>
      </c>
      <c r="M364" s="66">
        <f t="shared" si="270"/>
        <v>0</v>
      </c>
      <c r="N364" s="66">
        <f t="shared" si="270"/>
        <v>0</v>
      </c>
      <c r="O364" s="66">
        <f t="shared" si="270"/>
        <v>0</v>
      </c>
      <c r="P364" s="66">
        <f t="shared" si="270"/>
        <v>0</v>
      </c>
      <c r="Q364" s="66">
        <f t="shared" si="270"/>
        <v>0</v>
      </c>
      <c r="R364" s="66">
        <f t="shared" si="270"/>
        <v>0</v>
      </c>
      <c r="S364" s="66">
        <f t="shared" si="270"/>
        <v>0</v>
      </c>
      <c r="T364" s="66">
        <f t="shared" si="270"/>
        <v>0</v>
      </c>
      <c r="U364" s="66">
        <f t="shared" si="270"/>
        <v>0</v>
      </c>
      <c r="V364" s="66">
        <f t="shared" si="270"/>
        <v>0</v>
      </c>
      <c r="W364" s="66">
        <f t="shared" si="270"/>
        <v>0</v>
      </c>
      <c r="X364" s="66">
        <f t="shared" si="270"/>
        <v>0</v>
      </c>
      <c r="Y364" s="66">
        <f t="shared" si="270"/>
        <v>0</v>
      </c>
      <c r="Z364" s="66">
        <f t="shared" si="270"/>
        <v>0</v>
      </c>
      <c r="AA364" s="66">
        <f t="shared" si="270"/>
        <v>0</v>
      </c>
      <c r="AB364" s="66">
        <f t="shared" si="270"/>
        <v>0</v>
      </c>
      <c r="AC364" s="66">
        <f t="shared" si="270"/>
        <v>0</v>
      </c>
    </row>
    <row r="365" spans="1:29" x14ac:dyDescent="0.25">
      <c r="A365" s="30" t="str">
        <f t="shared" si="241"/>
        <v>Lifetime vehicle</v>
      </c>
      <c r="B365" s="62">
        <f>$B345+($C345-$B345)*(1-Q345)</f>
        <v>20</v>
      </c>
      <c r="C365" s="62">
        <f t="shared" ref="C365:L367" si="271">$B345+($C345-$B345)*(1-R345)</f>
        <v>20</v>
      </c>
      <c r="D365" s="62">
        <f t="shared" si="271"/>
        <v>20</v>
      </c>
      <c r="E365" s="62">
        <f t="shared" si="271"/>
        <v>20</v>
      </c>
      <c r="F365" s="62">
        <f t="shared" si="271"/>
        <v>20</v>
      </c>
      <c r="G365" s="62">
        <f t="shared" si="271"/>
        <v>20</v>
      </c>
      <c r="H365" s="62">
        <f t="shared" si="271"/>
        <v>20</v>
      </c>
      <c r="I365" s="62">
        <f t="shared" si="271"/>
        <v>20</v>
      </c>
      <c r="J365" s="62">
        <f t="shared" si="271"/>
        <v>20</v>
      </c>
      <c r="K365" s="62">
        <f t="shared" si="271"/>
        <v>20</v>
      </c>
      <c r="L365" s="62">
        <f t="shared" si="271"/>
        <v>20</v>
      </c>
      <c r="M365" s="62">
        <f t="shared" ref="M365:V367" si="272">$B345+($C345-$B345)*(1-AB345)</f>
        <v>20</v>
      </c>
      <c r="N365" s="62">
        <f t="shared" si="272"/>
        <v>20</v>
      </c>
      <c r="O365" s="62">
        <f t="shared" si="272"/>
        <v>20</v>
      </c>
      <c r="P365" s="62">
        <f t="shared" si="272"/>
        <v>20</v>
      </c>
      <c r="Q365" s="62">
        <f t="shared" si="272"/>
        <v>20</v>
      </c>
      <c r="R365" s="62">
        <f t="shared" si="272"/>
        <v>20</v>
      </c>
      <c r="S365" s="62">
        <f t="shared" si="272"/>
        <v>20</v>
      </c>
      <c r="T365" s="62">
        <f t="shared" si="272"/>
        <v>20</v>
      </c>
      <c r="U365" s="62">
        <f t="shared" si="272"/>
        <v>20</v>
      </c>
      <c r="V365" s="62">
        <f t="shared" si="272"/>
        <v>20</v>
      </c>
      <c r="W365" s="62">
        <f t="shared" ref="W365:AC367" si="273">$B345+($C345-$B345)*(1-AL345)</f>
        <v>20</v>
      </c>
      <c r="X365" s="62">
        <f t="shared" si="273"/>
        <v>20</v>
      </c>
      <c r="Y365" s="62">
        <f t="shared" si="273"/>
        <v>20</v>
      </c>
      <c r="Z365" s="62">
        <f t="shared" si="273"/>
        <v>20</v>
      </c>
      <c r="AA365" s="62">
        <f t="shared" si="273"/>
        <v>20</v>
      </c>
      <c r="AB365" s="62">
        <f t="shared" si="273"/>
        <v>20</v>
      </c>
      <c r="AC365" s="62">
        <f t="shared" si="273"/>
        <v>20</v>
      </c>
    </row>
    <row r="366" spans="1:29" x14ac:dyDescent="0.25">
      <c r="A366" s="30" t="str">
        <f t="shared" si="241"/>
        <v>Lifetime costumization</v>
      </c>
      <c r="B366" s="62">
        <f>$B346+($C346-$B346)*(1-Q346)</f>
        <v>30</v>
      </c>
      <c r="C366" s="62">
        <f t="shared" si="271"/>
        <v>30</v>
      </c>
      <c r="D366" s="62">
        <f t="shared" si="271"/>
        <v>30</v>
      </c>
      <c r="E366" s="62">
        <f t="shared" si="271"/>
        <v>30</v>
      </c>
      <c r="F366" s="62">
        <f t="shared" si="271"/>
        <v>30</v>
      </c>
      <c r="G366" s="62">
        <f t="shared" si="271"/>
        <v>30</v>
      </c>
      <c r="H366" s="62">
        <f t="shared" si="271"/>
        <v>30</v>
      </c>
      <c r="I366" s="62">
        <f t="shared" si="271"/>
        <v>30</v>
      </c>
      <c r="J366" s="62">
        <f t="shared" si="271"/>
        <v>30</v>
      </c>
      <c r="K366" s="62">
        <f t="shared" si="271"/>
        <v>30</v>
      </c>
      <c r="L366" s="62">
        <f t="shared" si="271"/>
        <v>30</v>
      </c>
      <c r="M366" s="62">
        <f t="shared" si="272"/>
        <v>30</v>
      </c>
      <c r="N366" s="62">
        <f t="shared" si="272"/>
        <v>30</v>
      </c>
      <c r="O366" s="62">
        <f t="shared" si="272"/>
        <v>30</v>
      </c>
      <c r="P366" s="62">
        <f t="shared" si="272"/>
        <v>30</v>
      </c>
      <c r="Q366" s="62">
        <f t="shared" si="272"/>
        <v>30</v>
      </c>
      <c r="R366" s="62">
        <f t="shared" si="272"/>
        <v>30</v>
      </c>
      <c r="S366" s="62">
        <f t="shared" si="272"/>
        <v>30</v>
      </c>
      <c r="T366" s="62">
        <f t="shared" si="272"/>
        <v>30</v>
      </c>
      <c r="U366" s="62">
        <f t="shared" si="272"/>
        <v>30</v>
      </c>
      <c r="V366" s="62">
        <f t="shared" si="272"/>
        <v>30</v>
      </c>
      <c r="W366" s="62">
        <f t="shared" si="273"/>
        <v>30</v>
      </c>
      <c r="X366" s="62">
        <f t="shared" si="273"/>
        <v>30</v>
      </c>
      <c r="Y366" s="62">
        <f t="shared" si="273"/>
        <v>30</v>
      </c>
      <c r="Z366" s="62">
        <f t="shared" si="273"/>
        <v>30</v>
      </c>
      <c r="AA366" s="62">
        <f t="shared" si="273"/>
        <v>30</v>
      </c>
      <c r="AB366" s="62">
        <f t="shared" si="273"/>
        <v>30</v>
      </c>
      <c r="AC366" s="62">
        <f t="shared" si="273"/>
        <v>30</v>
      </c>
    </row>
    <row r="367" spans="1:29" x14ac:dyDescent="0.25">
      <c r="A367" s="30" t="str">
        <f t="shared" si="241"/>
        <v>Tonnage .</v>
      </c>
      <c r="B367" s="62">
        <f>$B347+($C347-$B347)*(1-Q347)</f>
        <v>2240</v>
      </c>
      <c r="C367" s="62">
        <f t="shared" si="271"/>
        <v>2240</v>
      </c>
      <c r="D367" s="62">
        <f t="shared" si="271"/>
        <v>2240</v>
      </c>
      <c r="E367" s="62">
        <f t="shared" si="271"/>
        <v>2240</v>
      </c>
      <c r="F367" s="62">
        <f t="shared" si="271"/>
        <v>2240</v>
      </c>
      <c r="G367" s="62">
        <f t="shared" si="271"/>
        <v>2240</v>
      </c>
      <c r="H367" s="62">
        <f t="shared" si="271"/>
        <v>2240</v>
      </c>
      <c r="I367" s="62">
        <f t="shared" si="271"/>
        <v>2240</v>
      </c>
      <c r="J367" s="62">
        <f t="shared" si="271"/>
        <v>2240</v>
      </c>
      <c r="K367" s="62">
        <f t="shared" si="271"/>
        <v>2240</v>
      </c>
      <c r="L367" s="62">
        <f t="shared" si="271"/>
        <v>2240</v>
      </c>
      <c r="M367" s="62">
        <f t="shared" si="272"/>
        <v>2240</v>
      </c>
      <c r="N367" s="62">
        <f t="shared" si="272"/>
        <v>2240</v>
      </c>
      <c r="O367" s="62">
        <f t="shared" si="272"/>
        <v>2240</v>
      </c>
      <c r="P367" s="62">
        <f t="shared" si="272"/>
        <v>2240</v>
      </c>
      <c r="Q367" s="62">
        <f t="shared" si="272"/>
        <v>2240</v>
      </c>
      <c r="R367" s="62">
        <f t="shared" si="272"/>
        <v>2240</v>
      </c>
      <c r="S367" s="62">
        <f t="shared" si="272"/>
        <v>2240</v>
      </c>
      <c r="T367" s="62">
        <f t="shared" si="272"/>
        <v>2240</v>
      </c>
      <c r="U367" s="62">
        <f t="shared" si="272"/>
        <v>2240</v>
      </c>
      <c r="V367" s="62">
        <f t="shared" si="272"/>
        <v>2240</v>
      </c>
      <c r="W367" s="62">
        <f t="shared" si="273"/>
        <v>2240</v>
      </c>
      <c r="X367" s="62">
        <f t="shared" si="273"/>
        <v>2240</v>
      </c>
      <c r="Y367" s="62">
        <f t="shared" si="273"/>
        <v>2240</v>
      </c>
      <c r="Z367" s="62">
        <f t="shared" si="273"/>
        <v>2240</v>
      </c>
      <c r="AA367" s="62">
        <f t="shared" si="273"/>
        <v>2240</v>
      </c>
      <c r="AB367" s="62">
        <f t="shared" si="273"/>
        <v>2240</v>
      </c>
      <c r="AC367" s="62">
        <f t="shared" si="273"/>
        <v>2240</v>
      </c>
    </row>
    <row r="368" spans="1:29" x14ac:dyDescent="0.25">
      <c r="A368" s="30" t="str">
        <f t="shared" si="241"/>
        <v>Market failure (av. utilization)</v>
      </c>
      <c r="B368" s="62">
        <f t="shared" ref="B368:K369" si="274">($B348+($C348-$B348)*(1-Q348))*B$44</f>
        <v>1612.8000000000002</v>
      </c>
      <c r="C368" s="62">
        <f t="shared" si="274"/>
        <v>1612.8000000000002</v>
      </c>
      <c r="D368" s="62">
        <f t="shared" si="274"/>
        <v>1612.8000000000002</v>
      </c>
      <c r="E368" s="62">
        <f t="shared" si="274"/>
        <v>1612.8000000000002</v>
      </c>
      <c r="F368" s="62">
        <f t="shared" si="274"/>
        <v>1612.8000000000002</v>
      </c>
      <c r="G368" s="62">
        <f t="shared" si="274"/>
        <v>1612.8000000000002</v>
      </c>
      <c r="H368" s="62">
        <f t="shared" si="274"/>
        <v>1612.8000000000002</v>
      </c>
      <c r="I368" s="62">
        <f t="shared" si="274"/>
        <v>1612.8000000000002</v>
      </c>
      <c r="J368" s="62">
        <f t="shared" si="274"/>
        <v>1612.8000000000002</v>
      </c>
      <c r="K368" s="62">
        <f t="shared" si="274"/>
        <v>1612.8000000000002</v>
      </c>
      <c r="L368" s="62">
        <f t="shared" ref="L368:U369" si="275">($B348+($C348-$B348)*(1-AA348))*L$44</f>
        <v>1612.8000000000002</v>
      </c>
      <c r="M368" s="62">
        <f t="shared" si="275"/>
        <v>1612.8000000000002</v>
      </c>
      <c r="N368" s="62">
        <f t="shared" si="275"/>
        <v>1612.8000000000002</v>
      </c>
      <c r="O368" s="62">
        <f t="shared" si="275"/>
        <v>1612.8000000000002</v>
      </c>
      <c r="P368" s="62">
        <f t="shared" si="275"/>
        <v>1612.8000000000002</v>
      </c>
      <c r="Q368" s="62">
        <f t="shared" si="275"/>
        <v>1612.8000000000002</v>
      </c>
      <c r="R368" s="62">
        <f t="shared" si="275"/>
        <v>1612.8000000000002</v>
      </c>
      <c r="S368" s="62">
        <f t="shared" si="275"/>
        <v>1612.8000000000002</v>
      </c>
      <c r="T368" s="62">
        <f t="shared" si="275"/>
        <v>1612.8000000000002</v>
      </c>
      <c r="U368" s="62">
        <f t="shared" si="275"/>
        <v>1612.8000000000002</v>
      </c>
      <c r="V368" s="62">
        <f t="shared" ref="V368:AC369" si="276">($B348+($C348-$B348)*(1-AK348))*V$44</f>
        <v>1612.8000000000002</v>
      </c>
      <c r="W368" s="62">
        <f t="shared" si="276"/>
        <v>1612.8000000000002</v>
      </c>
      <c r="X368" s="62">
        <f t="shared" si="276"/>
        <v>1612.8000000000002</v>
      </c>
      <c r="Y368" s="62">
        <f t="shared" si="276"/>
        <v>1612.8000000000002</v>
      </c>
      <c r="Z368" s="62">
        <f t="shared" si="276"/>
        <v>1612.8000000000002</v>
      </c>
      <c r="AA368" s="62">
        <f t="shared" si="276"/>
        <v>1612.8000000000002</v>
      </c>
      <c r="AB368" s="62">
        <f t="shared" si="276"/>
        <v>1612.8000000000002</v>
      </c>
      <c r="AC368" s="62">
        <f t="shared" si="276"/>
        <v>1612.8000000000002</v>
      </c>
    </row>
    <row r="369" spans="1:29" x14ac:dyDescent="0.25">
      <c r="A369" s="30" t="s">
        <v>73</v>
      </c>
      <c r="B369" s="62">
        <f t="shared" si="274"/>
        <v>0</v>
      </c>
      <c r="C369" s="62">
        <f t="shared" si="274"/>
        <v>0</v>
      </c>
      <c r="D369" s="62">
        <f t="shared" si="274"/>
        <v>0</v>
      </c>
      <c r="E369" s="62">
        <f t="shared" si="274"/>
        <v>0</v>
      </c>
      <c r="F369" s="62">
        <f t="shared" si="274"/>
        <v>0</v>
      </c>
      <c r="G369" s="62">
        <f t="shared" si="274"/>
        <v>0</v>
      </c>
      <c r="H369" s="62">
        <f t="shared" si="274"/>
        <v>0</v>
      </c>
      <c r="I369" s="62">
        <f t="shared" si="274"/>
        <v>0</v>
      </c>
      <c r="J369" s="62">
        <f t="shared" si="274"/>
        <v>0</v>
      </c>
      <c r="K369" s="62">
        <f t="shared" si="274"/>
        <v>0</v>
      </c>
      <c r="L369" s="62">
        <f t="shared" si="275"/>
        <v>0</v>
      </c>
      <c r="M369" s="62">
        <f t="shared" si="275"/>
        <v>0</v>
      </c>
      <c r="N369" s="62">
        <f t="shared" si="275"/>
        <v>0</v>
      </c>
      <c r="O369" s="62">
        <f t="shared" si="275"/>
        <v>0</v>
      </c>
      <c r="P369" s="62">
        <f t="shared" si="275"/>
        <v>0</v>
      </c>
      <c r="Q369" s="62">
        <f t="shared" si="275"/>
        <v>0</v>
      </c>
      <c r="R369" s="62">
        <f t="shared" si="275"/>
        <v>0</v>
      </c>
      <c r="S369" s="62">
        <f t="shared" si="275"/>
        <v>0</v>
      </c>
      <c r="T369" s="62">
        <f t="shared" si="275"/>
        <v>0</v>
      </c>
      <c r="U369" s="62">
        <f t="shared" si="275"/>
        <v>0</v>
      </c>
      <c r="V369" s="62">
        <f t="shared" si="276"/>
        <v>0</v>
      </c>
      <c r="W369" s="62">
        <f t="shared" si="276"/>
        <v>0</v>
      </c>
      <c r="X369" s="62">
        <f t="shared" si="276"/>
        <v>0</v>
      </c>
      <c r="Y369" s="62">
        <f t="shared" si="276"/>
        <v>0</v>
      </c>
      <c r="Z369" s="62">
        <f t="shared" si="276"/>
        <v>0</v>
      </c>
      <c r="AA369" s="62">
        <f t="shared" si="276"/>
        <v>0</v>
      </c>
      <c r="AB369" s="62">
        <f t="shared" si="276"/>
        <v>0</v>
      </c>
      <c r="AC369" s="62">
        <f t="shared" si="276"/>
        <v>0</v>
      </c>
    </row>
    <row r="370" spans="1:29" x14ac:dyDescent="0.25">
      <c r="A370" s="30" t="str">
        <f>A350</f>
        <v>Annual Mileage</v>
      </c>
      <c r="B370" s="62">
        <f t="shared" ref="B370:AC370" si="277">$B350+($C350-$B350)*(1-Q350)</f>
        <v>178500</v>
      </c>
      <c r="C370" s="62">
        <f t="shared" si="277"/>
        <v>178500</v>
      </c>
      <c r="D370" s="62">
        <f t="shared" si="277"/>
        <v>178500</v>
      </c>
      <c r="E370" s="62">
        <f t="shared" si="277"/>
        <v>178500</v>
      </c>
      <c r="F370" s="62">
        <f t="shared" si="277"/>
        <v>178500</v>
      </c>
      <c r="G370" s="62">
        <f t="shared" si="277"/>
        <v>178500</v>
      </c>
      <c r="H370" s="62">
        <f t="shared" si="277"/>
        <v>178500</v>
      </c>
      <c r="I370" s="62">
        <f t="shared" si="277"/>
        <v>178500</v>
      </c>
      <c r="J370" s="62">
        <f t="shared" si="277"/>
        <v>178500</v>
      </c>
      <c r="K370" s="62">
        <f t="shared" si="277"/>
        <v>178500</v>
      </c>
      <c r="L370" s="62">
        <f t="shared" si="277"/>
        <v>178500</v>
      </c>
      <c r="M370" s="62">
        <f t="shared" si="277"/>
        <v>178500</v>
      </c>
      <c r="N370" s="62">
        <f t="shared" si="277"/>
        <v>178500</v>
      </c>
      <c r="O370" s="62">
        <f t="shared" si="277"/>
        <v>178500</v>
      </c>
      <c r="P370" s="62">
        <f t="shared" si="277"/>
        <v>178500</v>
      </c>
      <c r="Q370" s="62">
        <f t="shared" si="277"/>
        <v>178500</v>
      </c>
      <c r="R370" s="62">
        <f t="shared" si="277"/>
        <v>178500</v>
      </c>
      <c r="S370" s="62">
        <f t="shared" si="277"/>
        <v>178500</v>
      </c>
      <c r="T370" s="62">
        <f t="shared" si="277"/>
        <v>178500</v>
      </c>
      <c r="U370" s="62">
        <f t="shared" si="277"/>
        <v>178500</v>
      </c>
      <c r="V370" s="62">
        <f t="shared" si="277"/>
        <v>178500</v>
      </c>
      <c r="W370" s="62">
        <f t="shared" si="277"/>
        <v>178500</v>
      </c>
      <c r="X370" s="62">
        <f t="shared" si="277"/>
        <v>178500</v>
      </c>
      <c r="Y370" s="62">
        <f t="shared" si="277"/>
        <v>178500</v>
      </c>
      <c r="Z370" s="62">
        <f t="shared" si="277"/>
        <v>178500</v>
      </c>
      <c r="AA370" s="62">
        <f t="shared" si="277"/>
        <v>178500</v>
      </c>
      <c r="AB370" s="62">
        <f t="shared" si="277"/>
        <v>178500</v>
      </c>
      <c r="AC370" s="62">
        <f t="shared" si="277"/>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8">((1+C358)^C365)*C358/(((1+C358)^C365)-1)*(C354)</f>
        <v>305145.94941897993</v>
      </c>
      <c r="D373" s="63">
        <f t="shared" si="278"/>
        <v>305145.94941897993</v>
      </c>
      <c r="E373" s="63">
        <f t="shared" si="278"/>
        <v>305145.94941897993</v>
      </c>
      <c r="F373" s="63">
        <f t="shared" si="278"/>
        <v>305145.94941897993</v>
      </c>
      <c r="G373" s="63">
        <f t="shared" si="278"/>
        <v>305145.94941897993</v>
      </c>
      <c r="H373" s="63">
        <f t="shared" si="278"/>
        <v>305145.94941897993</v>
      </c>
      <c r="I373" s="63">
        <f t="shared" si="278"/>
        <v>305145.94941897993</v>
      </c>
      <c r="J373" s="63">
        <f t="shared" si="278"/>
        <v>305145.94941897993</v>
      </c>
      <c r="K373" s="63">
        <f t="shared" si="278"/>
        <v>305145.94941897993</v>
      </c>
      <c r="L373" s="63">
        <f t="shared" si="278"/>
        <v>305145.94941897993</v>
      </c>
      <c r="M373" s="63">
        <f t="shared" si="278"/>
        <v>305145.94941897993</v>
      </c>
      <c r="N373" s="63">
        <f t="shared" si="278"/>
        <v>305145.94941897993</v>
      </c>
      <c r="O373" s="63">
        <f t="shared" si="278"/>
        <v>305145.94941897993</v>
      </c>
      <c r="P373" s="63">
        <f t="shared" si="278"/>
        <v>305145.94941897993</v>
      </c>
      <c r="Q373" s="63">
        <f t="shared" si="278"/>
        <v>305145.94941897993</v>
      </c>
      <c r="R373" s="63">
        <f t="shared" si="278"/>
        <v>305145.94941897993</v>
      </c>
      <c r="S373" s="63">
        <f t="shared" si="278"/>
        <v>305145.94941897993</v>
      </c>
      <c r="T373" s="63">
        <f t="shared" si="278"/>
        <v>305145.94941897993</v>
      </c>
      <c r="U373" s="63">
        <f t="shared" si="278"/>
        <v>305145.94941897993</v>
      </c>
      <c r="V373" s="63">
        <f t="shared" si="278"/>
        <v>305145.94941897993</v>
      </c>
      <c r="W373" s="63">
        <f t="shared" si="278"/>
        <v>305145.94941897993</v>
      </c>
      <c r="X373" s="63">
        <f t="shared" si="278"/>
        <v>305145.94941897993</v>
      </c>
      <c r="Y373" s="63">
        <f t="shared" si="278"/>
        <v>305145.94941897993</v>
      </c>
      <c r="Z373" s="63">
        <f t="shared" si="278"/>
        <v>305145.94941897993</v>
      </c>
      <c r="AA373" s="63">
        <f t="shared" si="278"/>
        <v>305145.94941897993</v>
      </c>
      <c r="AB373" s="63">
        <f t="shared" si="278"/>
        <v>305145.94941897993</v>
      </c>
      <c r="AC373" s="63">
        <f t="shared" si="278"/>
        <v>305145.94941897993</v>
      </c>
    </row>
    <row r="374" spans="1:29" x14ac:dyDescent="0.25">
      <c r="A374" s="30" t="str">
        <f>A355</f>
        <v>Residual value (vehicle)</v>
      </c>
      <c r="B374" s="62">
        <f>((1+B358)^B365)*B358/(((1+B358)^B365)-1)*(B355)</f>
        <v>-45369.034506436277</v>
      </c>
      <c r="C374" s="62">
        <f t="shared" ref="C374:AC374" si="279">((1+C358)^C365)*C358/(((1+C358)^C365)-1)*(C355)</f>
        <v>-45196.542704314146</v>
      </c>
      <c r="D374" s="62">
        <f t="shared" si="279"/>
        <v>-44951.629072308999</v>
      </c>
      <c r="E374" s="62">
        <f t="shared" si="279"/>
        <v>-44605.467188167124</v>
      </c>
      <c r="F374" s="62">
        <f t="shared" si="279"/>
        <v>-44119.462148109647</v>
      </c>
      <c r="G374" s="62">
        <f t="shared" si="279"/>
        <v>-43443.738717137028</v>
      </c>
      <c r="H374" s="62">
        <f t="shared" si="279"/>
        <v>-42517.347172137401</v>
      </c>
      <c r="I374" s="62">
        <f t="shared" si="279"/>
        <v>-41272.376203762586</v>
      </c>
      <c r="J374" s="62">
        <f t="shared" si="279"/>
        <v>-39644.958637393647</v>
      </c>
      <c r="K374" s="62">
        <f t="shared" si="279"/>
        <v>-37595.501281822799</v>
      </c>
      <c r="L374" s="62">
        <f t="shared" si="279"/>
        <v>-35136.211284820376</v>
      </c>
      <c r="M374" s="62">
        <f t="shared" si="279"/>
        <v>-32355.310948630464</v>
      </c>
      <c r="N374" s="62">
        <f t="shared" si="279"/>
        <v>-29419.525873461753</v>
      </c>
      <c r="O374" s="62">
        <f t="shared" si="279"/>
        <v>-26541.511557340396</v>
      </c>
      <c r="P374" s="62">
        <f t="shared" si="279"/>
        <v>-23921.595885610663</v>
      </c>
      <c r="Q374" s="62">
        <f t="shared" si="279"/>
        <v>-21695.040647806538</v>
      </c>
      <c r="R374" s="62">
        <f t="shared" si="279"/>
        <v>-19911.968655776182</v>
      </c>
      <c r="S374" s="62">
        <f t="shared" si="279"/>
        <v>-18551.40558747459</v>
      </c>
      <c r="T374" s="62">
        <f t="shared" si="279"/>
        <v>-17551.282614957105</v>
      </c>
      <c r="U374" s="62">
        <f t="shared" si="279"/>
        <v>-16836.209158050464</v>
      </c>
      <c r="V374" s="62">
        <f t="shared" si="279"/>
        <v>-16335.048266557109</v>
      </c>
      <c r="W374" s="62">
        <f t="shared" si="279"/>
        <v>-15988.715286779448</v>
      </c>
      <c r="X374" s="62">
        <f t="shared" si="279"/>
        <v>-15751.702370283236</v>
      </c>
      <c r="Y374" s="62">
        <f t="shared" si="279"/>
        <v>-15590.58521762073</v>
      </c>
      <c r="Z374" s="62">
        <f t="shared" si="279"/>
        <v>-15481.559033229796</v>
      </c>
      <c r="AA374" s="62">
        <f t="shared" si="279"/>
        <v>-15408.009855414111</v>
      </c>
      <c r="AB374" s="62">
        <f t="shared" si="279"/>
        <v>-15358.496914269901</v>
      </c>
      <c r="AC374" s="62">
        <f t="shared" si="279"/>
        <v>-15325.211858527608</v>
      </c>
    </row>
    <row r="375" spans="1:29" x14ac:dyDescent="0.25">
      <c r="A375" s="30" t="str">
        <f>A356</f>
        <v>Capex costumization</v>
      </c>
      <c r="B375" s="62">
        <f>((1+B358)^B366)*B358/(((1+B358)^B366)-1)*(B356)</f>
        <v>305125.4282581982</v>
      </c>
      <c r="C375" s="62">
        <f t="shared" ref="C375:AC375" si="280">((1+C358)^C366)*C358/(((1+C358)^C366)-1)*(C356)</f>
        <v>305125.4282581982</v>
      </c>
      <c r="D375" s="62">
        <f t="shared" si="280"/>
        <v>305125.4282581982</v>
      </c>
      <c r="E375" s="62">
        <f t="shared" si="280"/>
        <v>305125.4282581982</v>
      </c>
      <c r="F375" s="62">
        <f t="shared" si="280"/>
        <v>305125.4282581982</v>
      </c>
      <c r="G375" s="62">
        <f t="shared" si="280"/>
        <v>305125.4282581982</v>
      </c>
      <c r="H375" s="62">
        <f t="shared" si="280"/>
        <v>305125.4282581982</v>
      </c>
      <c r="I375" s="62">
        <f t="shared" si="280"/>
        <v>305125.4282581982</v>
      </c>
      <c r="J375" s="62">
        <f t="shared" si="280"/>
        <v>305125.4282581982</v>
      </c>
      <c r="K375" s="62">
        <f t="shared" si="280"/>
        <v>305125.4282581982</v>
      </c>
      <c r="L375" s="62">
        <f t="shared" si="280"/>
        <v>305125.4282581982</v>
      </c>
      <c r="M375" s="62">
        <f t="shared" si="280"/>
        <v>305125.4282581982</v>
      </c>
      <c r="N375" s="62">
        <f t="shared" si="280"/>
        <v>305125.4282581982</v>
      </c>
      <c r="O375" s="62">
        <f t="shared" si="280"/>
        <v>305125.4282581982</v>
      </c>
      <c r="P375" s="62">
        <f t="shared" si="280"/>
        <v>305125.4282581982</v>
      </c>
      <c r="Q375" s="62">
        <f t="shared" si="280"/>
        <v>305125.4282581982</v>
      </c>
      <c r="R375" s="62">
        <f t="shared" si="280"/>
        <v>305125.4282581982</v>
      </c>
      <c r="S375" s="62">
        <f t="shared" si="280"/>
        <v>305125.4282581982</v>
      </c>
      <c r="T375" s="62">
        <f t="shared" si="280"/>
        <v>305125.4282581982</v>
      </c>
      <c r="U375" s="62">
        <f t="shared" si="280"/>
        <v>305125.4282581982</v>
      </c>
      <c r="V375" s="62">
        <f t="shared" si="280"/>
        <v>305125.4282581982</v>
      </c>
      <c r="W375" s="62">
        <f t="shared" si="280"/>
        <v>305125.4282581982</v>
      </c>
      <c r="X375" s="62">
        <f t="shared" si="280"/>
        <v>305125.4282581982</v>
      </c>
      <c r="Y375" s="62">
        <f t="shared" si="280"/>
        <v>305125.4282581982</v>
      </c>
      <c r="Z375" s="62">
        <f t="shared" si="280"/>
        <v>305125.4282581982</v>
      </c>
      <c r="AA375" s="62">
        <f t="shared" si="280"/>
        <v>305125.4282581982</v>
      </c>
      <c r="AB375" s="62">
        <f t="shared" si="280"/>
        <v>305125.4282581982</v>
      </c>
      <c r="AC375" s="62">
        <f t="shared" si="280"/>
        <v>305125.4282581982</v>
      </c>
    </row>
    <row r="376" spans="1:29" x14ac:dyDescent="0.25">
      <c r="A376" s="30" t="str">
        <f>A357</f>
        <v>Residual value (costumization)</v>
      </c>
      <c r="B376" s="62">
        <f>((1+B358)^B366)*B358/(((1+B358)^B366)-1)*(B357)</f>
        <v>-15256.271412909911</v>
      </c>
      <c r="C376" s="62">
        <f t="shared" ref="C376:AC376" si="281">((1+C358)^C366)*C358/(((1+C358)^C366)-1)*(C357)</f>
        <v>-15256.271412909911</v>
      </c>
      <c r="D376" s="62">
        <f t="shared" si="281"/>
        <v>-15256.271412909911</v>
      </c>
      <c r="E376" s="62">
        <f t="shared" si="281"/>
        <v>-15256.271412909911</v>
      </c>
      <c r="F376" s="62">
        <f t="shared" si="281"/>
        <v>-15256.271412909911</v>
      </c>
      <c r="G376" s="62">
        <f t="shared" si="281"/>
        <v>-15256.271412909911</v>
      </c>
      <c r="H376" s="62">
        <f t="shared" si="281"/>
        <v>-15256.271412909911</v>
      </c>
      <c r="I376" s="62">
        <f t="shared" si="281"/>
        <v>-15256.271412909911</v>
      </c>
      <c r="J376" s="62">
        <f t="shared" si="281"/>
        <v>-15256.271412909911</v>
      </c>
      <c r="K376" s="62">
        <f t="shared" si="281"/>
        <v>-15256.271412909911</v>
      </c>
      <c r="L376" s="62">
        <f t="shared" si="281"/>
        <v>-15256.271412909911</v>
      </c>
      <c r="M376" s="62">
        <f t="shared" si="281"/>
        <v>-15256.271412909911</v>
      </c>
      <c r="N376" s="62">
        <f t="shared" si="281"/>
        <v>-15256.271412909911</v>
      </c>
      <c r="O376" s="62">
        <f t="shared" si="281"/>
        <v>-15256.271412909911</v>
      </c>
      <c r="P376" s="62">
        <f t="shared" si="281"/>
        <v>-15256.271412909911</v>
      </c>
      <c r="Q376" s="62">
        <f t="shared" si="281"/>
        <v>-15256.271412909911</v>
      </c>
      <c r="R376" s="62">
        <f t="shared" si="281"/>
        <v>-15256.271412909911</v>
      </c>
      <c r="S376" s="62">
        <f t="shared" si="281"/>
        <v>-15256.271412909911</v>
      </c>
      <c r="T376" s="62">
        <f t="shared" si="281"/>
        <v>-15256.271412909911</v>
      </c>
      <c r="U376" s="62">
        <f t="shared" si="281"/>
        <v>-15256.271412909911</v>
      </c>
      <c r="V376" s="62">
        <f t="shared" si="281"/>
        <v>-15256.271412909911</v>
      </c>
      <c r="W376" s="62">
        <f t="shared" si="281"/>
        <v>-15256.271412909911</v>
      </c>
      <c r="X376" s="62">
        <f t="shared" si="281"/>
        <v>-15256.271412909911</v>
      </c>
      <c r="Y376" s="62">
        <f t="shared" si="281"/>
        <v>-15256.271412909911</v>
      </c>
      <c r="Z376" s="62">
        <f t="shared" si="281"/>
        <v>-15256.271412909911</v>
      </c>
      <c r="AA376" s="62">
        <f t="shared" si="281"/>
        <v>-15256.271412909911</v>
      </c>
      <c r="AB376" s="62">
        <f t="shared" si="281"/>
        <v>-15256.271412909911</v>
      </c>
      <c r="AC376" s="62">
        <f t="shared" si="281"/>
        <v>-15256.271412909911</v>
      </c>
    </row>
    <row r="377" spans="1:29" x14ac:dyDescent="0.25">
      <c r="A377" s="30" t="str">
        <f t="shared" ref="A377:AC377" si="282">A359</f>
        <v>Opex fix (admin, crew, insurance)</v>
      </c>
      <c r="B377" s="62">
        <f t="shared" si="282"/>
        <v>1450000</v>
      </c>
      <c r="C377" s="62">
        <f t="shared" si="282"/>
        <v>1450000</v>
      </c>
      <c r="D377" s="62">
        <f t="shared" si="282"/>
        <v>1450000</v>
      </c>
      <c r="E377" s="62">
        <f t="shared" si="282"/>
        <v>1450000</v>
      </c>
      <c r="F377" s="62">
        <f t="shared" si="282"/>
        <v>1450000</v>
      </c>
      <c r="G377" s="62">
        <f t="shared" si="282"/>
        <v>1450000</v>
      </c>
      <c r="H377" s="62">
        <f t="shared" si="282"/>
        <v>1450000</v>
      </c>
      <c r="I377" s="62">
        <f t="shared" si="282"/>
        <v>1450000</v>
      </c>
      <c r="J377" s="62">
        <f t="shared" si="282"/>
        <v>1450000</v>
      </c>
      <c r="K377" s="62">
        <f t="shared" si="282"/>
        <v>1450000</v>
      </c>
      <c r="L377" s="62">
        <f t="shared" si="282"/>
        <v>1450000</v>
      </c>
      <c r="M377" s="62">
        <f t="shared" si="282"/>
        <v>1450000</v>
      </c>
      <c r="N377" s="62">
        <f t="shared" si="282"/>
        <v>1450000</v>
      </c>
      <c r="O377" s="62">
        <f t="shared" si="282"/>
        <v>1450000</v>
      </c>
      <c r="P377" s="62">
        <f t="shared" si="282"/>
        <v>1450000</v>
      </c>
      <c r="Q377" s="62">
        <f t="shared" si="282"/>
        <v>1450000</v>
      </c>
      <c r="R377" s="62">
        <f t="shared" si="282"/>
        <v>1450000</v>
      </c>
      <c r="S377" s="62">
        <f t="shared" si="282"/>
        <v>1450000</v>
      </c>
      <c r="T377" s="62">
        <f t="shared" si="282"/>
        <v>1450000</v>
      </c>
      <c r="U377" s="62">
        <f t="shared" si="282"/>
        <v>1450000</v>
      </c>
      <c r="V377" s="62">
        <f t="shared" si="282"/>
        <v>1450000</v>
      </c>
      <c r="W377" s="62">
        <f t="shared" si="282"/>
        <v>1450000</v>
      </c>
      <c r="X377" s="62">
        <f t="shared" si="282"/>
        <v>1450000</v>
      </c>
      <c r="Y377" s="62">
        <f t="shared" si="282"/>
        <v>1450000</v>
      </c>
      <c r="Z377" s="62">
        <f t="shared" si="282"/>
        <v>1450000</v>
      </c>
      <c r="AA377" s="62">
        <f t="shared" si="282"/>
        <v>1450000</v>
      </c>
      <c r="AB377" s="62">
        <f t="shared" si="282"/>
        <v>1450000</v>
      </c>
      <c r="AC377" s="62">
        <f t="shared" si="282"/>
        <v>1450000</v>
      </c>
    </row>
    <row r="378" spans="1:29" x14ac:dyDescent="0.25">
      <c r="A378" s="30" t="str">
        <f t="shared" ref="A378:AC378" si="283">A360</f>
        <v>Opex maintenance &amp; repair</v>
      </c>
      <c r="B378" s="62">
        <f t="shared" si="283"/>
        <v>1050000</v>
      </c>
      <c r="C378" s="62">
        <f t="shared" si="283"/>
        <v>1050000</v>
      </c>
      <c r="D378" s="62">
        <f t="shared" si="283"/>
        <v>1050000</v>
      </c>
      <c r="E378" s="62">
        <f t="shared" si="283"/>
        <v>1050000</v>
      </c>
      <c r="F378" s="62">
        <f t="shared" si="283"/>
        <v>1050000</v>
      </c>
      <c r="G378" s="62">
        <f t="shared" si="283"/>
        <v>1050000</v>
      </c>
      <c r="H378" s="62">
        <f t="shared" si="283"/>
        <v>1050000</v>
      </c>
      <c r="I378" s="62">
        <f t="shared" si="283"/>
        <v>1050000</v>
      </c>
      <c r="J378" s="62">
        <f t="shared" si="283"/>
        <v>1050000</v>
      </c>
      <c r="K378" s="62">
        <f t="shared" si="283"/>
        <v>1050000</v>
      </c>
      <c r="L378" s="62">
        <f t="shared" si="283"/>
        <v>1050000</v>
      </c>
      <c r="M378" s="62">
        <f t="shared" si="283"/>
        <v>1050000</v>
      </c>
      <c r="N378" s="62">
        <f t="shared" si="283"/>
        <v>1050000</v>
      </c>
      <c r="O378" s="62">
        <f t="shared" si="283"/>
        <v>1050000</v>
      </c>
      <c r="P378" s="62">
        <f t="shared" si="283"/>
        <v>1050000</v>
      </c>
      <c r="Q378" s="62">
        <f t="shared" si="283"/>
        <v>1050000</v>
      </c>
      <c r="R378" s="62">
        <f t="shared" si="283"/>
        <v>1050000</v>
      </c>
      <c r="S378" s="62">
        <f t="shared" si="283"/>
        <v>1050000</v>
      </c>
      <c r="T378" s="62">
        <f t="shared" si="283"/>
        <v>1050000</v>
      </c>
      <c r="U378" s="62">
        <f t="shared" si="283"/>
        <v>1050000</v>
      </c>
      <c r="V378" s="62">
        <f t="shared" si="283"/>
        <v>1050000</v>
      </c>
      <c r="W378" s="62">
        <f t="shared" si="283"/>
        <v>1050000</v>
      </c>
      <c r="X378" s="62">
        <f t="shared" si="283"/>
        <v>1050000</v>
      </c>
      <c r="Y378" s="62">
        <f t="shared" si="283"/>
        <v>1050000</v>
      </c>
      <c r="Z378" s="62">
        <f t="shared" si="283"/>
        <v>1050000</v>
      </c>
      <c r="AA378" s="62">
        <f t="shared" si="283"/>
        <v>1050000</v>
      </c>
      <c r="AB378" s="62">
        <f t="shared" si="283"/>
        <v>1050000</v>
      </c>
      <c r="AC378" s="62">
        <f t="shared" si="283"/>
        <v>1050000</v>
      </c>
    </row>
    <row r="379" spans="1:29" x14ac:dyDescent="0.25">
      <c r="A379" s="30" t="str">
        <f>A361</f>
        <v>Opex var (mode-fees, shunting)</v>
      </c>
      <c r="B379" s="62">
        <f>B361*B370</f>
        <v>1600000</v>
      </c>
      <c r="C379" s="62">
        <f t="shared" ref="C379:AC379" si="284">C361*C370</f>
        <v>1600000</v>
      </c>
      <c r="D379" s="62">
        <f t="shared" si="284"/>
        <v>1600000</v>
      </c>
      <c r="E379" s="62">
        <f t="shared" si="284"/>
        <v>1600000</v>
      </c>
      <c r="F379" s="62">
        <f t="shared" si="284"/>
        <v>1600000</v>
      </c>
      <c r="G379" s="62">
        <f t="shared" si="284"/>
        <v>1600000</v>
      </c>
      <c r="H379" s="62">
        <f t="shared" si="284"/>
        <v>1600000</v>
      </c>
      <c r="I379" s="62">
        <f t="shared" si="284"/>
        <v>1600000</v>
      </c>
      <c r="J379" s="62">
        <f t="shared" si="284"/>
        <v>1600000</v>
      </c>
      <c r="K379" s="62">
        <f t="shared" si="284"/>
        <v>1600000</v>
      </c>
      <c r="L379" s="62">
        <f t="shared" si="284"/>
        <v>1600000</v>
      </c>
      <c r="M379" s="62">
        <f t="shared" si="284"/>
        <v>1600000</v>
      </c>
      <c r="N379" s="62">
        <f t="shared" si="284"/>
        <v>1600000</v>
      </c>
      <c r="O379" s="62">
        <f t="shared" si="284"/>
        <v>1600000</v>
      </c>
      <c r="P379" s="62">
        <f t="shared" si="284"/>
        <v>1600000</v>
      </c>
      <c r="Q379" s="62">
        <f t="shared" si="284"/>
        <v>1600000</v>
      </c>
      <c r="R379" s="62">
        <f t="shared" si="284"/>
        <v>1600000</v>
      </c>
      <c r="S379" s="62">
        <f t="shared" si="284"/>
        <v>1600000</v>
      </c>
      <c r="T379" s="62">
        <f t="shared" si="284"/>
        <v>1600000</v>
      </c>
      <c r="U379" s="62">
        <f t="shared" si="284"/>
        <v>1600000</v>
      </c>
      <c r="V379" s="62">
        <f t="shared" si="284"/>
        <v>1600000</v>
      </c>
      <c r="W379" s="62">
        <f t="shared" si="284"/>
        <v>1600000</v>
      </c>
      <c r="X379" s="62">
        <f t="shared" si="284"/>
        <v>1600000</v>
      </c>
      <c r="Y379" s="62">
        <f t="shared" si="284"/>
        <v>1600000</v>
      </c>
      <c r="Z379" s="62">
        <f t="shared" si="284"/>
        <v>1600000</v>
      </c>
      <c r="AA379" s="62">
        <f t="shared" si="284"/>
        <v>1600000</v>
      </c>
      <c r="AB379" s="62">
        <f t="shared" si="284"/>
        <v>1600000</v>
      </c>
      <c r="AC379" s="62">
        <f t="shared" si="284"/>
        <v>1600000</v>
      </c>
    </row>
    <row r="380" spans="1:29" x14ac:dyDescent="0.25">
      <c r="A380" s="30" t="str">
        <f>A363</f>
        <v>Fuel Cost</v>
      </c>
      <c r="B380" s="62">
        <f>B362*B363*B370</f>
        <v>888107.33883428562</v>
      </c>
      <c r="C380" s="62">
        <f t="shared" ref="C380:AC380" si="285">C362*C363*C370</f>
        <v>864633.13604571414</v>
      </c>
      <c r="D380" s="62">
        <f t="shared" si="285"/>
        <v>841158.93325714278</v>
      </c>
      <c r="E380" s="62">
        <f t="shared" si="285"/>
        <v>817684.73046857142</v>
      </c>
      <c r="F380" s="62">
        <f t="shared" si="285"/>
        <v>794210.52768000006</v>
      </c>
      <c r="G380" s="62">
        <f t="shared" si="285"/>
        <v>770736.3248914287</v>
      </c>
      <c r="H380" s="62">
        <f t="shared" si="285"/>
        <v>747262.12210285733</v>
      </c>
      <c r="I380" s="62">
        <f t="shared" si="285"/>
        <v>723787.91931428586</v>
      </c>
      <c r="J380" s="62">
        <f t="shared" si="285"/>
        <v>716941.27683428582</v>
      </c>
      <c r="K380" s="62">
        <f t="shared" si="285"/>
        <v>710094.63435428578</v>
      </c>
      <c r="L380" s="62">
        <f t="shared" si="285"/>
        <v>703247.99187428586</v>
      </c>
      <c r="M380" s="62">
        <f t="shared" si="285"/>
        <v>696401.34939428582</v>
      </c>
      <c r="N380" s="62">
        <f t="shared" si="285"/>
        <v>689554.70691428578</v>
      </c>
      <c r="O380" s="62">
        <f t="shared" si="285"/>
        <v>682708.06443428574</v>
      </c>
      <c r="P380" s="62">
        <f t="shared" si="285"/>
        <v>675861.4219542857</v>
      </c>
      <c r="Q380" s="62">
        <f t="shared" si="285"/>
        <v>669014.77947428578</v>
      </c>
      <c r="R380" s="62">
        <f t="shared" si="285"/>
        <v>662168.13699428574</v>
      </c>
      <c r="S380" s="62">
        <f t="shared" si="285"/>
        <v>655321.4945142857</v>
      </c>
      <c r="T380" s="62">
        <f t="shared" si="285"/>
        <v>648474.85203428578</v>
      </c>
      <c r="U380" s="62">
        <f t="shared" si="285"/>
        <v>641628.20955428574</v>
      </c>
      <c r="V380" s="62">
        <f t="shared" si="285"/>
        <v>634781.5670742857</v>
      </c>
      <c r="W380" s="62">
        <f t="shared" si="285"/>
        <v>627934.92459428578</v>
      </c>
      <c r="X380" s="62">
        <f t="shared" si="285"/>
        <v>621088.28211428586</v>
      </c>
      <c r="Y380" s="62">
        <f t="shared" si="285"/>
        <v>614241.63963428582</v>
      </c>
      <c r="Z380" s="62">
        <f t="shared" si="285"/>
        <v>607394.99715428578</v>
      </c>
      <c r="AA380" s="62">
        <f t="shared" si="285"/>
        <v>600548.35467428586</v>
      </c>
      <c r="AB380" s="62">
        <f t="shared" si="285"/>
        <v>593701.71219428582</v>
      </c>
      <c r="AC380" s="62">
        <f t="shared" si="285"/>
        <v>586855.06971428578</v>
      </c>
    </row>
    <row r="381" spans="1:29" ht="15.75" thickBot="1" x14ac:dyDescent="0.3">
      <c r="A381" s="59" t="str">
        <f>A344</f>
        <v>Emission Cost</v>
      </c>
      <c r="B381" s="62">
        <f>B364*B370</f>
        <v>0</v>
      </c>
      <c r="C381" s="62">
        <f t="shared" ref="C381:AC381" si="286">C364*C370</f>
        <v>0</v>
      </c>
      <c r="D381" s="62">
        <f t="shared" si="286"/>
        <v>0</v>
      </c>
      <c r="E381" s="62">
        <f t="shared" si="286"/>
        <v>0</v>
      </c>
      <c r="F381" s="62">
        <f t="shared" si="286"/>
        <v>0</v>
      </c>
      <c r="G381" s="62">
        <f t="shared" si="286"/>
        <v>0</v>
      </c>
      <c r="H381" s="62">
        <f t="shared" si="286"/>
        <v>0</v>
      </c>
      <c r="I381" s="62">
        <f t="shared" si="286"/>
        <v>0</v>
      </c>
      <c r="J381" s="62">
        <f t="shared" si="286"/>
        <v>0</v>
      </c>
      <c r="K381" s="62">
        <f t="shared" si="286"/>
        <v>0</v>
      </c>
      <c r="L381" s="62">
        <f t="shared" si="286"/>
        <v>0</v>
      </c>
      <c r="M381" s="62">
        <f t="shared" si="286"/>
        <v>0</v>
      </c>
      <c r="N381" s="62">
        <f t="shared" si="286"/>
        <v>0</v>
      </c>
      <c r="O381" s="62">
        <f t="shared" si="286"/>
        <v>0</v>
      </c>
      <c r="P381" s="62">
        <f t="shared" si="286"/>
        <v>0</v>
      </c>
      <c r="Q381" s="62">
        <f t="shared" si="286"/>
        <v>0</v>
      </c>
      <c r="R381" s="62">
        <f t="shared" si="286"/>
        <v>0</v>
      </c>
      <c r="S381" s="62">
        <f t="shared" si="286"/>
        <v>0</v>
      </c>
      <c r="T381" s="62">
        <f t="shared" si="286"/>
        <v>0</v>
      </c>
      <c r="U381" s="62">
        <f t="shared" si="286"/>
        <v>0</v>
      </c>
      <c r="V381" s="62">
        <f t="shared" si="286"/>
        <v>0</v>
      </c>
      <c r="W381" s="62">
        <f t="shared" si="286"/>
        <v>0</v>
      </c>
      <c r="X381" s="62">
        <f t="shared" si="286"/>
        <v>0</v>
      </c>
      <c r="Y381" s="62">
        <f t="shared" si="286"/>
        <v>0</v>
      </c>
      <c r="Z381" s="62">
        <f t="shared" si="286"/>
        <v>0</v>
      </c>
      <c r="AA381" s="62">
        <f t="shared" si="286"/>
        <v>0</v>
      </c>
      <c r="AB381" s="62">
        <f t="shared" si="286"/>
        <v>0</v>
      </c>
      <c r="AC381" s="62">
        <f t="shared" si="286"/>
        <v>0</v>
      </c>
    </row>
    <row r="382" spans="1:29" ht="15.75" thickBot="1" x14ac:dyDescent="0.3">
      <c r="A382" s="31" t="s">
        <v>209</v>
      </c>
      <c r="B382" s="64">
        <f>B373+B374+B375+B376+B377+B378+B379+B380+B381</f>
        <v>5537753.4105921173</v>
      </c>
      <c r="C382" s="64">
        <f t="shared" ref="C382:AC382" si="287">C373+C374+C375+C376+C377+C378+C379+C380+C381</f>
        <v>5514451.699605668</v>
      </c>
      <c r="D382" s="64">
        <f t="shared" si="287"/>
        <v>5491222.4104491016</v>
      </c>
      <c r="E382" s="64">
        <f t="shared" si="287"/>
        <v>5468094.3695446718</v>
      </c>
      <c r="F382" s="64">
        <f t="shared" si="287"/>
        <v>5445106.1717961589</v>
      </c>
      <c r="G382" s="64">
        <f t="shared" si="287"/>
        <v>5422307.6924385596</v>
      </c>
      <c r="H382" s="64">
        <f t="shared" si="287"/>
        <v>5399759.8811949883</v>
      </c>
      <c r="I382" s="64">
        <f t="shared" si="287"/>
        <v>5377530.6493747914</v>
      </c>
      <c r="J382" s="64">
        <f t="shared" si="287"/>
        <v>5372311.4244611608</v>
      </c>
      <c r="K382" s="64">
        <f t="shared" si="287"/>
        <v>5367514.2393367309</v>
      </c>
      <c r="L382" s="64">
        <f t="shared" si="287"/>
        <v>5363126.886853734</v>
      </c>
      <c r="M382" s="64">
        <f t="shared" si="287"/>
        <v>5359061.1447099242</v>
      </c>
      <c r="N382" s="64">
        <f t="shared" si="287"/>
        <v>5355150.2873050924</v>
      </c>
      <c r="O382" s="64">
        <f t="shared" si="287"/>
        <v>5351181.6591412146</v>
      </c>
      <c r="P382" s="64">
        <f t="shared" si="287"/>
        <v>5346954.9323329423</v>
      </c>
      <c r="Q382" s="64">
        <f t="shared" si="287"/>
        <v>5342334.8450907469</v>
      </c>
      <c r="R382" s="64">
        <f t="shared" si="287"/>
        <v>5337271.2746027773</v>
      </c>
      <c r="S382" s="64">
        <f t="shared" si="287"/>
        <v>5331785.1951910788</v>
      </c>
      <c r="T382" s="64">
        <f t="shared" si="287"/>
        <v>5325938.6756835971</v>
      </c>
      <c r="U382" s="64">
        <f t="shared" si="287"/>
        <v>5319807.106660503</v>
      </c>
      <c r="V382" s="64">
        <f t="shared" si="287"/>
        <v>5313461.6250719968</v>
      </c>
      <c r="W382" s="64">
        <f t="shared" si="287"/>
        <v>5306961.3155717747</v>
      </c>
      <c r="X382" s="64">
        <f t="shared" si="287"/>
        <v>5300351.6860082708</v>
      </c>
      <c r="Y382" s="64">
        <f t="shared" si="287"/>
        <v>5293666.1606809339</v>
      </c>
      <c r="Z382" s="64">
        <f t="shared" si="287"/>
        <v>5286928.5443853242</v>
      </c>
      <c r="AA382" s="64">
        <f t="shared" si="287"/>
        <v>5280155.4510831404</v>
      </c>
      <c r="AB382" s="64">
        <f t="shared" si="287"/>
        <v>5273358.321544284</v>
      </c>
      <c r="AC382" s="64">
        <f t="shared" si="287"/>
        <v>5266544.9641200257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8">A373</f>
        <v>Capex vehicle</v>
      </c>
      <c r="B385" s="65">
        <f>((1+B358)^B365)*B358/(((1+B358)^B365)-1)*(B354)/B370</f>
        <v>1.7095011171931649</v>
      </c>
      <c r="C385" s="65">
        <f t="shared" ref="C385:AC385" si="289">((1+C358)^C365)*C358/(((1+C358)^C365)-1)*(C354)/C370</f>
        <v>1.7095011171931649</v>
      </c>
      <c r="D385" s="65">
        <f t="shared" si="289"/>
        <v>1.7095011171931649</v>
      </c>
      <c r="E385" s="65">
        <f t="shared" si="289"/>
        <v>1.7095011171931649</v>
      </c>
      <c r="F385" s="65">
        <f t="shared" si="289"/>
        <v>1.7095011171931649</v>
      </c>
      <c r="G385" s="65">
        <f t="shared" si="289"/>
        <v>1.7095011171931649</v>
      </c>
      <c r="H385" s="65">
        <f t="shared" si="289"/>
        <v>1.7095011171931649</v>
      </c>
      <c r="I385" s="65">
        <f t="shared" si="289"/>
        <v>1.7095011171931649</v>
      </c>
      <c r="J385" s="65">
        <f t="shared" si="289"/>
        <v>1.7095011171931649</v>
      </c>
      <c r="K385" s="65">
        <f t="shared" si="289"/>
        <v>1.7095011171931649</v>
      </c>
      <c r="L385" s="65">
        <f t="shared" si="289"/>
        <v>1.7095011171931649</v>
      </c>
      <c r="M385" s="65">
        <f t="shared" si="289"/>
        <v>1.7095011171931649</v>
      </c>
      <c r="N385" s="65">
        <f t="shared" si="289"/>
        <v>1.7095011171931649</v>
      </c>
      <c r="O385" s="65">
        <f t="shared" si="289"/>
        <v>1.7095011171931649</v>
      </c>
      <c r="P385" s="65">
        <f t="shared" si="289"/>
        <v>1.7095011171931649</v>
      </c>
      <c r="Q385" s="65">
        <f t="shared" si="289"/>
        <v>1.7095011171931649</v>
      </c>
      <c r="R385" s="65">
        <f t="shared" si="289"/>
        <v>1.7095011171931649</v>
      </c>
      <c r="S385" s="65">
        <f t="shared" si="289"/>
        <v>1.7095011171931649</v>
      </c>
      <c r="T385" s="65">
        <f t="shared" si="289"/>
        <v>1.7095011171931649</v>
      </c>
      <c r="U385" s="65">
        <f t="shared" si="289"/>
        <v>1.7095011171931649</v>
      </c>
      <c r="V385" s="65">
        <f t="shared" si="289"/>
        <v>1.7095011171931649</v>
      </c>
      <c r="W385" s="65">
        <f t="shared" si="289"/>
        <v>1.7095011171931649</v>
      </c>
      <c r="X385" s="65">
        <f t="shared" si="289"/>
        <v>1.7095011171931649</v>
      </c>
      <c r="Y385" s="65">
        <f t="shared" si="289"/>
        <v>1.7095011171931649</v>
      </c>
      <c r="Z385" s="65">
        <f t="shared" si="289"/>
        <v>1.7095011171931649</v>
      </c>
      <c r="AA385" s="65">
        <f t="shared" si="289"/>
        <v>1.7095011171931649</v>
      </c>
      <c r="AB385" s="65">
        <f t="shared" si="289"/>
        <v>1.7095011171931649</v>
      </c>
      <c r="AC385" s="65">
        <f t="shared" si="289"/>
        <v>1.7095011171931649</v>
      </c>
    </row>
    <row r="386" spans="1:29" x14ac:dyDescent="0.25">
      <c r="A386" s="30" t="str">
        <f t="shared" si="288"/>
        <v>Residual value (vehicle)</v>
      </c>
      <c r="B386" s="66">
        <f>((1+B358)^B365)*B358/(((1+B358)^B365)-1)*(B355)/B370</f>
        <v>-0.25416826054025926</v>
      </c>
      <c r="C386" s="66">
        <f t="shared" ref="C386:AC386" si="290">((1+C358)^C365)*C358/(((1+C358)^C365)-1)*(C355)/C370</f>
        <v>-0.2532019199121241</v>
      </c>
      <c r="D386" s="66">
        <f t="shared" si="290"/>
        <v>-0.25182985474682912</v>
      </c>
      <c r="E386" s="66">
        <f t="shared" si="290"/>
        <v>-0.24989057248272897</v>
      </c>
      <c r="F386" s="66">
        <f t="shared" si="290"/>
        <v>-0.24716785517148263</v>
      </c>
      <c r="G386" s="66">
        <f t="shared" si="290"/>
        <v>-0.2433822897318601</v>
      </c>
      <c r="H386" s="66">
        <f t="shared" si="290"/>
        <v>-0.23819242113242242</v>
      </c>
      <c r="I386" s="66">
        <f t="shared" si="290"/>
        <v>-0.23121779385861393</v>
      </c>
      <c r="J386" s="66">
        <f t="shared" si="290"/>
        <v>-0.22210060861284955</v>
      </c>
      <c r="K386" s="66">
        <f t="shared" si="290"/>
        <v>-0.21061905480012771</v>
      </c>
      <c r="L386" s="66">
        <f t="shared" si="290"/>
        <v>-0.19684151980291528</v>
      </c>
      <c r="M386" s="66">
        <f t="shared" si="290"/>
        <v>-0.18126224621081494</v>
      </c>
      <c r="N386" s="66">
        <f t="shared" si="290"/>
        <v>-0.16481527099978574</v>
      </c>
      <c r="O386" s="66">
        <f t="shared" si="290"/>
        <v>-0.14869194149770532</v>
      </c>
      <c r="P386" s="66">
        <f t="shared" si="290"/>
        <v>-0.13401454277653033</v>
      </c>
      <c r="Q386" s="66">
        <f t="shared" si="290"/>
        <v>-0.12154084396530274</v>
      </c>
      <c r="R386" s="66">
        <f t="shared" si="290"/>
        <v>-0.11155164513039878</v>
      </c>
      <c r="S386" s="66">
        <f t="shared" si="290"/>
        <v>-0.10392944306708454</v>
      </c>
      <c r="T386" s="66">
        <f t="shared" si="290"/>
        <v>-9.8326513249059416E-2</v>
      </c>
      <c r="U386" s="66">
        <f t="shared" si="290"/>
        <v>-9.4320499484876544E-2</v>
      </c>
      <c r="V386" s="66">
        <f t="shared" si="290"/>
        <v>-9.1512875442896963E-2</v>
      </c>
      <c r="W386" s="66">
        <f t="shared" si="290"/>
        <v>-8.9572634659828843E-2</v>
      </c>
      <c r="X386" s="66">
        <f t="shared" si="290"/>
        <v>-8.8244831206068547E-2</v>
      </c>
      <c r="Y386" s="66">
        <f t="shared" si="290"/>
        <v>-8.734221410431782E-2</v>
      </c>
      <c r="Z386" s="66">
        <f t="shared" si="290"/>
        <v>-8.6731423155348999E-2</v>
      </c>
      <c r="AA386" s="66">
        <f t="shared" si="290"/>
        <v>-8.631938294349642E-2</v>
      </c>
      <c r="AB386" s="66">
        <f t="shared" si="290"/>
        <v>-8.6041999519719331E-2</v>
      </c>
      <c r="AC386" s="66">
        <f t="shared" si="290"/>
        <v>-8.5855528619202287E-2</v>
      </c>
    </row>
    <row r="387" spans="1:29" x14ac:dyDescent="0.25">
      <c r="A387" s="30" t="str">
        <f t="shared" si="288"/>
        <v>Capex costumization</v>
      </c>
      <c r="B387" s="66">
        <f>((1+B358)^B366)*B358/(((1+B358)^B366)-1)*(B356)/B370</f>
        <v>1.7093861527069927</v>
      </c>
      <c r="C387" s="66">
        <f t="shared" ref="C387:AC387" si="291">((1+C358)^C366)*C358/(((1+C358)^C366)-1)*(C356)/C370</f>
        <v>1.7093861527069927</v>
      </c>
      <c r="D387" s="66">
        <f t="shared" si="291"/>
        <v>1.7093861527069927</v>
      </c>
      <c r="E387" s="66">
        <f t="shared" si="291"/>
        <v>1.7093861527069927</v>
      </c>
      <c r="F387" s="66">
        <f t="shared" si="291"/>
        <v>1.7093861527069927</v>
      </c>
      <c r="G387" s="66">
        <f t="shared" si="291"/>
        <v>1.7093861527069927</v>
      </c>
      <c r="H387" s="66">
        <f t="shared" si="291"/>
        <v>1.7093861527069927</v>
      </c>
      <c r="I387" s="66">
        <f t="shared" si="291"/>
        <v>1.7093861527069927</v>
      </c>
      <c r="J387" s="66">
        <f t="shared" si="291"/>
        <v>1.7093861527069927</v>
      </c>
      <c r="K387" s="66">
        <f t="shared" si="291"/>
        <v>1.7093861527069927</v>
      </c>
      <c r="L387" s="66">
        <f t="shared" si="291"/>
        <v>1.7093861527069927</v>
      </c>
      <c r="M387" s="66">
        <f t="shared" si="291"/>
        <v>1.7093861527069927</v>
      </c>
      <c r="N387" s="66">
        <f t="shared" si="291"/>
        <v>1.7093861527069927</v>
      </c>
      <c r="O387" s="66">
        <f t="shared" si="291"/>
        <v>1.7093861527069927</v>
      </c>
      <c r="P387" s="66">
        <f t="shared" si="291"/>
        <v>1.7093861527069927</v>
      </c>
      <c r="Q387" s="66">
        <f t="shared" si="291"/>
        <v>1.7093861527069927</v>
      </c>
      <c r="R387" s="66">
        <f t="shared" si="291"/>
        <v>1.7093861527069927</v>
      </c>
      <c r="S387" s="66">
        <f t="shared" si="291"/>
        <v>1.7093861527069927</v>
      </c>
      <c r="T387" s="66">
        <f t="shared" si="291"/>
        <v>1.7093861527069927</v>
      </c>
      <c r="U387" s="66">
        <f t="shared" si="291"/>
        <v>1.7093861527069927</v>
      </c>
      <c r="V387" s="66">
        <f t="shared" si="291"/>
        <v>1.7093861527069927</v>
      </c>
      <c r="W387" s="66">
        <f t="shared" si="291"/>
        <v>1.7093861527069927</v>
      </c>
      <c r="X387" s="66">
        <f t="shared" si="291"/>
        <v>1.7093861527069927</v>
      </c>
      <c r="Y387" s="66">
        <f t="shared" si="291"/>
        <v>1.7093861527069927</v>
      </c>
      <c r="Z387" s="66">
        <f t="shared" si="291"/>
        <v>1.7093861527069927</v>
      </c>
      <c r="AA387" s="66">
        <f t="shared" si="291"/>
        <v>1.7093861527069927</v>
      </c>
      <c r="AB387" s="66">
        <f t="shared" si="291"/>
        <v>1.7093861527069927</v>
      </c>
      <c r="AC387" s="66">
        <f t="shared" si="291"/>
        <v>1.7093861527069927</v>
      </c>
    </row>
    <row r="388" spans="1:29" x14ac:dyDescent="0.25">
      <c r="A388" s="30" t="str">
        <f t="shared" si="288"/>
        <v>Residual value (costumization)</v>
      </c>
      <c r="B388" s="66">
        <f>((1+B358)^B366)*B358/(((1+B358)^B366)-1)*(B357)/B370</f>
        <v>-8.5469307635349642E-2</v>
      </c>
      <c r="C388" s="66">
        <f t="shared" ref="C388:AC388" si="292">((1+C358)^C366)*C358/(((1+C358)^C366)-1)*(C357)/C370</f>
        <v>-8.5469307635349642E-2</v>
      </c>
      <c r="D388" s="66">
        <f t="shared" si="292"/>
        <v>-8.5469307635349642E-2</v>
      </c>
      <c r="E388" s="66">
        <f t="shared" si="292"/>
        <v>-8.5469307635349642E-2</v>
      </c>
      <c r="F388" s="66">
        <f t="shared" si="292"/>
        <v>-8.5469307635349642E-2</v>
      </c>
      <c r="G388" s="66">
        <f t="shared" si="292"/>
        <v>-8.5469307635349642E-2</v>
      </c>
      <c r="H388" s="66">
        <f t="shared" si="292"/>
        <v>-8.5469307635349642E-2</v>
      </c>
      <c r="I388" s="66">
        <f t="shared" si="292"/>
        <v>-8.5469307635349642E-2</v>
      </c>
      <c r="J388" s="66">
        <f t="shared" si="292"/>
        <v>-8.5469307635349642E-2</v>
      </c>
      <c r="K388" s="66">
        <f t="shared" si="292"/>
        <v>-8.5469307635349642E-2</v>
      </c>
      <c r="L388" s="66">
        <f t="shared" si="292"/>
        <v>-8.5469307635349642E-2</v>
      </c>
      <c r="M388" s="66">
        <f t="shared" si="292"/>
        <v>-8.5469307635349642E-2</v>
      </c>
      <c r="N388" s="66">
        <f t="shared" si="292"/>
        <v>-8.5469307635349642E-2</v>
      </c>
      <c r="O388" s="66">
        <f t="shared" si="292"/>
        <v>-8.5469307635349642E-2</v>
      </c>
      <c r="P388" s="66">
        <f t="shared" si="292"/>
        <v>-8.5469307635349642E-2</v>
      </c>
      <c r="Q388" s="66">
        <f t="shared" si="292"/>
        <v>-8.5469307635349642E-2</v>
      </c>
      <c r="R388" s="66">
        <f t="shared" si="292"/>
        <v>-8.5469307635349642E-2</v>
      </c>
      <c r="S388" s="66">
        <f t="shared" si="292"/>
        <v>-8.5469307635349642E-2</v>
      </c>
      <c r="T388" s="66">
        <f t="shared" si="292"/>
        <v>-8.5469307635349642E-2</v>
      </c>
      <c r="U388" s="66">
        <f t="shared" si="292"/>
        <v>-8.5469307635349642E-2</v>
      </c>
      <c r="V388" s="66">
        <f t="shared" si="292"/>
        <v>-8.5469307635349642E-2</v>
      </c>
      <c r="W388" s="66">
        <f t="shared" si="292"/>
        <v>-8.5469307635349642E-2</v>
      </c>
      <c r="X388" s="66">
        <f t="shared" si="292"/>
        <v>-8.5469307635349642E-2</v>
      </c>
      <c r="Y388" s="66">
        <f t="shared" si="292"/>
        <v>-8.5469307635349642E-2</v>
      </c>
      <c r="Z388" s="66">
        <f t="shared" si="292"/>
        <v>-8.5469307635349642E-2</v>
      </c>
      <c r="AA388" s="66">
        <f t="shared" si="292"/>
        <v>-8.5469307635349642E-2</v>
      </c>
      <c r="AB388" s="66">
        <f t="shared" si="292"/>
        <v>-8.5469307635349642E-2</v>
      </c>
      <c r="AC388" s="66">
        <f t="shared" si="292"/>
        <v>-8.5469307635349642E-2</v>
      </c>
    </row>
    <row r="389" spans="1:29" x14ac:dyDescent="0.25">
      <c r="A389" s="30" t="str">
        <f t="shared" si="288"/>
        <v>Opex fix (admin, crew, insurance)</v>
      </c>
      <c r="B389" s="66">
        <f>B359/B370</f>
        <v>8.1232492997198875</v>
      </c>
      <c r="C389" s="66">
        <f t="shared" ref="C389:AC389" si="293">C359/C370</f>
        <v>8.1232492997198875</v>
      </c>
      <c r="D389" s="66">
        <f t="shared" si="293"/>
        <v>8.1232492997198875</v>
      </c>
      <c r="E389" s="66">
        <f t="shared" si="293"/>
        <v>8.1232492997198875</v>
      </c>
      <c r="F389" s="66">
        <f t="shared" si="293"/>
        <v>8.1232492997198875</v>
      </c>
      <c r="G389" s="66">
        <f t="shared" si="293"/>
        <v>8.1232492997198875</v>
      </c>
      <c r="H389" s="66">
        <f t="shared" si="293"/>
        <v>8.1232492997198875</v>
      </c>
      <c r="I389" s="66">
        <f t="shared" si="293"/>
        <v>8.1232492997198875</v>
      </c>
      <c r="J389" s="66">
        <f t="shared" si="293"/>
        <v>8.1232492997198875</v>
      </c>
      <c r="K389" s="66">
        <f t="shared" si="293"/>
        <v>8.1232492997198875</v>
      </c>
      <c r="L389" s="66">
        <f t="shared" si="293"/>
        <v>8.1232492997198875</v>
      </c>
      <c r="M389" s="66">
        <f t="shared" si="293"/>
        <v>8.1232492997198875</v>
      </c>
      <c r="N389" s="66">
        <f t="shared" si="293"/>
        <v>8.1232492997198875</v>
      </c>
      <c r="O389" s="66">
        <f t="shared" si="293"/>
        <v>8.1232492997198875</v>
      </c>
      <c r="P389" s="66">
        <f t="shared" si="293"/>
        <v>8.1232492997198875</v>
      </c>
      <c r="Q389" s="66">
        <f t="shared" si="293"/>
        <v>8.1232492997198875</v>
      </c>
      <c r="R389" s="66">
        <f t="shared" si="293"/>
        <v>8.1232492997198875</v>
      </c>
      <c r="S389" s="66">
        <f t="shared" si="293"/>
        <v>8.1232492997198875</v>
      </c>
      <c r="T389" s="66">
        <f t="shared" si="293"/>
        <v>8.1232492997198875</v>
      </c>
      <c r="U389" s="66">
        <f t="shared" si="293"/>
        <v>8.1232492997198875</v>
      </c>
      <c r="V389" s="66">
        <f t="shared" si="293"/>
        <v>8.1232492997198875</v>
      </c>
      <c r="W389" s="66">
        <f t="shared" si="293"/>
        <v>8.1232492997198875</v>
      </c>
      <c r="X389" s="66">
        <f t="shared" si="293"/>
        <v>8.1232492997198875</v>
      </c>
      <c r="Y389" s="66">
        <f t="shared" si="293"/>
        <v>8.1232492997198875</v>
      </c>
      <c r="Z389" s="66">
        <f t="shared" si="293"/>
        <v>8.1232492997198875</v>
      </c>
      <c r="AA389" s="66">
        <f t="shared" si="293"/>
        <v>8.1232492997198875</v>
      </c>
      <c r="AB389" s="66">
        <f t="shared" si="293"/>
        <v>8.1232492997198875</v>
      </c>
      <c r="AC389" s="66">
        <f t="shared" si="293"/>
        <v>8.1232492997198875</v>
      </c>
    </row>
    <row r="390" spans="1:29" x14ac:dyDescent="0.25">
      <c r="A390" s="30" t="str">
        <f t="shared" si="288"/>
        <v>Opex maintenance &amp; repair</v>
      </c>
      <c r="B390" s="66">
        <f>B360/B370</f>
        <v>5.882352941176471</v>
      </c>
      <c r="C390" s="66">
        <f t="shared" ref="C390:AC390" si="294">C360/C370</f>
        <v>5.882352941176471</v>
      </c>
      <c r="D390" s="66">
        <f t="shared" si="294"/>
        <v>5.882352941176471</v>
      </c>
      <c r="E390" s="66">
        <f t="shared" si="294"/>
        <v>5.882352941176471</v>
      </c>
      <c r="F390" s="66">
        <f t="shared" si="294"/>
        <v>5.882352941176471</v>
      </c>
      <c r="G390" s="66">
        <f t="shared" si="294"/>
        <v>5.882352941176471</v>
      </c>
      <c r="H390" s="66">
        <f t="shared" si="294"/>
        <v>5.882352941176471</v>
      </c>
      <c r="I390" s="66">
        <f t="shared" si="294"/>
        <v>5.882352941176471</v>
      </c>
      <c r="J390" s="66">
        <f t="shared" si="294"/>
        <v>5.882352941176471</v>
      </c>
      <c r="K390" s="66">
        <f t="shared" si="294"/>
        <v>5.882352941176471</v>
      </c>
      <c r="L390" s="66">
        <f t="shared" si="294"/>
        <v>5.882352941176471</v>
      </c>
      <c r="M390" s="66">
        <f t="shared" si="294"/>
        <v>5.882352941176471</v>
      </c>
      <c r="N390" s="66">
        <f t="shared" si="294"/>
        <v>5.882352941176471</v>
      </c>
      <c r="O390" s="66">
        <f t="shared" si="294"/>
        <v>5.882352941176471</v>
      </c>
      <c r="P390" s="66">
        <f t="shared" si="294"/>
        <v>5.882352941176471</v>
      </c>
      <c r="Q390" s="66">
        <f t="shared" si="294"/>
        <v>5.882352941176471</v>
      </c>
      <c r="R390" s="66">
        <f t="shared" si="294"/>
        <v>5.882352941176471</v>
      </c>
      <c r="S390" s="66">
        <f t="shared" si="294"/>
        <v>5.882352941176471</v>
      </c>
      <c r="T390" s="66">
        <f t="shared" si="294"/>
        <v>5.882352941176471</v>
      </c>
      <c r="U390" s="66">
        <f t="shared" si="294"/>
        <v>5.882352941176471</v>
      </c>
      <c r="V390" s="66">
        <f t="shared" si="294"/>
        <v>5.882352941176471</v>
      </c>
      <c r="W390" s="66">
        <f t="shared" si="294"/>
        <v>5.882352941176471</v>
      </c>
      <c r="X390" s="66">
        <f t="shared" si="294"/>
        <v>5.882352941176471</v>
      </c>
      <c r="Y390" s="66">
        <f t="shared" si="294"/>
        <v>5.882352941176471</v>
      </c>
      <c r="Z390" s="66">
        <f t="shared" si="294"/>
        <v>5.882352941176471</v>
      </c>
      <c r="AA390" s="66">
        <f t="shared" si="294"/>
        <v>5.882352941176471</v>
      </c>
      <c r="AB390" s="66">
        <f t="shared" si="294"/>
        <v>5.882352941176471</v>
      </c>
      <c r="AC390" s="66">
        <f t="shared" si="294"/>
        <v>5.882352941176471</v>
      </c>
    </row>
    <row r="391" spans="1:29" x14ac:dyDescent="0.25">
      <c r="A391" s="30" t="str">
        <f t="shared" si="288"/>
        <v>Opex var (mode-fees, shunting)</v>
      </c>
      <c r="B391" s="66">
        <f>B361*B370/B370</f>
        <v>8.9635854341736696</v>
      </c>
      <c r="C391" s="66">
        <f t="shared" ref="C391:AC391" si="295">C361*C370/C370</f>
        <v>8.9635854341736696</v>
      </c>
      <c r="D391" s="66">
        <f t="shared" si="295"/>
        <v>8.9635854341736696</v>
      </c>
      <c r="E391" s="66">
        <f t="shared" si="295"/>
        <v>8.9635854341736696</v>
      </c>
      <c r="F391" s="66">
        <f t="shared" si="295"/>
        <v>8.9635854341736696</v>
      </c>
      <c r="G391" s="66">
        <f t="shared" si="295"/>
        <v>8.9635854341736696</v>
      </c>
      <c r="H391" s="66">
        <f t="shared" si="295"/>
        <v>8.9635854341736696</v>
      </c>
      <c r="I391" s="66">
        <f t="shared" si="295"/>
        <v>8.9635854341736696</v>
      </c>
      <c r="J391" s="66">
        <f t="shared" si="295"/>
        <v>8.9635854341736696</v>
      </c>
      <c r="K391" s="66">
        <f t="shared" si="295"/>
        <v>8.9635854341736696</v>
      </c>
      <c r="L391" s="66">
        <f t="shared" si="295"/>
        <v>8.9635854341736696</v>
      </c>
      <c r="M391" s="66">
        <f t="shared" si="295"/>
        <v>8.9635854341736696</v>
      </c>
      <c r="N391" s="66">
        <f t="shared" si="295"/>
        <v>8.9635854341736696</v>
      </c>
      <c r="O391" s="66">
        <f t="shared" si="295"/>
        <v>8.9635854341736696</v>
      </c>
      <c r="P391" s="66">
        <f t="shared" si="295"/>
        <v>8.9635854341736696</v>
      </c>
      <c r="Q391" s="66">
        <f t="shared" si="295"/>
        <v>8.9635854341736696</v>
      </c>
      <c r="R391" s="66">
        <f t="shared" si="295"/>
        <v>8.9635854341736696</v>
      </c>
      <c r="S391" s="66">
        <f t="shared" si="295"/>
        <v>8.9635854341736696</v>
      </c>
      <c r="T391" s="66">
        <f t="shared" si="295"/>
        <v>8.9635854341736696</v>
      </c>
      <c r="U391" s="66">
        <f t="shared" si="295"/>
        <v>8.9635854341736696</v>
      </c>
      <c r="V391" s="66">
        <f t="shared" si="295"/>
        <v>8.9635854341736696</v>
      </c>
      <c r="W391" s="66">
        <f t="shared" si="295"/>
        <v>8.9635854341736696</v>
      </c>
      <c r="X391" s="66">
        <f t="shared" si="295"/>
        <v>8.9635854341736696</v>
      </c>
      <c r="Y391" s="66">
        <f t="shared" si="295"/>
        <v>8.9635854341736696</v>
      </c>
      <c r="Z391" s="66">
        <f t="shared" si="295"/>
        <v>8.9635854341736696</v>
      </c>
      <c r="AA391" s="66">
        <f t="shared" si="295"/>
        <v>8.9635854341736696</v>
      </c>
      <c r="AB391" s="66">
        <f t="shared" si="295"/>
        <v>8.9635854341736696</v>
      </c>
      <c r="AC391" s="66">
        <f t="shared" si="295"/>
        <v>8.9635854341736696</v>
      </c>
    </row>
    <row r="392" spans="1:29" x14ac:dyDescent="0.25">
      <c r="A392" s="30" t="str">
        <f t="shared" si="288"/>
        <v>Fuel Cost</v>
      </c>
      <c r="B392" s="66">
        <f>B362*B363*B370/B370</f>
        <v>4.9753912539735889</v>
      </c>
      <c r="C392" s="66">
        <f t="shared" ref="C392:AC392" si="296">C362*C363*C370/C370</f>
        <v>4.8438831151020398</v>
      </c>
      <c r="D392" s="66">
        <f t="shared" si="296"/>
        <v>4.7123749762304916</v>
      </c>
      <c r="E392" s="66">
        <f t="shared" si="296"/>
        <v>4.5808668373589434</v>
      </c>
      <c r="F392" s="66">
        <f t="shared" si="296"/>
        <v>4.4493586984873952</v>
      </c>
      <c r="G392" s="66">
        <f t="shared" si="296"/>
        <v>4.317850559615847</v>
      </c>
      <c r="H392" s="66">
        <f t="shared" si="296"/>
        <v>4.1863424207442987</v>
      </c>
      <c r="I392" s="66">
        <f t="shared" si="296"/>
        <v>4.0548342818727496</v>
      </c>
      <c r="J392" s="66">
        <f t="shared" si="296"/>
        <v>4.016477741368548</v>
      </c>
      <c r="K392" s="66">
        <f t="shared" si="296"/>
        <v>3.9781212008643463</v>
      </c>
      <c r="L392" s="66">
        <f t="shared" si="296"/>
        <v>3.9397646603601451</v>
      </c>
      <c r="M392" s="66">
        <f t="shared" si="296"/>
        <v>3.9014081198559429</v>
      </c>
      <c r="N392" s="66">
        <f t="shared" si="296"/>
        <v>3.8630515793517413</v>
      </c>
      <c r="O392" s="66">
        <f t="shared" si="296"/>
        <v>3.8246950388475391</v>
      </c>
      <c r="P392" s="66">
        <f t="shared" si="296"/>
        <v>3.7863384983433375</v>
      </c>
      <c r="Q392" s="66">
        <f t="shared" si="296"/>
        <v>3.7479819578391362</v>
      </c>
      <c r="R392" s="66">
        <f t="shared" si="296"/>
        <v>3.7096254173349341</v>
      </c>
      <c r="S392" s="66">
        <f t="shared" si="296"/>
        <v>3.6712688768307324</v>
      </c>
      <c r="T392" s="66">
        <f t="shared" si="296"/>
        <v>3.6329123363265308</v>
      </c>
      <c r="U392" s="66">
        <f t="shared" si="296"/>
        <v>3.5945557958223291</v>
      </c>
      <c r="V392" s="66">
        <f t="shared" si="296"/>
        <v>3.556199255318127</v>
      </c>
      <c r="W392" s="66">
        <f t="shared" si="296"/>
        <v>3.5178427148139257</v>
      </c>
      <c r="X392" s="66">
        <f t="shared" si="296"/>
        <v>3.4794861743097245</v>
      </c>
      <c r="Y392" s="66">
        <f t="shared" si="296"/>
        <v>3.4411296338055228</v>
      </c>
      <c r="Z392" s="66">
        <f t="shared" si="296"/>
        <v>3.4027730933013207</v>
      </c>
      <c r="AA392" s="66">
        <f t="shared" si="296"/>
        <v>3.3644165527971195</v>
      </c>
      <c r="AB392" s="66">
        <f t="shared" si="296"/>
        <v>3.3260600122929178</v>
      </c>
      <c r="AC392" s="66">
        <f t="shared" si="296"/>
        <v>3.2877034717887157</v>
      </c>
    </row>
    <row r="393" spans="1:29" ht="15.75" thickBot="1" x14ac:dyDescent="0.3">
      <c r="A393" s="59" t="str">
        <f>A344</f>
        <v>Emission Cost</v>
      </c>
      <c r="B393" s="66">
        <f>B364</f>
        <v>0</v>
      </c>
      <c r="C393" s="66">
        <f t="shared" ref="C393:AC393" si="297">C364</f>
        <v>0</v>
      </c>
      <c r="D393" s="66">
        <f t="shared" si="297"/>
        <v>0</v>
      </c>
      <c r="E393" s="66">
        <f t="shared" si="297"/>
        <v>0</v>
      </c>
      <c r="F393" s="66">
        <f t="shared" si="297"/>
        <v>0</v>
      </c>
      <c r="G393" s="66">
        <f t="shared" si="297"/>
        <v>0</v>
      </c>
      <c r="H393" s="66">
        <f t="shared" si="297"/>
        <v>0</v>
      </c>
      <c r="I393" s="66">
        <f t="shared" si="297"/>
        <v>0</v>
      </c>
      <c r="J393" s="66">
        <f t="shared" si="297"/>
        <v>0</v>
      </c>
      <c r="K393" s="66">
        <f t="shared" si="297"/>
        <v>0</v>
      </c>
      <c r="L393" s="66">
        <f t="shared" si="297"/>
        <v>0</v>
      </c>
      <c r="M393" s="66">
        <f t="shared" si="297"/>
        <v>0</v>
      </c>
      <c r="N393" s="66">
        <f t="shared" si="297"/>
        <v>0</v>
      </c>
      <c r="O393" s="66">
        <f t="shared" si="297"/>
        <v>0</v>
      </c>
      <c r="P393" s="66">
        <f t="shared" si="297"/>
        <v>0</v>
      </c>
      <c r="Q393" s="66">
        <f t="shared" si="297"/>
        <v>0</v>
      </c>
      <c r="R393" s="66">
        <f t="shared" si="297"/>
        <v>0</v>
      </c>
      <c r="S393" s="66">
        <f t="shared" si="297"/>
        <v>0</v>
      </c>
      <c r="T393" s="66">
        <f t="shared" si="297"/>
        <v>0</v>
      </c>
      <c r="U393" s="66">
        <f t="shared" si="297"/>
        <v>0</v>
      </c>
      <c r="V393" s="66">
        <f t="shared" si="297"/>
        <v>0</v>
      </c>
      <c r="W393" s="66">
        <f t="shared" si="297"/>
        <v>0</v>
      </c>
      <c r="X393" s="66">
        <f t="shared" si="297"/>
        <v>0</v>
      </c>
      <c r="Y393" s="66">
        <f t="shared" si="297"/>
        <v>0</v>
      </c>
      <c r="Z393" s="66">
        <f t="shared" si="297"/>
        <v>0</v>
      </c>
      <c r="AA393" s="66">
        <f t="shared" si="297"/>
        <v>0</v>
      </c>
      <c r="AB393" s="66">
        <f t="shared" si="297"/>
        <v>0</v>
      </c>
      <c r="AC393" s="66">
        <f t="shared" si="297"/>
        <v>0</v>
      </c>
    </row>
    <row r="394" spans="1:29" ht="15.75" thickBot="1" x14ac:dyDescent="0.3">
      <c r="A394" s="31" t="s">
        <v>63</v>
      </c>
      <c r="B394" s="76">
        <f>B385+B386+B387-B388+B389+B390+B391+B392+B393</f>
        <v>31.194767246038865</v>
      </c>
      <c r="C394" s="76">
        <f t="shared" ref="C394:AC394" si="298">C385+C386+C387-C388+C389+C390+C391+C392+C393</f>
        <v>31.064225447795451</v>
      </c>
      <c r="D394" s="76">
        <f t="shared" si="298"/>
        <v>30.934089374089201</v>
      </c>
      <c r="E394" s="76">
        <f t="shared" si="298"/>
        <v>30.804520517481748</v>
      </c>
      <c r="F394" s="76">
        <f t="shared" si="298"/>
        <v>30.675735095921446</v>
      </c>
      <c r="G394" s="76">
        <f t="shared" si="298"/>
        <v>30.548012522489522</v>
      </c>
      <c r="H394" s="76">
        <f t="shared" si="298"/>
        <v>30.421694252217414</v>
      </c>
      <c r="I394" s="76">
        <f t="shared" si="298"/>
        <v>30.29716074061967</v>
      </c>
      <c r="J394" s="76">
        <f t="shared" si="298"/>
        <v>30.26792138536123</v>
      </c>
      <c r="K394" s="76">
        <f t="shared" si="298"/>
        <v>30.241046398669752</v>
      </c>
      <c r="L394" s="76">
        <f t="shared" si="298"/>
        <v>30.216467393162766</v>
      </c>
      <c r="M394" s="76">
        <f t="shared" si="298"/>
        <v>30.193690126250662</v>
      </c>
      <c r="N394" s="76">
        <f t="shared" si="298"/>
        <v>30.17178056095749</v>
      </c>
      <c r="O394" s="76">
        <f t="shared" si="298"/>
        <v>30.14954734995537</v>
      </c>
      <c r="P394" s="76">
        <f t="shared" si="298"/>
        <v>30.125868208172342</v>
      </c>
      <c r="Q394" s="76">
        <f t="shared" si="298"/>
        <v>30.09998536647937</v>
      </c>
      <c r="R394" s="76">
        <f t="shared" si="298"/>
        <v>30.071618024810068</v>
      </c>
      <c r="S394" s="76">
        <f t="shared" si="298"/>
        <v>30.040883686369185</v>
      </c>
      <c r="T394" s="76">
        <f t="shared" si="298"/>
        <v>30.008130075683006</v>
      </c>
      <c r="U394" s="76">
        <f t="shared" si="298"/>
        <v>29.973779548942989</v>
      </c>
      <c r="V394" s="76">
        <f t="shared" si="298"/>
        <v>29.938230632480764</v>
      </c>
      <c r="W394" s="76">
        <f t="shared" si="298"/>
        <v>29.901814332759635</v>
      </c>
      <c r="X394" s="76">
        <f t="shared" si="298"/>
        <v>29.86478559570919</v>
      </c>
      <c r="Y394" s="76">
        <f t="shared" si="298"/>
        <v>29.827331672306741</v>
      </c>
      <c r="Z394" s="76">
        <f t="shared" si="298"/>
        <v>29.789585922751506</v>
      </c>
      <c r="AA394" s="76">
        <f t="shared" si="298"/>
        <v>29.751641422459159</v>
      </c>
      <c r="AB394" s="76">
        <f t="shared" si="298"/>
        <v>29.713562265378734</v>
      </c>
      <c r="AC394" s="76">
        <f t="shared" si="298"/>
        <v>29.67539219577505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7.6317014160409149E-4</v>
      </c>
      <c r="C397" s="65">
        <f t="shared" ref="C397:AC397" si="300">((1+C358)^C365)*C358/(((1+C358)^C365)-1)*(C354)/C370/(C367)</f>
        <v>7.6317014160409149E-4</v>
      </c>
      <c r="D397" s="65">
        <f t="shared" si="300"/>
        <v>7.6317014160409149E-4</v>
      </c>
      <c r="E397" s="65">
        <f t="shared" si="300"/>
        <v>7.6317014160409149E-4</v>
      </c>
      <c r="F397" s="65">
        <f t="shared" si="300"/>
        <v>7.6317014160409149E-4</v>
      </c>
      <c r="G397" s="65">
        <f t="shared" si="300"/>
        <v>7.6317014160409149E-4</v>
      </c>
      <c r="H397" s="65">
        <f t="shared" si="300"/>
        <v>7.6317014160409149E-4</v>
      </c>
      <c r="I397" s="65">
        <f t="shared" si="300"/>
        <v>7.6317014160409149E-4</v>
      </c>
      <c r="J397" s="65">
        <f t="shared" si="300"/>
        <v>7.6317014160409149E-4</v>
      </c>
      <c r="K397" s="65">
        <f t="shared" si="300"/>
        <v>7.6317014160409149E-4</v>
      </c>
      <c r="L397" s="65">
        <f t="shared" si="300"/>
        <v>7.6317014160409149E-4</v>
      </c>
      <c r="M397" s="65">
        <f t="shared" si="300"/>
        <v>7.6317014160409149E-4</v>
      </c>
      <c r="N397" s="65">
        <f t="shared" si="300"/>
        <v>7.6317014160409149E-4</v>
      </c>
      <c r="O397" s="65">
        <f t="shared" si="300"/>
        <v>7.6317014160409149E-4</v>
      </c>
      <c r="P397" s="65">
        <f t="shared" si="300"/>
        <v>7.6317014160409149E-4</v>
      </c>
      <c r="Q397" s="65">
        <f t="shared" si="300"/>
        <v>7.6317014160409149E-4</v>
      </c>
      <c r="R397" s="65">
        <f t="shared" si="300"/>
        <v>7.6317014160409149E-4</v>
      </c>
      <c r="S397" s="65">
        <f t="shared" si="300"/>
        <v>7.6317014160409149E-4</v>
      </c>
      <c r="T397" s="65">
        <f t="shared" si="300"/>
        <v>7.6317014160409149E-4</v>
      </c>
      <c r="U397" s="65">
        <f t="shared" si="300"/>
        <v>7.6317014160409149E-4</v>
      </c>
      <c r="V397" s="65">
        <f t="shared" si="300"/>
        <v>7.6317014160409149E-4</v>
      </c>
      <c r="W397" s="65">
        <f t="shared" si="300"/>
        <v>7.6317014160409149E-4</v>
      </c>
      <c r="X397" s="65">
        <f t="shared" si="300"/>
        <v>7.6317014160409149E-4</v>
      </c>
      <c r="Y397" s="65">
        <f t="shared" si="300"/>
        <v>7.6317014160409149E-4</v>
      </c>
      <c r="Z397" s="65">
        <f t="shared" si="300"/>
        <v>7.6317014160409149E-4</v>
      </c>
      <c r="AA397" s="65">
        <f t="shared" si="300"/>
        <v>7.6317014160409149E-4</v>
      </c>
      <c r="AB397" s="65">
        <f t="shared" si="300"/>
        <v>7.6317014160409149E-4</v>
      </c>
      <c r="AC397" s="65">
        <f t="shared" si="300"/>
        <v>7.6317014160409149E-4</v>
      </c>
    </row>
    <row r="398" spans="1:29" x14ac:dyDescent="0.25">
      <c r="A398" s="30" t="str">
        <f t="shared" si="299"/>
        <v>Residual value (vehicle)</v>
      </c>
      <c r="B398" s="68">
        <f>((1+B358)^B365)*B358/(((1+B358)^B365)-1)*(B355)/B370/(B367)</f>
        <v>-1.1346797345547289E-4</v>
      </c>
      <c r="C398" s="68">
        <f t="shared" ref="C398:AC398" si="301">((1+C358)^C365)*C358/(((1+C358)^C365)-1)*(C355)/C370/(C367)</f>
        <v>-1.1303657138934111E-4</v>
      </c>
      <c r="D398" s="68">
        <f t="shared" si="301"/>
        <v>-1.1242404229769157E-4</v>
      </c>
      <c r="E398" s="68">
        <f t="shared" si="301"/>
        <v>-1.1155829128693258E-4</v>
      </c>
      <c r="F398" s="68">
        <f t="shared" si="301"/>
        <v>-1.1034279248726903E-4</v>
      </c>
      <c r="G398" s="68">
        <f t="shared" si="301"/>
        <v>-1.0865280791600897E-4</v>
      </c>
      <c r="H398" s="68">
        <f t="shared" si="301"/>
        <v>-1.0633590229126001E-4</v>
      </c>
      <c r="I398" s="68">
        <f t="shared" si="301"/>
        <v>-1.0322222940116694E-4</v>
      </c>
      <c r="J398" s="68">
        <f t="shared" si="301"/>
        <v>-9.9152057416450692E-5</v>
      </c>
      <c r="K398" s="68">
        <f t="shared" si="301"/>
        <v>-9.4026363750057009E-5</v>
      </c>
      <c r="L398" s="68">
        <f t="shared" si="301"/>
        <v>-8.7875678483444322E-5</v>
      </c>
      <c r="M398" s="68">
        <f t="shared" si="301"/>
        <v>-8.0920645629828101E-5</v>
      </c>
      <c r="N398" s="68">
        <f t="shared" si="301"/>
        <v>-7.357824598204721E-5</v>
      </c>
      <c r="O398" s="68">
        <f t="shared" si="301"/>
        <v>-6.6380331025761298E-5</v>
      </c>
      <c r="P398" s="68">
        <f t="shared" si="301"/>
        <v>-5.982792088237961E-5</v>
      </c>
      <c r="Q398" s="68">
        <f t="shared" si="301"/>
        <v>-5.4259305341653007E-5</v>
      </c>
      <c r="R398" s="68">
        <f t="shared" si="301"/>
        <v>-4.9799841576070884E-5</v>
      </c>
      <c r="S398" s="68">
        <f t="shared" si="301"/>
        <v>-4.6397072797805602E-5</v>
      </c>
      <c r="T398" s="68">
        <f t="shared" si="301"/>
        <v>-4.3895764843330094E-5</v>
      </c>
      <c r="U398" s="68">
        <f t="shared" si="301"/>
        <v>-4.2107365841462744E-5</v>
      </c>
      <c r="V398" s="68">
        <f t="shared" si="301"/>
        <v>-4.0853962251293284E-5</v>
      </c>
      <c r="W398" s="68">
        <f t="shared" si="301"/>
        <v>-3.9987783330280735E-5</v>
      </c>
      <c r="X398" s="68">
        <f t="shared" si="301"/>
        <v>-3.93950139312806E-5</v>
      </c>
      <c r="Y398" s="68">
        <f t="shared" si="301"/>
        <v>-3.8992059867999029E-5</v>
      </c>
      <c r="Z398" s="68">
        <f t="shared" si="301"/>
        <v>-3.8719385337209372E-5</v>
      </c>
      <c r="AA398" s="68">
        <f t="shared" si="301"/>
        <v>-3.8535438814060903E-5</v>
      </c>
      <c r="AB398" s="68">
        <f t="shared" si="301"/>
        <v>-3.8411606928446129E-5</v>
      </c>
      <c r="AC398" s="68">
        <f t="shared" si="301"/>
        <v>-3.832836099071531E-5</v>
      </c>
    </row>
    <row r="399" spans="1:29" x14ac:dyDescent="0.25">
      <c r="A399" s="30" t="str">
        <f t="shared" si="299"/>
        <v>Capex costumization</v>
      </c>
      <c r="B399" s="66">
        <f>((1+B358)^B366)*B358/(((1+B358)^B366)-1)*(B356)/B370/(B367)</f>
        <v>7.6311881817276459E-4</v>
      </c>
      <c r="C399" s="66">
        <f t="shared" ref="C399:AC399" si="302">((1+C358)^C366)*C358/(((1+C358)^C366)-1)*(C356)/C370/(C367)</f>
        <v>7.6311881817276459E-4</v>
      </c>
      <c r="D399" s="66">
        <f t="shared" si="302"/>
        <v>7.6311881817276459E-4</v>
      </c>
      <c r="E399" s="66">
        <f t="shared" si="302"/>
        <v>7.6311881817276459E-4</v>
      </c>
      <c r="F399" s="66">
        <f t="shared" si="302"/>
        <v>7.6311881817276459E-4</v>
      </c>
      <c r="G399" s="66">
        <f t="shared" si="302"/>
        <v>7.6311881817276459E-4</v>
      </c>
      <c r="H399" s="66">
        <f t="shared" si="302"/>
        <v>7.6311881817276459E-4</v>
      </c>
      <c r="I399" s="66">
        <f t="shared" si="302"/>
        <v>7.6311881817276459E-4</v>
      </c>
      <c r="J399" s="66">
        <f t="shared" si="302"/>
        <v>7.6311881817276459E-4</v>
      </c>
      <c r="K399" s="66">
        <f t="shared" si="302"/>
        <v>7.6311881817276459E-4</v>
      </c>
      <c r="L399" s="66">
        <f t="shared" si="302"/>
        <v>7.6311881817276459E-4</v>
      </c>
      <c r="M399" s="66">
        <f t="shared" si="302"/>
        <v>7.6311881817276459E-4</v>
      </c>
      <c r="N399" s="66">
        <f t="shared" si="302"/>
        <v>7.6311881817276459E-4</v>
      </c>
      <c r="O399" s="66">
        <f t="shared" si="302"/>
        <v>7.6311881817276459E-4</v>
      </c>
      <c r="P399" s="66">
        <f t="shared" si="302"/>
        <v>7.6311881817276459E-4</v>
      </c>
      <c r="Q399" s="66">
        <f t="shared" si="302"/>
        <v>7.6311881817276459E-4</v>
      </c>
      <c r="R399" s="66">
        <f t="shared" si="302"/>
        <v>7.6311881817276459E-4</v>
      </c>
      <c r="S399" s="66">
        <f t="shared" si="302"/>
        <v>7.6311881817276459E-4</v>
      </c>
      <c r="T399" s="66">
        <f t="shared" si="302"/>
        <v>7.6311881817276459E-4</v>
      </c>
      <c r="U399" s="66">
        <f t="shared" si="302"/>
        <v>7.6311881817276459E-4</v>
      </c>
      <c r="V399" s="66">
        <f t="shared" si="302"/>
        <v>7.6311881817276459E-4</v>
      </c>
      <c r="W399" s="66">
        <f t="shared" si="302"/>
        <v>7.6311881817276459E-4</v>
      </c>
      <c r="X399" s="66">
        <f t="shared" si="302"/>
        <v>7.6311881817276459E-4</v>
      </c>
      <c r="Y399" s="66">
        <f t="shared" si="302"/>
        <v>7.6311881817276459E-4</v>
      </c>
      <c r="Z399" s="66">
        <f t="shared" si="302"/>
        <v>7.6311881817276459E-4</v>
      </c>
      <c r="AA399" s="66">
        <f t="shared" si="302"/>
        <v>7.6311881817276459E-4</v>
      </c>
      <c r="AB399" s="66">
        <f t="shared" si="302"/>
        <v>7.6311881817276459E-4</v>
      </c>
      <c r="AC399" s="66">
        <f t="shared" si="302"/>
        <v>7.6311881817276459E-4</v>
      </c>
    </row>
    <row r="400" spans="1:29" x14ac:dyDescent="0.25">
      <c r="A400" s="30" t="str">
        <f t="shared" si="299"/>
        <v>Residual value (costumization)</v>
      </c>
      <c r="B400" s="69">
        <f>((1+B358)^B366)*B358/(((1+B358)^B366)-1)*(B357)/B370/(B367)</f>
        <v>-3.8155940908638231E-5</v>
      </c>
      <c r="C400" s="69">
        <f t="shared" ref="C400:AC400" si="303">((1+C358)^C366)*C358/(((1+C358)^C366)-1)*(C357)/C370/(C367)</f>
        <v>-3.8155940908638231E-5</v>
      </c>
      <c r="D400" s="69">
        <f t="shared" si="303"/>
        <v>-3.8155940908638231E-5</v>
      </c>
      <c r="E400" s="69">
        <f t="shared" si="303"/>
        <v>-3.8155940908638231E-5</v>
      </c>
      <c r="F400" s="69">
        <f t="shared" si="303"/>
        <v>-3.8155940908638231E-5</v>
      </c>
      <c r="G400" s="69">
        <f t="shared" si="303"/>
        <v>-3.8155940908638231E-5</v>
      </c>
      <c r="H400" s="69">
        <f t="shared" si="303"/>
        <v>-3.8155940908638231E-5</v>
      </c>
      <c r="I400" s="69">
        <f t="shared" si="303"/>
        <v>-3.8155940908638231E-5</v>
      </c>
      <c r="J400" s="69">
        <f t="shared" si="303"/>
        <v>-3.8155940908638231E-5</v>
      </c>
      <c r="K400" s="69">
        <f t="shared" si="303"/>
        <v>-3.8155940908638231E-5</v>
      </c>
      <c r="L400" s="69">
        <f t="shared" si="303"/>
        <v>-3.8155940908638231E-5</v>
      </c>
      <c r="M400" s="69">
        <f t="shared" si="303"/>
        <v>-3.8155940908638231E-5</v>
      </c>
      <c r="N400" s="69">
        <f t="shared" si="303"/>
        <v>-3.8155940908638231E-5</v>
      </c>
      <c r="O400" s="69">
        <f t="shared" si="303"/>
        <v>-3.8155940908638231E-5</v>
      </c>
      <c r="P400" s="69">
        <f t="shared" si="303"/>
        <v>-3.8155940908638231E-5</v>
      </c>
      <c r="Q400" s="69">
        <f t="shared" si="303"/>
        <v>-3.8155940908638231E-5</v>
      </c>
      <c r="R400" s="69">
        <f t="shared" si="303"/>
        <v>-3.8155940908638231E-5</v>
      </c>
      <c r="S400" s="69">
        <f t="shared" si="303"/>
        <v>-3.8155940908638231E-5</v>
      </c>
      <c r="T400" s="69">
        <f t="shared" si="303"/>
        <v>-3.8155940908638231E-5</v>
      </c>
      <c r="U400" s="69">
        <f t="shared" si="303"/>
        <v>-3.8155940908638231E-5</v>
      </c>
      <c r="V400" s="69">
        <f t="shared" si="303"/>
        <v>-3.8155940908638231E-5</v>
      </c>
      <c r="W400" s="69">
        <f t="shared" si="303"/>
        <v>-3.8155940908638231E-5</v>
      </c>
      <c r="X400" s="69">
        <f t="shared" si="303"/>
        <v>-3.8155940908638231E-5</v>
      </c>
      <c r="Y400" s="69">
        <f t="shared" si="303"/>
        <v>-3.8155940908638231E-5</v>
      </c>
      <c r="Z400" s="69">
        <f t="shared" si="303"/>
        <v>-3.8155940908638231E-5</v>
      </c>
      <c r="AA400" s="69">
        <f t="shared" si="303"/>
        <v>-3.8155940908638231E-5</v>
      </c>
      <c r="AB400" s="69">
        <f t="shared" si="303"/>
        <v>-3.8155940908638231E-5</v>
      </c>
      <c r="AC400" s="69">
        <f t="shared" si="303"/>
        <v>-3.8155940908638231E-5</v>
      </c>
    </row>
    <row r="401" spans="1:29" x14ac:dyDescent="0.25">
      <c r="A401" s="30" t="str">
        <f t="shared" si="299"/>
        <v>Opex fix (admin, crew, insurance)</v>
      </c>
      <c r="B401" s="66">
        <f>B359/B370/(B367)</f>
        <v>3.6264505802320927E-3</v>
      </c>
      <c r="C401" s="66">
        <f t="shared" ref="C401:AC401" si="304">C359/C370/(C367)</f>
        <v>3.6264505802320927E-3</v>
      </c>
      <c r="D401" s="66">
        <f t="shared" si="304"/>
        <v>3.6264505802320927E-3</v>
      </c>
      <c r="E401" s="66">
        <f t="shared" si="304"/>
        <v>3.6264505802320927E-3</v>
      </c>
      <c r="F401" s="66">
        <f t="shared" si="304"/>
        <v>3.6264505802320927E-3</v>
      </c>
      <c r="G401" s="66">
        <f t="shared" si="304"/>
        <v>3.6264505802320927E-3</v>
      </c>
      <c r="H401" s="66">
        <f t="shared" si="304"/>
        <v>3.6264505802320927E-3</v>
      </c>
      <c r="I401" s="66">
        <f t="shared" si="304"/>
        <v>3.6264505802320927E-3</v>
      </c>
      <c r="J401" s="66">
        <f t="shared" si="304"/>
        <v>3.6264505802320927E-3</v>
      </c>
      <c r="K401" s="66">
        <f t="shared" si="304"/>
        <v>3.6264505802320927E-3</v>
      </c>
      <c r="L401" s="66">
        <f t="shared" si="304"/>
        <v>3.6264505802320927E-3</v>
      </c>
      <c r="M401" s="66">
        <f t="shared" si="304"/>
        <v>3.6264505802320927E-3</v>
      </c>
      <c r="N401" s="66">
        <f t="shared" si="304"/>
        <v>3.6264505802320927E-3</v>
      </c>
      <c r="O401" s="66">
        <f t="shared" si="304"/>
        <v>3.6264505802320927E-3</v>
      </c>
      <c r="P401" s="66">
        <f t="shared" si="304"/>
        <v>3.6264505802320927E-3</v>
      </c>
      <c r="Q401" s="66">
        <f t="shared" si="304"/>
        <v>3.6264505802320927E-3</v>
      </c>
      <c r="R401" s="66">
        <f t="shared" si="304"/>
        <v>3.6264505802320927E-3</v>
      </c>
      <c r="S401" s="66">
        <f t="shared" si="304"/>
        <v>3.6264505802320927E-3</v>
      </c>
      <c r="T401" s="66">
        <f t="shared" si="304"/>
        <v>3.6264505802320927E-3</v>
      </c>
      <c r="U401" s="66">
        <f t="shared" si="304"/>
        <v>3.6264505802320927E-3</v>
      </c>
      <c r="V401" s="66">
        <f t="shared" si="304"/>
        <v>3.6264505802320927E-3</v>
      </c>
      <c r="W401" s="66">
        <f t="shared" si="304"/>
        <v>3.6264505802320927E-3</v>
      </c>
      <c r="X401" s="66">
        <f t="shared" si="304"/>
        <v>3.6264505802320927E-3</v>
      </c>
      <c r="Y401" s="66">
        <f t="shared" si="304"/>
        <v>3.6264505802320927E-3</v>
      </c>
      <c r="Z401" s="66">
        <f t="shared" si="304"/>
        <v>3.6264505802320927E-3</v>
      </c>
      <c r="AA401" s="66">
        <f t="shared" si="304"/>
        <v>3.6264505802320927E-3</v>
      </c>
      <c r="AB401" s="66">
        <f t="shared" si="304"/>
        <v>3.6264505802320927E-3</v>
      </c>
      <c r="AC401" s="66">
        <f t="shared" si="304"/>
        <v>3.6264505802320927E-3</v>
      </c>
    </row>
    <row r="402" spans="1:29" x14ac:dyDescent="0.25">
      <c r="A402" s="30" t="str">
        <f t="shared" si="299"/>
        <v>Opex maintenance &amp; repair</v>
      </c>
      <c r="B402" s="66">
        <f>B360/B370/(B367)</f>
        <v>2.6260504201680674E-3</v>
      </c>
      <c r="C402" s="66">
        <f t="shared" ref="C402:AC402" si="305">C360/C370/(C367)</f>
        <v>2.6260504201680674E-3</v>
      </c>
      <c r="D402" s="66">
        <f t="shared" si="305"/>
        <v>2.6260504201680674E-3</v>
      </c>
      <c r="E402" s="66">
        <f t="shared" si="305"/>
        <v>2.6260504201680674E-3</v>
      </c>
      <c r="F402" s="66">
        <f t="shared" si="305"/>
        <v>2.6260504201680674E-3</v>
      </c>
      <c r="G402" s="66">
        <f t="shared" si="305"/>
        <v>2.6260504201680674E-3</v>
      </c>
      <c r="H402" s="66">
        <f t="shared" si="305"/>
        <v>2.6260504201680674E-3</v>
      </c>
      <c r="I402" s="66">
        <f t="shared" si="305"/>
        <v>2.6260504201680674E-3</v>
      </c>
      <c r="J402" s="66">
        <f t="shared" si="305"/>
        <v>2.6260504201680674E-3</v>
      </c>
      <c r="K402" s="66">
        <f t="shared" si="305"/>
        <v>2.6260504201680674E-3</v>
      </c>
      <c r="L402" s="66">
        <f t="shared" si="305"/>
        <v>2.6260504201680674E-3</v>
      </c>
      <c r="M402" s="66">
        <f t="shared" si="305"/>
        <v>2.6260504201680674E-3</v>
      </c>
      <c r="N402" s="66">
        <f t="shared" si="305"/>
        <v>2.6260504201680674E-3</v>
      </c>
      <c r="O402" s="66">
        <f t="shared" si="305"/>
        <v>2.6260504201680674E-3</v>
      </c>
      <c r="P402" s="66">
        <f t="shared" si="305"/>
        <v>2.6260504201680674E-3</v>
      </c>
      <c r="Q402" s="66">
        <f t="shared" si="305"/>
        <v>2.6260504201680674E-3</v>
      </c>
      <c r="R402" s="66">
        <f t="shared" si="305"/>
        <v>2.6260504201680674E-3</v>
      </c>
      <c r="S402" s="66">
        <f t="shared" si="305"/>
        <v>2.6260504201680674E-3</v>
      </c>
      <c r="T402" s="66">
        <f t="shared" si="305"/>
        <v>2.6260504201680674E-3</v>
      </c>
      <c r="U402" s="66">
        <f t="shared" si="305"/>
        <v>2.6260504201680674E-3</v>
      </c>
      <c r="V402" s="66">
        <f t="shared" si="305"/>
        <v>2.6260504201680674E-3</v>
      </c>
      <c r="W402" s="66">
        <f t="shared" si="305"/>
        <v>2.6260504201680674E-3</v>
      </c>
      <c r="X402" s="66">
        <f t="shared" si="305"/>
        <v>2.6260504201680674E-3</v>
      </c>
      <c r="Y402" s="66">
        <f t="shared" si="305"/>
        <v>2.6260504201680674E-3</v>
      </c>
      <c r="Z402" s="66">
        <f t="shared" si="305"/>
        <v>2.6260504201680674E-3</v>
      </c>
      <c r="AA402" s="66">
        <f t="shared" si="305"/>
        <v>2.6260504201680674E-3</v>
      </c>
      <c r="AB402" s="66">
        <f t="shared" si="305"/>
        <v>2.6260504201680674E-3</v>
      </c>
      <c r="AC402" s="66">
        <f t="shared" si="305"/>
        <v>2.6260504201680674E-3</v>
      </c>
    </row>
    <row r="403" spans="1:29" x14ac:dyDescent="0.25">
      <c r="A403" s="30" t="str">
        <f t="shared" si="299"/>
        <v>Opex var (mode-fees, shunting)</v>
      </c>
      <c r="B403" s="66">
        <f>B361*B370/B370/(B367)</f>
        <v>4.0016006402561026E-3</v>
      </c>
      <c r="C403" s="66">
        <f t="shared" ref="C403:AC403" si="306">C361*C370/C370/(C367)</f>
        <v>4.0016006402561026E-3</v>
      </c>
      <c r="D403" s="66">
        <f t="shared" si="306"/>
        <v>4.0016006402561026E-3</v>
      </c>
      <c r="E403" s="66">
        <f t="shared" si="306"/>
        <v>4.0016006402561026E-3</v>
      </c>
      <c r="F403" s="66">
        <f t="shared" si="306"/>
        <v>4.0016006402561026E-3</v>
      </c>
      <c r="G403" s="66">
        <f t="shared" si="306"/>
        <v>4.0016006402561026E-3</v>
      </c>
      <c r="H403" s="66">
        <f t="shared" si="306"/>
        <v>4.0016006402561026E-3</v>
      </c>
      <c r="I403" s="66">
        <f t="shared" si="306"/>
        <v>4.0016006402561026E-3</v>
      </c>
      <c r="J403" s="66">
        <f t="shared" si="306"/>
        <v>4.0016006402561026E-3</v>
      </c>
      <c r="K403" s="66">
        <f t="shared" si="306"/>
        <v>4.0016006402561026E-3</v>
      </c>
      <c r="L403" s="66">
        <f t="shared" si="306"/>
        <v>4.0016006402561026E-3</v>
      </c>
      <c r="M403" s="66">
        <f t="shared" si="306"/>
        <v>4.0016006402561026E-3</v>
      </c>
      <c r="N403" s="66">
        <f t="shared" si="306"/>
        <v>4.0016006402561026E-3</v>
      </c>
      <c r="O403" s="66">
        <f t="shared" si="306"/>
        <v>4.0016006402561026E-3</v>
      </c>
      <c r="P403" s="66">
        <f t="shared" si="306"/>
        <v>4.0016006402561026E-3</v>
      </c>
      <c r="Q403" s="66">
        <f t="shared" si="306"/>
        <v>4.0016006402561026E-3</v>
      </c>
      <c r="R403" s="66">
        <f t="shared" si="306"/>
        <v>4.0016006402561026E-3</v>
      </c>
      <c r="S403" s="66">
        <f t="shared" si="306"/>
        <v>4.0016006402561026E-3</v>
      </c>
      <c r="T403" s="66">
        <f t="shared" si="306"/>
        <v>4.0016006402561026E-3</v>
      </c>
      <c r="U403" s="66">
        <f t="shared" si="306"/>
        <v>4.0016006402561026E-3</v>
      </c>
      <c r="V403" s="66">
        <f t="shared" si="306"/>
        <v>4.0016006402561026E-3</v>
      </c>
      <c r="W403" s="66">
        <f t="shared" si="306"/>
        <v>4.0016006402561026E-3</v>
      </c>
      <c r="X403" s="66">
        <f t="shared" si="306"/>
        <v>4.0016006402561026E-3</v>
      </c>
      <c r="Y403" s="66">
        <f t="shared" si="306"/>
        <v>4.0016006402561026E-3</v>
      </c>
      <c r="Z403" s="66">
        <f t="shared" si="306"/>
        <v>4.0016006402561026E-3</v>
      </c>
      <c r="AA403" s="66">
        <f t="shared" si="306"/>
        <v>4.0016006402561026E-3</v>
      </c>
      <c r="AB403" s="66">
        <f t="shared" si="306"/>
        <v>4.0016006402561026E-3</v>
      </c>
      <c r="AC403" s="66">
        <f t="shared" si="306"/>
        <v>4.0016006402561026E-3</v>
      </c>
    </row>
    <row r="404" spans="1:29" x14ac:dyDescent="0.25">
      <c r="A404" s="30" t="str">
        <f t="shared" si="299"/>
        <v>Fuel Cost</v>
      </c>
      <c r="B404" s="66">
        <f>B362*B363*B370/B370/(B367)</f>
        <v>2.2211568098096379E-3</v>
      </c>
      <c r="C404" s="66">
        <f t="shared" ref="C404:AC404" si="307">C362*C363*C370/C370/(C367)</f>
        <v>2.162447819241982E-3</v>
      </c>
      <c r="D404" s="66">
        <f t="shared" si="307"/>
        <v>2.1037388286743266E-3</v>
      </c>
      <c r="E404" s="66">
        <f t="shared" si="307"/>
        <v>2.0450298381066712E-3</v>
      </c>
      <c r="F404" s="66">
        <f t="shared" si="307"/>
        <v>1.9863208475390157E-3</v>
      </c>
      <c r="G404" s="66">
        <f t="shared" si="307"/>
        <v>1.9276118569713603E-3</v>
      </c>
      <c r="H404" s="66">
        <f t="shared" si="307"/>
        <v>1.8689028664037048E-3</v>
      </c>
      <c r="I404" s="66">
        <f t="shared" si="307"/>
        <v>1.810193875836049E-3</v>
      </c>
      <c r="J404" s="66">
        <f t="shared" si="307"/>
        <v>1.793070420253816E-3</v>
      </c>
      <c r="K404" s="66">
        <f t="shared" si="307"/>
        <v>1.7759469646715831E-3</v>
      </c>
      <c r="L404" s="66">
        <f t="shared" si="307"/>
        <v>1.7588235090893504E-3</v>
      </c>
      <c r="M404" s="66">
        <f t="shared" si="307"/>
        <v>1.7417000535071175E-3</v>
      </c>
      <c r="N404" s="66">
        <f t="shared" si="307"/>
        <v>1.7245765979248845E-3</v>
      </c>
      <c r="O404" s="66">
        <f t="shared" si="307"/>
        <v>1.7074531423426514E-3</v>
      </c>
      <c r="P404" s="66">
        <f t="shared" si="307"/>
        <v>1.6903296867604185E-3</v>
      </c>
      <c r="Q404" s="66">
        <f t="shared" si="307"/>
        <v>1.6732062311781858E-3</v>
      </c>
      <c r="R404" s="66">
        <f t="shared" si="307"/>
        <v>1.6560827755959528E-3</v>
      </c>
      <c r="S404" s="66">
        <f t="shared" si="307"/>
        <v>1.6389593200137199E-3</v>
      </c>
      <c r="T404" s="66">
        <f t="shared" si="307"/>
        <v>1.621835864431487E-3</v>
      </c>
      <c r="U404" s="66">
        <f t="shared" si="307"/>
        <v>1.604712408849254E-3</v>
      </c>
      <c r="V404" s="66">
        <f t="shared" si="307"/>
        <v>1.5875889532670209E-3</v>
      </c>
      <c r="W404" s="66">
        <f t="shared" si="307"/>
        <v>1.5704654976847882E-3</v>
      </c>
      <c r="X404" s="66">
        <f t="shared" si="307"/>
        <v>1.5533420421025557E-3</v>
      </c>
      <c r="Y404" s="66">
        <f t="shared" si="307"/>
        <v>1.5362185865203228E-3</v>
      </c>
      <c r="Z404" s="66">
        <f t="shared" si="307"/>
        <v>1.5190951309380896E-3</v>
      </c>
      <c r="AA404" s="66">
        <f t="shared" si="307"/>
        <v>1.5019716753558569E-3</v>
      </c>
      <c r="AB404" s="66">
        <f t="shared" si="307"/>
        <v>1.484848219773624E-3</v>
      </c>
      <c r="AC404" s="66">
        <f t="shared" si="307"/>
        <v>1.4677247641913908E-3</v>
      </c>
    </row>
    <row r="405" spans="1:29" x14ac:dyDescent="0.25">
      <c r="A405" s="59" t="str">
        <f>A368</f>
        <v>Market failure (av. utilization)</v>
      </c>
      <c r="B405" s="66">
        <f t="shared" ref="B405:AC405" si="308">B394/B368-B394/B367</f>
        <v>5.4157582024372992E-3</v>
      </c>
      <c r="C405" s="66">
        <f t="shared" si="308"/>
        <v>5.3930946957978197E-3</v>
      </c>
      <c r="D405" s="66">
        <f t="shared" si="308"/>
        <v>5.3705016274460393E-3</v>
      </c>
      <c r="E405" s="66">
        <f t="shared" si="308"/>
        <v>5.3480070342850228E-3</v>
      </c>
      <c r="F405" s="66">
        <f t="shared" si="308"/>
        <v>5.3256484541530265E-3</v>
      </c>
      <c r="G405" s="66">
        <f t="shared" si="308"/>
        <v>5.3034743962655402E-3</v>
      </c>
      <c r="H405" s="66">
        <f t="shared" si="308"/>
        <v>5.281544141009965E-3</v>
      </c>
      <c r="I405" s="66">
        <f t="shared" si="308"/>
        <v>5.2599237396909124E-3</v>
      </c>
      <c r="J405" s="66">
        <f t="shared" si="308"/>
        <v>5.2548474627363232E-3</v>
      </c>
      <c r="K405" s="66">
        <f t="shared" si="308"/>
        <v>5.2501816664357204E-3</v>
      </c>
      <c r="L405" s="66">
        <f t="shared" si="308"/>
        <v>5.2459144779796445E-3</v>
      </c>
      <c r="M405" s="66">
        <f t="shared" si="308"/>
        <v>5.241960091362961E-3</v>
      </c>
      <c r="N405" s="66">
        <f t="shared" si="308"/>
        <v>5.2381563473884504E-3</v>
      </c>
      <c r="O405" s="66">
        <f t="shared" si="308"/>
        <v>5.2342964149228038E-3</v>
      </c>
      <c r="P405" s="66">
        <f t="shared" si="308"/>
        <v>5.2301854528076959E-3</v>
      </c>
      <c r="Q405" s="66">
        <f t="shared" si="308"/>
        <v>5.2256919039026656E-3</v>
      </c>
      <c r="R405" s="66">
        <f t="shared" si="308"/>
        <v>5.2207670181961888E-3</v>
      </c>
      <c r="S405" s="66">
        <f t="shared" si="308"/>
        <v>5.215431195550204E-3</v>
      </c>
      <c r="T405" s="66">
        <f t="shared" si="308"/>
        <v>5.209744804806073E-3</v>
      </c>
      <c r="U405" s="66">
        <f t="shared" si="308"/>
        <v>5.2037811716914885E-3</v>
      </c>
      <c r="V405" s="66">
        <f t="shared" si="308"/>
        <v>5.197609484805684E-3</v>
      </c>
      <c r="W405" s="66">
        <f t="shared" si="308"/>
        <v>5.1912872105485449E-3</v>
      </c>
      <c r="X405" s="66">
        <f t="shared" si="308"/>
        <v>5.1848586103661783E-3</v>
      </c>
      <c r="Y405" s="66">
        <f t="shared" si="308"/>
        <v>5.178356193108807E-3</v>
      </c>
      <c r="Z405" s="66">
        <f t="shared" si="308"/>
        <v>5.1718031115888016E-3</v>
      </c>
      <c r="AA405" s="66">
        <f t="shared" si="308"/>
        <v>5.1652155247324926E-3</v>
      </c>
      <c r="AB405" s="66">
        <f t="shared" si="308"/>
        <v>5.1586045599615847E-3</v>
      </c>
      <c r="AC405" s="66">
        <f t="shared" si="308"/>
        <v>5.1519778117664998E-3</v>
      </c>
    </row>
    <row r="406" spans="1:29" x14ac:dyDescent="0.25">
      <c r="A406" s="59" t="str">
        <f>A369</f>
        <v>Payload loss (fuel)</v>
      </c>
      <c r="B406" s="66">
        <f>B394/(B367-B369)-B394/B367</f>
        <v>0</v>
      </c>
      <c r="C406" s="66">
        <f t="shared" ref="C406:AC406" si="309">C394/(C367-C369)-C394/C367</f>
        <v>0</v>
      </c>
      <c r="D406" s="66">
        <f t="shared" si="309"/>
        <v>0</v>
      </c>
      <c r="E406" s="66">
        <f t="shared" si="309"/>
        <v>0</v>
      </c>
      <c r="F406" s="66">
        <f t="shared" si="309"/>
        <v>0</v>
      </c>
      <c r="G406" s="66">
        <f t="shared" si="309"/>
        <v>0</v>
      </c>
      <c r="H406" s="66">
        <f t="shared" si="309"/>
        <v>0</v>
      </c>
      <c r="I406" s="66">
        <f t="shared" si="309"/>
        <v>0</v>
      </c>
      <c r="J406" s="66">
        <f t="shared" si="309"/>
        <v>0</v>
      </c>
      <c r="K406" s="66">
        <f t="shared" si="309"/>
        <v>0</v>
      </c>
      <c r="L406" s="66">
        <f t="shared" si="309"/>
        <v>0</v>
      </c>
      <c r="M406" s="66">
        <f t="shared" si="309"/>
        <v>0</v>
      </c>
      <c r="N406" s="66">
        <f t="shared" si="309"/>
        <v>0</v>
      </c>
      <c r="O406" s="66">
        <f t="shared" si="309"/>
        <v>0</v>
      </c>
      <c r="P406" s="66">
        <f t="shared" si="309"/>
        <v>0</v>
      </c>
      <c r="Q406" s="66">
        <f t="shared" si="309"/>
        <v>0</v>
      </c>
      <c r="R406" s="66">
        <f t="shared" si="309"/>
        <v>0</v>
      </c>
      <c r="S406" s="66">
        <f t="shared" si="309"/>
        <v>0</v>
      </c>
      <c r="T406" s="66">
        <f t="shared" si="309"/>
        <v>0</v>
      </c>
      <c r="U406" s="66">
        <f t="shared" si="309"/>
        <v>0</v>
      </c>
      <c r="V406" s="66">
        <f t="shared" si="309"/>
        <v>0</v>
      </c>
      <c r="W406" s="66">
        <f t="shared" si="309"/>
        <v>0</v>
      </c>
      <c r="X406" s="66">
        <f t="shared" si="309"/>
        <v>0</v>
      </c>
      <c r="Y406" s="66">
        <f t="shared" si="309"/>
        <v>0</v>
      </c>
      <c r="Z406" s="66">
        <f t="shared" si="309"/>
        <v>0</v>
      </c>
      <c r="AA406" s="66">
        <f t="shared" si="309"/>
        <v>0</v>
      </c>
      <c r="AB406" s="66">
        <f t="shared" si="309"/>
        <v>0</v>
      </c>
      <c r="AC406" s="66">
        <f t="shared" si="309"/>
        <v>0</v>
      </c>
    </row>
    <row r="407" spans="1:29" ht="15.75" thickBot="1" x14ac:dyDescent="0.3">
      <c r="A407" s="59" t="str">
        <f>A344</f>
        <v>Emission Cost</v>
      </c>
      <c r="B407" s="66">
        <f>B364*B370/B370/(B367)</f>
        <v>0</v>
      </c>
      <c r="C407" s="66">
        <f t="shared" ref="C407:AC407" si="310">C364*C370/C370/(C367)</f>
        <v>0</v>
      </c>
      <c r="D407" s="66">
        <f t="shared" si="310"/>
        <v>0</v>
      </c>
      <c r="E407" s="66">
        <f t="shared" si="310"/>
        <v>0</v>
      </c>
      <c r="F407" s="66">
        <f t="shared" si="310"/>
        <v>0</v>
      </c>
      <c r="G407" s="66">
        <f t="shared" si="310"/>
        <v>0</v>
      </c>
      <c r="H407" s="66">
        <f t="shared" si="310"/>
        <v>0</v>
      </c>
      <c r="I407" s="66">
        <f t="shared" si="310"/>
        <v>0</v>
      </c>
      <c r="J407" s="66">
        <f t="shared" si="310"/>
        <v>0</v>
      </c>
      <c r="K407" s="66">
        <f t="shared" si="310"/>
        <v>0</v>
      </c>
      <c r="L407" s="66">
        <f t="shared" si="310"/>
        <v>0</v>
      </c>
      <c r="M407" s="66">
        <f t="shared" si="310"/>
        <v>0</v>
      </c>
      <c r="N407" s="66">
        <f t="shared" si="310"/>
        <v>0</v>
      </c>
      <c r="O407" s="66">
        <f t="shared" si="310"/>
        <v>0</v>
      </c>
      <c r="P407" s="66">
        <f t="shared" si="310"/>
        <v>0</v>
      </c>
      <c r="Q407" s="66">
        <f t="shared" si="310"/>
        <v>0</v>
      </c>
      <c r="R407" s="66">
        <f t="shared" si="310"/>
        <v>0</v>
      </c>
      <c r="S407" s="66">
        <f t="shared" si="310"/>
        <v>0</v>
      </c>
      <c r="T407" s="66">
        <f t="shared" si="310"/>
        <v>0</v>
      </c>
      <c r="U407" s="66">
        <f t="shared" si="310"/>
        <v>0</v>
      </c>
      <c r="V407" s="66">
        <f t="shared" si="310"/>
        <v>0</v>
      </c>
      <c r="W407" s="66">
        <f t="shared" si="310"/>
        <v>0</v>
      </c>
      <c r="X407" s="66">
        <f t="shared" si="310"/>
        <v>0</v>
      </c>
      <c r="Y407" s="66">
        <f t="shared" si="310"/>
        <v>0</v>
      </c>
      <c r="Z407" s="66">
        <f t="shared" si="310"/>
        <v>0</v>
      </c>
      <c r="AA407" s="66">
        <f t="shared" si="310"/>
        <v>0</v>
      </c>
      <c r="AB407" s="66">
        <f t="shared" si="310"/>
        <v>0</v>
      </c>
      <c r="AC407" s="66">
        <f t="shared" si="310"/>
        <v>0</v>
      </c>
    </row>
    <row r="408" spans="1:29" ht="15.75" thickBot="1" x14ac:dyDescent="0.3">
      <c r="A408" s="31" t="s">
        <v>210</v>
      </c>
      <c r="B408" s="67">
        <f>B397+B398+B399+B400+B401+B402+B403+B404+B405+B406+B407</f>
        <v>1.9265681698315947E-2</v>
      </c>
      <c r="C408" s="67">
        <f t="shared" ref="C408:AC408" si="311">C397+C398+C399+C400+C401+C402+C403+C404+C405+C406+C407</f>
        <v>1.9184740603174939E-2</v>
      </c>
      <c r="D408" s="67">
        <f t="shared" si="311"/>
        <v>1.9104051073347152E-2</v>
      </c>
      <c r="E408" s="67">
        <f t="shared" si="311"/>
        <v>1.9023713240629243E-2</v>
      </c>
      <c r="F408" s="67">
        <f t="shared" si="311"/>
        <v>1.8943861168729252E-2</v>
      </c>
      <c r="G408" s="67">
        <f t="shared" si="311"/>
        <v>1.8864668104845373E-2</v>
      </c>
      <c r="H408" s="67">
        <f t="shared" si="311"/>
        <v>1.878634576464689E-2</v>
      </c>
      <c r="I408" s="67">
        <f t="shared" si="311"/>
        <v>1.8709130045650273E-2</v>
      </c>
      <c r="J408" s="67">
        <f t="shared" si="311"/>
        <v>1.8691000485098169E-2</v>
      </c>
      <c r="K408" s="67">
        <f t="shared" si="311"/>
        <v>1.8674336926881724E-2</v>
      </c>
      <c r="L408" s="67">
        <f t="shared" si="311"/>
        <v>1.865909696811003E-2</v>
      </c>
      <c r="M408" s="67">
        <f t="shared" si="311"/>
        <v>1.8644974158764732E-2</v>
      </c>
      <c r="N408" s="67">
        <f t="shared" si="311"/>
        <v>1.863138935885577E-2</v>
      </c>
      <c r="O408" s="67">
        <f t="shared" si="311"/>
        <v>1.8617603885764174E-2</v>
      </c>
      <c r="P408" s="67">
        <f t="shared" si="311"/>
        <v>1.8602921878210214E-2</v>
      </c>
      <c r="Q408" s="67">
        <f t="shared" si="311"/>
        <v>1.8586873489263682E-2</v>
      </c>
      <c r="R408" s="67">
        <f t="shared" si="311"/>
        <v>1.8569284611740552E-2</v>
      </c>
      <c r="S408" s="67">
        <f t="shared" si="311"/>
        <v>1.8550228102290598E-2</v>
      </c>
      <c r="T408" s="67">
        <f t="shared" si="311"/>
        <v>1.8529919563918709E-2</v>
      </c>
      <c r="U408" s="67">
        <f t="shared" si="311"/>
        <v>1.8508620874223759E-2</v>
      </c>
      <c r="V408" s="67">
        <f t="shared" si="311"/>
        <v>1.8486579135345894E-2</v>
      </c>
      <c r="W408" s="67">
        <f t="shared" si="311"/>
        <v>1.8463999584427532E-2</v>
      </c>
      <c r="X408" s="67">
        <f t="shared" si="311"/>
        <v>1.8441040298061935E-2</v>
      </c>
      <c r="Y408" s="67">
        <f t="shared" si="311"/>
        <v>1.8417817379285613E-2</v>
      </c>
      <c r="Z408" s="67">
        <f t="shared" si="311"/>
        <v>1.8394413516714163E-2</v>
      </c>
      <c r="AA408" s="67">
        <f t="shared" si="311"/>
        <v>1.837088642079877E-2</v>
      </c>
      <c r="AB408" s="67">
        <f t="shared" si="311"/>
        <v>1.8347275832331242E-2</v>
      </c>
      <c r="AC408" s="67">
        <f t="shared" si="311"/>
        <v>1.8323608874491658E-2</v>
      </c>
    </row>
    <row r="410" spans="1:29" x14ac:dyDescent="0.25">
      <c r="B410" s="40"/>
    </row>
    <row r="429" spans="1:1" s="3" customFormat="1" ht="21" x14ac:dyDescent="0.35">
      <c r="A429" s="2" t="str">
        <f>'Parameter Input'!A193</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Input'!$L$147</f>
        <v>3500000</v>
      </c>
      <c r="C439" s="42">
        <f>'Parameter Input'!$M$147</f>
        <v>3500000</v>
      </c>
      <c r="D439" s="1" t="s">
        <v>15</v>
      </c>
      <c r="L439" s="51">
        <f>'Parameter Input'!$O$147</f>
        <v>12</v>
      </c>
      <c r="M439" s="52">
        <v>0</v>
      </c>
      <c r="N439" s="52">
        <v>1</v>
      </c>
      <c r="O439" s="52">
        <f>'Parameter Input'!$P$147</f>
        <v>0.9</v>
      </c>
      <c r="P439" s="53">
        <f>'Parameter Input'!$Q$147</f>
        <v>0.4</v>
      </c>
      <c r="Q439" s="4">
        <f t="shared" ref="Q439:AR448" si="312">$N439+($M439-$N439)*((1/(1+EXP(-$P439*(Q$9-$L439)))^$O439))</f>
        <v>0.9867978615748374</v>
      </c>
      <c r="R439" s="4">
        <f t="shared" si="312"/>
        <v>0.98114509762858249</v>
      </c>
      <c r="S439" s="4">
        <f t="shared" si="312"/>
        <v>0.97311898315872036</v>
      </c>
      <c r="T439" s="4">
        <f t="shared" si="312"/>
        <v>0.96177484161592774</v>
      </c>
      <c r="U439" s="4">
        <f t="shared" si="312"/>
        <v>0.94584787155511363</v>
      </c>
      <c r="V439" s="4">
        <f t="shared" si="312"/>
        <v>0.92370360150141495</v>
      </c>
      <c r="W439" s="4">
        <f t="shared" si="312"/>
        <v>0.89334463567658451</v>
      </c>
      <c r="X439" s="4">
        <f t="shared" si="312"/>
        <v>0.85254543874327005</v>
      </c>
      <c r="Y439" s="4">
        <f t="shared" si="312"/>
        <v>0.79921300652623883</v>
      </c>
      <c r="Z439" s="4">
        <f t="shared" si="312"/>
        <v>0.73204982249993378</v>
      </c>
      <c r="AA439" s="4">
        <f t="shared" si="312"/>
        <v>0.65145592958786691</v>
      </c>
      <c r="AB439" s="4">
        <f t="shared" si="312"/>
        <v>0.56032247880849573</v>
      </c>
      <c r="AC439" s="4">
        <f t="shared" si="312"/>
        <v>0.46411326873185343</v>
      </c>
      <c r="AD439" s="4">
        <f t="shared" si="312"/>
        <v>0.36979727595523937</v>
      </c>
      <c r="AE439" s="4">
        <f t="shared" si="312"/>
        <v>0.28393948637231203</v>
      </c>
      <c r="AF439" s="4">
        <f t="shared" si="312"/>
        <v>0.21097259161117732</v>
      </c>
      <c r="AG439" s="4">
        <f t="shared" si="312"/>
        <v>0.15253917653798199</v>
      </c>
      <c r="AH439" s="4">
        <f t="shared" si="312"/>
        <v>0.10795188737709993</v>
      </c>
      <c r="AI439" s="4">
        <f t="shared" si="312"/>
        <v>7.5176653938091809E-2</v>
      </c>
      <c r="AJ439" s="4">
        <f t="shared" si="312"/>
        <v>5.1742836177502194E-2</v>
      </c>
      <c r="AK439" s="4">
        <f t="shared" si="312"/>
        <v>3.5319190625345942E-2</v>
      </c>
      <c r="AL439" s="4">
        <f t="shared" si="312"/>
        <v>2.3969442072658165E-2</v>
      </c>
      <c r="AM439" s="4">
        <f t="shared" si="312"/>
        <v>1.6202243558389728E-2</v>
      </c>
      <c r="AN439" s="4">
        <f t="shared" si="312"/>
        <v>1.0922240564108399E-2</v>
      </c>
      <c r="AO439" s="4">
        <f t="shared" si="312"/>
        <v>7.3493212906090566E-3</v>
      </c>
      <c r="AP439" s="4">
        <f t="shared" si="312"/>
        <v>4.9390262185057265E-3</v>
      </c>
      <c r="AQ439" s="4">
        <f t="shared" si="312"/>
        <v>3.3164275492956197E-3</v>
      </c>
      <c r="AR439" s="4">
        <f t="shared" si="312"/>
        <v>2.2256362146679809E-3</v>
      </c>
    </row>
    <row r="440" spans="1:44" x14ac:dyDescent="0.25">
      <c r="A440" s="24" t="s">
        <v>28</v>
      </c>
      <c r="B440" s="60">
        <f>'Parameter Input'!$L$148</f>
        <v>-525000</v>
      </c>
      <c r="C440" s="61">
        <f>'Parameter Input'!$M$148</f>
        <v>-175000</v>
      </c>
      <c r="D440" s="1" t="s">
        <v>15</v>
      </c>
      <c r="L440" s="54">
        <f>'Parameter Input'!$O$148</f>
        <v>12</v>
      </c>
      <c r="M440" s="37">
        <v>0</v>
      </c>
      <c r="N440" s="37">
        <v>1</v>
      </c>
      <c r="O440" s="37">
        <f>'Parameter Input'!$P$148</f>
        <v>0.9</v>
      </c>
      <c r="P440" s="55">
        <f>'Parameter Input'!$Q$148</f>
        <v>0.4</v>
      </c>
      <c r="Q440" s="4">
        <f t="shared" si="312"/>
        <v>0.9867978615748374</v>
      </c>
      <c r="R440" s="4">
        <f t="shared" si="312"/>
        <v>0.98114509762858249</v>
      </c>
      <c r="S440" s="4">
        <f t="shared" si="312"/>
        <v>0.97311898315872036</v>
      </c>
      <c r="T440" s="4">
        <f t="shared" si="312"/>
        <v>0.96177484161592774</v>
      </c>
      <c r="U440" s="4">
        <f t="shared" si="312"/>
        <v>0.94584787155511363</v>
      </c>
      <c r="V440" s="4">
        <f t="shared" si="312"/>
        <v>0.92370360150141495</v>
      </c>
      <c r="W440" s="4">
        <f t="shared" si="312"/>
        <v>0.89334463567658451</v>
      </c>
      <c r="X440" s="4">
        <f t="shared" si="312"/>
        <v>0.85254543874327005</v>
      </c>
      <c r="Y440" s="4">
        <f t="shared" si="312"/>
        <v>0.79921300652623883</v>
      </c>
      <c r="Z440" s="4">
        <f t="shared" si="312"/>
        <v>0.73204982249993378</v>
      </c>
      <c r="AA440" s="4">
        <f t="shared" si="312"/>
        <v>0.65145592958786691</v>
      </c>
      <c r="AB440" s="4">
        <f t="shared" si="312"/>
        <v>0.56032247880849573</v>
      </c>
      <c r="AC440" s="4">
        <f t="shared" si="312"/>
        <v>0.46411326873185343</v>
      </c>
      <c r="AD440" s="4">
        <f t="shared" si="312"/>
        <v>0.36979727595523937</v>
      </c>
      <c r="AE440" s="4">
        <f t="shared" si="312"/>
        <v>0.28393948637231203</v>
      </c>
      <c r="AF440" s="4">
        <f t="shared" si="312"/>
        <v>0.21097259161117732</v>
      </c>
      <c r="AG440" s="4">
        <f t="shared" si="312"/>
        <v>0.15253917653798199</v>
      </c>
      <c r="AH440" s="4">
        <f t="shared" si="312"/>
        <v>0.10795188737709993</v>
      </c>
      <c r="AI440" s="4">
        <f t="shared" si="312"/>
        <v>7.5176653938091809E-2</v>
      </c>
      <c r="AJ440" s="4">
        <f t="shared" si="312"/>
        <v>5.1742836177502194E-2</v>
      </c>
      <c r="AK440" s="4">
        <f t="shared" si="312"/>
        <v>3.5319190625345942E-2</v>
      </c>
      <c r="AL440" s="4">
        <f t="shared" si="312"/>
        <v>2.3969442072658165E-2</v>
      </c>
      <c r="AM440" s="4">
        <f t="shared" si="312"/>
        <v>1.6202243558389728E-2</v>
      </c>
      <c r="AN440" s="4">
        <f t="shared" si="312"/>
        <v>1.0922240564108399E-2</v>
      </c>
      <c r="AO440" s="4">
        <f t="shared" si="312"/>
        <v>7.3493212906090566E-3</v>
      </c>
      <c r="AP440" s="4">
        <f t="shared" si="312"/>
        <v>4.9390262185057265E-3</v>
      </c>
      <c r="AQ440" s="4">
        <f t="shared" si="312"/>
        <v>3.3164275492956197E-3</v>
      </c>
      <c r="AR440" s="4">
        <f t="shared" si="312"/>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Input'!$L$154</f>
        <v>0.06</v>
      </c>
      <c r="C443" s="46">
        <f>'Parameter Input'!$M$154</f>
        <v>0.06</v>
      </c>
      <c r="D443" s="1" t="s">
        <v>57</v>
      </c>
      <c r="L443" s="54">
        <f>'Parameter Input'!$O$154</f>
        <v>12</v>
      </c>
      <c r="M443" s="37">
        <v>0</v>
      </c>
      <c r="N443" s="37">
        <v>1</v>
      </c>
      <c r="O443" s="37">
        <f>'Parameter Input'!$P$154</f>
        <v>0.9</v>
      </c>
      <c r="P443" s="55">
        <f>'Parameter Input'!$Q$154</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Input'!$L$150</f>
        <v>1050000</v>
      </c>
      <c r="C445" s="44">
        <f>'Parameter Input'!$M$150</f>
        <v>1050000</v>
      </c>
      <c r="D445" s="1" t="s">
        <v>38</v>
      </c>
      <c r="L445" s="54">
        <f>'Parameter Input'!$O$150</f>
        <v>12</v>
      </c>
      <c r="M445" s="37">
        <v>0</v>
      </c>
      <c r="N445" s="37">
        <v>1</v>
      </c>
      <c r="O445" s="37">
        <f>'Parameter Input'!$P$150</f>
        <v>0.9</v>
      </c>
      <c r="P445" s="55">
        <f>'Parameter Input'!$Q$150</f>
        <v>0.4</v>
      </c>
      <c r="Q445" s="4">
        <f t="shared" si="312"/>
        <v>0.9867978615748374</v>
      </c>
      <c r="R445" s="4">
        <f t="shared" si="312"/>
        <v>0.98114509762858249</v>
      </c>
      <c r="S445" s="4">
        <f t="shared" si="312"/>
        <v>0.97311898315872036</v>
      </c>
      <c r="T445" s="4">
        <f t="shared" si="312"/>
        <v>0.96177484161592774</v>
      </c>
      <c r="U445" s="4">
        <f t="shared" si="312"/>
        <v>0.94584787155511363</v>
      </c>
      <c r="V445" s="4">
        <f t="shared" si="312"/>
        <v>0.92370360150141495</v>
      </c>
      <c r="W445" s="4">
        <f t="shared" si="312"/>
        <v>0.89334463567658451</v>
      </c>
      <c r="X445" s="4">
        <f t="shared" si="312"/>
        <v>0.85254543874327005</v>
      </c>
      <c r="Y445" s="4">
        <f t="shared" si="312"/>
        <v>0.79921300652623883</v>
      </c>
      <c r="Z445" s="4">
        <f t="shared" si="312"/>
        <v>0.73204982249993378</v>
      </c>
      <c r="AA445" s="4">
        <f t="shared" si="312"/>
        <v>0.65145592958786691</v>
      </c>
      <c r="AB445" s="4">
        <f t="shared" si="312"/>
        <v>0.56032247880849573</v>
      </c>
      <c r="AC445" s="4">
        <f t="shared" si="312"/>
        <v>0.46411326873185343</v>
      </c>
      <c r="AD445" s="4">
        <f t="shared" si="312"/>
        <v>0.36979727595523937</v>
      </c>
      <c r="AE445" s="4">
        <f t="shared" si="312"/>
        <v>0.28393948637231203</v>
      </c>
      <c r="AF445" s="4">
        <f t="shared" si="312"/>
        <v>0.21097259161117732</v>
      </c>
      <c r="AG445" s="4">
        <f t="shared" si="312"/>
        <v>0.15253917653798199</v>
      </c>
      <c r="AH445" s="4">
        <f t="shared" si="312"/>
        <v>0.10795188737709993</v>
      </c>
      <c r="AI445" s="4">
        <f t="shared" si="312"/>
        <v>7.5176653938091809E-2</v>
      </c>
      <c r="AJ445" s="4">
        <f t="shared" si="312"/>
        <v>5.1742836177502194E-2</v>
      </c>
      <c r="AK445" s="4">
        <f t="shared" si="312"/>
        <v>3.5319190625345942E-2</v>
      </c>
      <c r="AL445" s="4">
        <f t="shared" si="312"/>
        <v>2.3969442072658165E-2</v>
      </c>
      <c r="AM445" s="4">
        <f t="shared" si="312"/>
        <v>1.6202243558389728E-2</v>
      </c>
      <c r="AN445" s="4">
        <f t="shared" si="312"/>
        <v>1.0922240564108399E-2</v>
      </c>
      <c r="AO445" s="4">
        <f t="shared" si="312"/>
        <v>7.3493212906090566E-3</v>
      </c>
      <c r="AP445" s="4">
        <f t="shared" si="312"/>
        <v>4.9390262185057265E-3</v>
      </c>
      <c r="AQ445" s="4">
        <f t="shared" si="312"/>
        <v>3.3164275492956197E-3</v>
      </c>
      <c r="AR445" s="4">
        <f t="shared" si="312"/>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Input'!$L$151</f>
        <v>76.777599999999993</v>
      </c>
      <c r="C447" s="48">
        <f>'Parameter Input'!$M$151</f>
        <v>76.777599999999993</v>
      </c>
      <c r="D447" s="1" t="s">
        <v>60</v>
      </c>
      <c r="L447" s="54">
        <f>'Parameter Input'!$O$151</f>
        <v>12</v>
      </c>
      <c r="M447" s="37">
        <v>0</v>
      </c>
      <c r="N447" s="37">
        <v>1</v>
      </c>
      <c r="O447" s="37">
        <f>'Parameter Input'!$P$151</f>
        <v>0.9</v>
      </c>
      <c r="P447" s="55">
        <f>'Parameter Input'!$Q$151</f>
        <v>0.4</v>
      </c>
      <c r="Q447" s="4">
        <f t="shared" si="312"/>
        <v>0.9867978615748374</v>
      </c>
      <c r="R447" s="4">
        <f t="shared" si="312"/>
        <v>0.98114509762858249</v>
      </c>
      <c r="S447" s="4">
        <f t="shared" si="312"/>
        <v>0.97311898315872036</v>
      </c>
      <c r="T447" s="4">
        <f t="shared" si="312"/>
        <v>0.96177484161592774</v>
      </c>
      <c r="U447" s="4">
        <f t="shared" si="312"/>
        <v>0.94584787155511363</v>
      </c>
      <c r="V447" s="4">
        <f t="shared" si="312"/>
        <v>0.92370360150141495</v>
      </c>
      <c r="W447" s="4">
        <f t="shared" si="312"/>
        <v>0.89334463567658451</v>
      </c>
      <c r="X447" s="4">
        <f t="shared" si="312"/>
        <v>0.85254543874327005</v>
      </c>
      <c r="Y447" s="4">
        <f t="shared" si="312"/>
        <v>0.79921300652623883</v>
      </c>
      <c r="Z447" s="4">
        <f t="shared" si="312"/>
        <v>0.73204982249993378</v>
      </c>
      <c r="AA447" s="4">
        <f t="shared" si="312"/>
        <v>0.65145592958786691</v>
      </c>
      <c r="AB447" s="4">
        <f t="shared" si="312"/>
        <v>0.56032247880849573</v>
      </c>
      <c r="AC447" s="4">
        <f t="shared" si="312"/>
        <v>0.46411326873185343</v>
      </c>
      <c r="AD447" s="4">
        <f t="shared" si="312"/>
        <v>0.36979727595523937</v>
      </c>
      <c r="AE447" s="4">
        <f t="shared" si="312"/>
        <v>0.28393948637231203</v>
      </c>
      <c r="AF447" s="4">
        <f t="shared" si="312"/>
        <v>0.21097259161117732</v>
      </c>
      <c r="AG447" s="4">
        <f t="shared" si="312"/>
        <v>0.15253917653798199</v>
      </c>
      <c r="AH447" s="4">
        <f t="shared" si="312"/>
        <v>0.10795188737709993</v>
      </c>
      <c r="AI447" s="4">
        <f t="shared" si="312"/>
        <v>7.5176653938091809E-2</v>
      </c>
      <c r="AJ447" s="4">
        <f t="shared" si="312"/>
        <v>5.1742836177502194E-2</v>
      </c>
      <c r="AK447" s="4">
        <f t="shared" si="312"/>
        <v>3.5319190625345942E-2</v>
      </c>
      <c r="AL447" s="4">
        <f t="shared" si="312"/>
        <v>2.3969442072658165E-2</v>
      </c>
      <c r="AM447" s="4">
        <f t="shared" si="312"/>
        <v>1.6202243558389728E-2</v>
      </c>
      <c r="AN447" s="4">
        <f t="shared" si="312"/>
        <v>1.0922240564108399E-2</v>
      </c>
      <c r="AO447" s="4">
        <f t="shared" si="312"/>
        <v>7.3493212906090566E-3</v>
      </c>
      <c r="AP447" s="4">
        <f t="shared" si="312"/>
        <v>4.9390262185057265E-3</v>
      </c>
      <c r="AQ447" s="4">
        <f t="shared" si="312"/>
        <v>3.3164275492956197E-3</v>
      </c>
      <c r="AR447" s="4">
        <f t="shared" si="312"/>
        <v>2.2256362146679809E-3</v>
      </c>
    </row>
    <row r="448" spans="1:44" x14ac:dyDescent="0.25">
      <c r="A448" s="24" t="s">
        <v>67</v>
      </c>
      <c r="B448" s="45">
        <f>'Parameter Input'!$L$152</f>
        <v>0.1</v>
      </c>
      <c r="C448" s="46">
        <f>'Parameter Input'!$M$152</f>
        <v>0.1</v>
      </c>
      <c r="D448" s="1" t="s">
        <v>68</v>
      </c>
      <c r="L448" s="54">
        <f>'Parameter Input'!$O$152</f>
        <v>12</v>
      </c>
      <c r="M448" s="37">
        <v>0</v>
      </c>
      <c r="N448" s="37">
        <v>1</v>
      </c>
      <c r="O448" s="37">
        <f>'Parameter Input'!$P$152</f>
        <v>0.9</v>
      </c>
      <c r="P448" s="55">
        <f>'Parameter Input'!$Q$152</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Input'!$L$149</f>
        <v>20</v>
      </c>
      <c r="C450" s="44">
        <f>'Parameter Input'!$M$149</f>
        <v>20</v>
      </c>
      <c r="D450" s="1" t="s">
        <v>42</v>
      </c>
      <c r="L450" s="54">
        <f>'Parameter Input'!$O$149</f>
        <v>12</v>
      </c>
      <c r="M450" s="37">
        <v>0</v>
      </c>
      <c r="N450" s="37">
        <v>1</v>
      </c>
      <c r="O450" s="37">
        <f>'Parameter Input'!$P$149</f>
        <v>0.9</v>
      </c>
      <c r="P450" s="55">
        <f>'Parameter Input'!$Q$149</f>
        <v>0.4</v>
      </c>
      <c r="Q450" s="4">
        <f t="shared" ref="Q450:AF455" si="316">$N450+($M450-$N450)*((1/(1+EXP(-$P450*(Q$9-$L450)))^$O450))</f>
        <v>0.9867978615748374</v>
      </c>
      <c r="R450" s="4">
        <f t="shared" si="316"/>
        <v>0.98114509762858249</v>
      </c>
      <c r="S450" s="4">
        <f t="shared" si="316"/>
        <v>0.97311898315872036</v>
      </c>
      <c r="T450" s="4">
        <f t="shared" si="316"/>
        <v>0.96177484161592774</v>
      </c>
      <c r="U450" s="4">
        <f t="shared" si="316"/>
        <v>0.94584787155511363</v>
      </c>
      <c r="V450" s="4">
        <f t="shared" si="316"/>
        <v>0.92370360150141495</v>
      </c>
      <c r="W450" s="4">
        <f t="shared" si="316"/>
        <v>0.89334463567658451</v>
      </c>
      <c r="X450" s="4">
        <f t="shared" si="316"/>
        <v>0.85254543874327005</v>
      </c>
      <c r="Y450" s="4">
        <f t="shared" si="316"/>
        <v>0.79921300652623883</v>
      </c>
      <c r="Z450" s="4">
        <f t="shared" si="316"/>
        <v>0.73204982249993378</v>
      </c>
      <c r="AA450" s="4">
        <f t="shared" si="316"/>
        <v>0.65145592958786691</v>
      </c>
      <c r="AB450" s="4">
        <f t="shared" si="316"/>
        <v>0.56032247880849573</v>
      </c>
      <c r="AC450" s="4">
        <f t="shared" si="316"/>
        <v>0.46411326873185343</v>
      </c>
      <c r="AD450" s="4">
        <f t="shared" si="316"/>
        <v>0.36979727595523937</v>
      </c>
      <c r="AE450" s="4">
        <f t="shared" si="316"/>
        <v>0.28393948637231203</v>
      </c>
      <c r="AF450" s="4">
        <f t="shared" si="316"/>
        <v>0.21097259161117732</v>
      </c>
      <c r="AG450" s="4">
        <f t="shared" si="313"/>
        <v>0.15253917653798199</v>
      </c>
      <c r="AH450" s="4">
        <f t="shared" si="313"/>
        <v>0.10795188737709993</v>
      </c>
      <c r="AI450" s="4">
        <f t="shared" si="313"/>
        <v>7.5176653938091809E-2</v>
      </c>
      <c r="AJ450" s="4">
        <f t="shared" si="314"/>
        <v>5.1742836177502194E-2</v>
      </c>
      <c r="AK450" s="4">
        <f t="shared" si="314"/>
        <v>3.5319190625345942E-2</v>
      </c>
      <c r="AL450" s="4">
        <f t="shared" si="314"/>
        <v>2.3969442072658165E-2</v>
      </c>
      <c r="AM450" s="4">
        <f t="shared" si="314"/>
        <v>1.6202243558389728E-2</v>
      </c>
      <c r="AN450" s="4">
        <f t="shared" si="314"/>
        <v>1.0922240564108399E-2</v>
      </c>
      <c r="AO450" s="4">
        <f t="shared" si="314"/>
        <v>7.3493212906090566E-3</v>
      </c>
      <c r="AP450" s="4">
        <f t="shared" si="314"/>
        <v>4.9390262185057265E-3</v>
      </c>
      <c r="AQ450" s="4">
        <f t="shared" si="314"/>
        <v>3.3164275492956197E-3</v>
      </c>
      <c r="AR450" s="4">
        <f t="shared" si="314"/>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Input'!$L$153</f>
        <v>0</v>
      </c>
      <c r="C454" s="73">
        <f>'Parameter Input'!$M$153</f>
        <v>0</v>
      </c>
      <c r="D454" s="1" t="s">
        <v>57</v>
      </c>
      <c r="L454" s="54">
        <f>'Parameter Input'!$O$153</f>
        <v>12</v>
      </c>
      <c r="M454" s="37">
        <v>0</v>
      </c>
      <c r="N454" s="37">
        <v>1</v>
      </c>
      <c r="O454" s="37">
        <f>'Parameter Input'!$P$153</f>
        <v>0.9</v>
      </c>
      <c r="P454" s="55">
        <f>'Parameter Input'!$Q$153</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7">A439</f>
        <v>Capex vehicle</v>
      </c>
      <c r="B459" s="62">
        <f t="shared" ref="B459:B467" si="318">$B439+($C439-$B439)*(1-Q439)</f>
        <v>3500000</v>
      </c>
      <c r="C459" s="62">
        <f t="shared" ref="C459:C467" si="319">$B439+($C439-$B439)*(1-R439)</f>
        <v>3500000</v>
      </c>
      <c r="D459" s="62">
        <f t="shared" ref="D459:D467" si="320">$B439+($C439-$B439)*(1-S439)</f>
        <v>3500000</v>
      </c>
      <c r="E459" s="62">
        <f t="shared" ref="E459:E467" si="321">$B439+($C439-$B439)*(1-T439)</f>
        <v>3500000</v>
      </c>
      <c r="F459" s="62">
        <f t="shared" ref="F459:F467" si="322">$B439+($C439-$B439)*(1-U439)</f>
        <v>3500000</v>
      </c>
      <c r="G459" s="62">
        <f t="shared" ref="G459:G467" si="323">$B439+($C439-$B439)*(1-V439)</f>
        <v>3500000</v>
      </c>
      <c r="H459" s="62">
        <f t="shared" ref="H459:H467" si="324">$B439+($C439-$B439)*(1-W439)</f>
        <v>3500000</v>
      </c>
      <c r="I459" s="62">
        <f t="shared" ref="I459:I467" si="325">$B439+($C439-$B439)*(1-X439)</f>
        <v>3500000</v>
      </c>
      <c r="J459" s="62">
        <f t="shared" ref="J459:J467" si="326">$B439+($C439-$B439)*(1-Y439)</f>
        <v>3500000</v>
      </c>
      <c r="K459" s="62">
        <f t="shared" ref="K459:K467" si="327">$B439+($C439-$B439)*(1-Z439)</f>
        <v>3500000</v>
      </c>
      <c r="L459" s="62">
        <f t="shared" ref="L459:L467" si="328">$B439+($C439-$B439)*(1-AA439)</f>
        <v>3500000</v>
      </c>
      <c r="M459" s="62">
        <f t="shared" ref="M459:M467" si="329">$B439+($C439-$B439)*(1-AB439)</f>
        <v>3500000</v>
      </c>
      <c r="N459" s="62">
        <f t="shared" ref="N459:N467" si="330">$B439+($C439-$B439)*(1-AC439)</f>
        <v>3500000</v>
      </c>
      <c r="O459" s="62">
        <f t="shared" ref="O459:O467" si="331">$B439+($C439-$B439)*(1-AD439)</f>
        <v>3500000</v>
      </c>
      <c r="P459" s="62">
        <f t="shared" ref="P459:P467" si="332">$B439+($C439-$B439)*(1-AE439)</f>
        <v>3500000</v>
      </c>
      <c r="Q459" s="62">
        <f t="shared" ref="Q459:Q467" si="333">$B439+($C439-$B439)*(1-AF439)</f>
        <v>3500000</v>
      </c>
      <c r="R459" s="62">
        <f t="shared" ref="R459:R467" si="334">$B439+($C439-$B439)*(1-AG439)</f>
        <v>3500000</v>
      </c>
      <c r="S459" s="62">
        <f t="shared" ref="S459:S467" si="335">$B439+($C439-$B439)*(1-AH439)</f>
        <v>3500000</v>
      </c>
      <c r="T459" s="62">
        <f t="shared" ref="T459:T467" si="336">$B439+($C439-$B439)*(1-AI439)</f>
        <v>3500000</v>
      </c>
      <c r="U459" s="62">
        <f t="shared" ref="U459:U467" si="337">$B439+($C439-$B439)*(1-AJ439)</f>
        <v>3500000</v>
      </c>
      <c r="V459" s="62">
        <f t="shared" ref="V459:V467" si="338">$B439+($C439-$B439)*(1-AK439)</f>
        <v>3500000</v>
      </c>
      <c r="W459" s="62">
        <f t="shared" ref="W459:W467" si="339">$B439+($C439-$B439)*(1-AL439)</f>
        <v>3500000</v>
      </c>
      <c r="X459" s="62">
        <f t="shared" ref="X459:X467" si="340">$B439+($C439-$B439)*(1-AM439)</f>
        <v>3500000</v>
      </c>
      <c r="Y459" s="62">
        <f t="shared" ref="Y459:Y467" si="341">$B439+($C439-$B439)*(1-AN439)</f>
        <v>3500000</v>
      </c>
      <c r="Z459" s="62">
        <f t="shared" ref="Z459:Z467" si="342">$B439+($C439-$B439)*(1-AO439)</f>
        <v>3500000</v>
      </c>
      <c r="AA459" s="62">
        <f t="shared" ref="AA459:AA467" si="343">$B439+($C439-$B439)*(1-AP439)</f>
        <v>3500000</v>
      </c>
      <c r="AB459" s="62">
        <f t="shared" ref="AB459:AB467" si="344">$B439+($C439-$B439)*(1-AQ439)</f>
        <v>3500000</v>
      </c>
      <c r="AC459" s="62">
        <f t="shared" ref="AC459:AC467" si="345">$B439+($C439-$B439)*(1-AR439)</f>
        <v>3500000</v>
      </c>
    </row>
    <row r="460" spans="1:44" x14ac:dyDescent="0.25">
      <c r="A460" s="30" t="str">
        <f t="shared" si="317"/>
        <v>Residual value (vehicle)</v>
      </c>
      <c r="B460" s="62">
        <f t="shared" si="318"/>
        <v>-520379.25155119307</v>
      </c>
      <c r="C460" s="62">
        <f t="shared" si="319"/>
        <v>-518400.78417000384</v>
      </c>
      <c r="D460" s="62">
        <f t="shared" si="320"/>
        <v>-515591.64410555211</v>
      </c>
      <c r="E460" s="62">
        <f t="shared" si="321"/>
        <v>-511621.1945655747</v>
      </c>
      <c r="F460" s="62">
        <f t="shared" si="322"/>
        <v>-506046.75504428975</v>
      </c>
      <c r="G460" s="62">
        <f t="shared" si="323"/>
        <v>-498296.26052549522</v>
      </c>
      <c r="H460" s="62">
        <f t="shared" si="324"/>
        <v>-487670.62248680455</v>
      </c>
      <c r="I460" s="62">
        <f t="shared" si="325"/>
        <v>-473390.90356014454</v>
      </c>
      <c r="J460" s="62">
        <f t="shared" si="326"/>
        <v>-454724.55228418356</v>
      </c>
      <c r="K460" s="62">
        <f t="shared" si="327"/>
        <v>-431217.43787497684</v>
      </c>
      <c r="L460" s="62">
        <f t="shared" si="328"/>
        <v>-403009.57535575342</v>
      </c>
      <c r="M460" s="62">
        <f t="shared" si="329"/>
        <v>-371112.8675829735</v>
      </c>
      <c r="N460" s="62">
        <f t="shared" si="330"/>
        <v>-337439.64405614871</v>
      </c>
      <c r="O460" s="62">
        <f t="shared" si="331"/>
        <v>-304429.04658433376</v>
      </c>
      <c r="P460" s="62">
        <f t="shared" si="332"/>
        <v>-274378.82023030921</v>
      </c>
      <c r="Q460" s="62">
        <f t="shared" si="333"/>
        <v>-248840.40706391208</v>
      </c>
      <c r="R460" s="62">
        <f t="shared" si="334"/>
        <v>-228388.71178829367</v>
      </c>
      <c r="S460" s="62">
        <f t="shared" si="335"/>
        <v>-212783.16058198496</v>
      </c>
      <c r="T460" s="62">
        <f t="shared" si="336"/>
        <v>-201311.8288783321</v>
      </c>
      <c r="U460" s="62">
        <f t="shared" si="337"/>
        <v>-193109.99266212579</v>
      </c>
      <c r="V460" s="62">
        <f t="shared" si="338"/>
        <v>-187361.71671887109</v>
      </c>
      <c r="W460" s="62">
        <f t="shared" si="339"/>
        <v>-183389.30472543038</v>
      </c>
      <c r="X460" s="62">
        <f t="shared" si="340"/>
        <v>-180670.78524543642</v>
      </c>
      <c r="Y460" s="62">
        <f t="shared" si="341"/>
        <v>-178822.78419743793</v>
      </c>
      <c r="Z460" s="62">
        <f t="shared" si="342"/>
        <v>-177572.26245171315</v>
      </c>
      <c r="AA460" s="62">
        <f t="shared" si="343"/>
        <v>-176728.659176477</v>
      </c>
      <c r="AB460" s="62">
        <f t="shared" si="344"/>
        <v>-176160.74964225345</v>
      </c>
      <c r="AC460" s="62">
        <f t="shared" si="345"/>
        <v>-175778.97267513379</v>
      </c>
    </row>
    <row r="461" spans="1:44" x14ac:dyDescent="0.25">
      <c r="A461" s="30" t="str">
        <f t="shared" si="317"/>
        <v>Capex costumization</v>
      </c>
      <c r="B461" s="62">
        <f t="shared" si="318"/>
        <v>3500000</v>
      </c>
      <c r="C461" s="62">
        <f t="shared" si="319"/>
        <v>3500000</v>
      </c>
      <c r="D461" s="62">
        <f t="shared" si="320"/>
        <v>3500000</v>
      </c>
      <c r="E461" s="62">
        <f t="shared" si="321"/>
        <v>3500000</v>
      </c>
      <c r="F461" s="62">
        <f t="shared" si="322"/>
        <v>3500000</v>
      </c>
      <c r="G461" s="62">
        <f t="shared" si="323"/>
        <v>3500000</v>
      </c>
      <c r="H461" s="62">
        <f t="shared" si="324"/>
        <v>3500000</v>
      </c>
      <c r="I461" s="62">
        <f t="shared" si="325"/>
        <v>3500000</v>
      </c>
      <c r="J461" s="62">
        <f t="shared" si="326"/>
        <v>3500000</v>
      </c>
      <c r="K461" s="62">
        <f t="shared" si="327"/>
        <v>3500000</v>
      </c>
      <c r="L461" s="62">
        <f t="shared" si="328"/>
        <v>3500000</v>
      </c>
      <c r="M461" s="62">
        <f t="shared" si="329"/>
        <v>3500000</v>
      </c>
      <c r="N461" s="62">
        <f t="shared" si="330"/>
        <v>3500000</v>
      </c>
      <c r="O461" s="62">
        <f t="shared" si="331"/>
        <v>3500000</v>
      </c>
      <c r="P461" s="62">
        <f t="shared" si="332"/>
        <v>3500000</v>
      </c>
      <c r="Q461" s="62">
        <f t="shared" si="333"/>
        <v>3500000</v>
      </c>
      <c r="R461" s="62">
        <f t="shared" si="334"/>
        <v>3500000</v>
      </c>
      <c r="S461" s="62">
        <f t="shared" si="335"/>
        <v>3500000</v>
      </c>
      <c r="T461" s="62">
        <f t="shared" si="336"/>
        <v>3500000</v>
      </c>
      <c r="U461" s="62">
        <f t="shared" si="337"/>
        <v>3500000</v>
      </c>
      <c r="V461" s="62">
        <f t="shared" si="338"/>
        <v>3500000</v>
      </c>
      <c r="W461" s="62">
        <f t="shared" si="339"/>
        <v>3500000</v>
      </c>
      <c r="X461" s="62">
        <f t="shared" si="340"/>
        <v>3500000</v>
      </c>
      <c r="Y461" s="62">
        <f t="shared" si="341"/>
        <v>3500000</v>
      </c>
      <c r="Z461" s="62">
        <f t="shared" si="342"/>
        <v>3500000</v>
      </c>
      <c r="AA461" s="62">
        <f t="shared" si="343"/>
        <v>3500000</v>
      </c>
      <c r="AB461" s="62">
        <f t="shared" si="344"/>
        <v>3500000</v>
      </c>
      <c r="AC461" s="62">
        <f t="shared" si="345"/>
        <v>3500000</v>
      </c>
    </row>
    <row r="462" spans="1:44" x14ac:dyDescent="0.25">
      <c r="A462" s="30" t="str">
        <f t="shared" si="317"/>
        <v>Residual value (costumization)</v>
      </c>
      <c r="B462" s="62">
        <f t="shared" si="318"/>
        <v>-175000</v>
      </c>
      <c r="C462" s="62">
        <f t="shared" si="319"/>
        <v>-175000</v>
      </c>
      <c r="D462" s="62">
        <f t="shared" si="320"/>
        <v>-175000</v>
      </c>
      <c r="E462" s="62">
        <f t="shared" si="321"/>
        <v>-175000</v>
      </c>
      <c r="F462" s="62">
        <f t="shared" si="322"/>
        <v>-175000</v>
      </c>
      <c r="G462" s="62">
        <f t="shared" si="323"/>
        <v>-175000</v>
      </c>
      <c r="H462" s="62">
        <f t="shared" si="324"/>
        <v>-175000</v>
      </c>
      <c r="I462" s="62">
        <f t="shared" si="325"/>
        <v>-175000</v>
      </c>
      <c r="J462" s="62">
        <f t="shared" si="326"/>
        <v>-175000</v>
      </c>
      <c r="K462" s="62">
        <f t="shared" si="327"/>
        <v>-175000</v>
      </c>
      <c r="L462" s="62">
        <f t="shared" si="328"/>
        <v>-175000</v>
      </c>
      <c r="M462" s="62">
        <f t="shared" si="329"/>
        <v>-175000</v>
      </c>
      <c r="N462" s="62">
        <f t="shared" si="330"/>
        <v>-175000</v>
      </c>
      <c r="O462" s="62">
        <f t="shared" si="331"/>
        <v>-175000</v>
      </c>
      <c r="P462" s="62">
        <f t="shared" si="332"/>
        <v>-175000</v>
      </c>
      <c r="Q462" s="62">
        <f t="shared" si="333"/>
        <v>-175000</v>
      </c>
      <c r="R462" s="62">
        <f t="shared" si="334"/>
        <v>-175000</v>
      </c>
      <c r="S462" s="62">
        <f t="shared" si="335"/>
        <v>-175000</v>
      </c>
      <c r="T462" s="62">
        <f t="shared" si="336"/>
        <v>-175000</v>
      </c>
      <c r="U462" s="62">
        <f t="shared" si="337"/>
        <v>-175000</v>
      </c>
      <c r="V462" s="62">
        <f t="shared" si="338"/>
        <v>-175000</v>
      </c>
      <c r="W462" s="62">
        <f t="shared" si="339"/>
        <v>-175000</v>
      </c>
      <c r="X462" s="62">
        <f t="shared" si="340"/>
        <v>-175000</v>
      </c>
      <c r="Y462" s="62">
        <f t="shared" si="341"/>
        <v>-175000</v>
      </c>
      <c r="Z462" s="62">
        <f t="shared" si="342"/>
        <v>-175000</v>
      </c>
      <c r="AA462" s="62">
        <f t="shared" si="343"/>
        <v>-175000</v>
      </c>
      <c r="AB462" s="62">
        <f t="shared" si="344"/>
        <v>-175000</v>
      </c>
      <c r="AC462" s="62">
        <f t="shared" si="345"/>
        <v>-175000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650000</v>
      </c>
      <c r="C464" s="62">
        <f t="shared" si="319"/>
        <v>650000</v>
      </c>
      <c r="D464" s="62">
        <f t="shared" si="320"/>
        <v>650000</v>
      </c>
      <c r="E464" s="62">
        <f t="shared" si="321"/>
        <v>650000</v>
      </c>
      <c r="F464" s="62">
        <f t="shared" si="322"/>
        <v>650000</v>
      </c>
      <c r="G464" s="62">
        <f t="shared" si="323"/>
        <v>650000</v>
      </c>
      <c r="H464" s="62">
        <f t="shared" si="324"/>
        <v>650000</v>
      </c>
      <c r="I464" s="62">
        <f t="shared" si="325"/>
        <v>650000</v>
      </c>
      <c r="J464" s="62">
        <f t="shared" si="326"/>
        <v>650000</v>
      </c>
      <c r="K464" s="62">
        <f t="shared" si="327"/>
        <v>650000</v>
      </c>
      <c r="L464" s="62">
        <f t="shared" si="328"/>
        <v>650000</v>
      </c>
      <c r="M464" s="62">
        <f t="shared" si="329"/>
        <v>650000</v>
      </c>
      <c r="N464" s="62">
        <f t="shared" si="330"/>
        <v>650000</v>
      </c>
      <c r="O464" s="62">
        <f t="shared" si="331"/>
        <v>650000</v>
      </c>
      <c r="P464" s="62">
        <f t="shared" si="332"/>
        <v>650000</v>
      </c>
      <c r="Q464" s="62">
        <f t="shared" si="333"/>
        <v>650000</v>
      </c>
      <c r="R464" s="62">
        <f t="shared" si="334"/>
        <v>650000</v>
      </c>
      <c r="S464" s="62">
        <f t="shared" si="335"/>
        <v>650000</v>
      </c>
      <c r="T464" s="62">
        <f t="shared" si="336"/>
        <v>650000</v>
      </c>
      <c r="U464" s="62">
        <f t="shared" si="337"/>
        <v>650000</v>
      </c>
      <c r="V464" s="62">
        <f t="shared" si="338"/>
        <v>650000</v>
      </c>
      <c r="W464" s="62">
        <f t="shared" si="339"/>
        <v>650000</v>
      </c>
      <c r="X464" s="62">
        <f t="shared" si="340"/>
        <v>650000</v>
      </c>
      <c r="Y464" s="62">
        <f t="shared" si="341"/>
        <v>650000</v>
      </c>
      <c r="Z464" s="62">
        <f t="shared" si="342"/>
        <v>650000</v>
      </c>
      <c r="AA464" s="62">
        <f t="shared" si="343"/>
        <v>650000</v>
      </c>
      <c r="AB464" s="62">
        <f t="shared" si="344"/>
        <v>650000</v>
      </c>
      <c r="AC464" s="62">
        <f t="shared" si="345"/>
        <v>650000</v>
      </c>
    </row>
    <row r="465" spans="1:29" x14ac:dyDescent="0.25">
      <c r="A465" s="30" t="str">
        <f t="shared" si="317"/>
        <v>Opex maintenance &amp; repair</v>
      </c>
      <c r="B465" s="62">
        <f t="shared" si="318"/>
        <v>1050000</v>
      </c>
      <c r="C465" s="62">
        <f t="shared" si="319"/>
        <v>1050000</v>
      </c>
      <c r="D465" s="62">
        <f t="shared" si="320"/>
        <v>1050000</v>
      </c>
      <c r="E465" s="62">
        <f t="shared" si="321"/>
        <v>1050000</v>
      </c>
      <c r="F465" s="62">
        <f t="shared" si="322"/>
        <v>1050000</v>
      </c>
      <c r="G465" s="62">
        <f t="shared" si="323"/>
        <v>1050000</v>
      </c>
      <c r="H465" s="62">
        <f t="shared" si="324"/>
        <v>1050000</v>
      </c>
      <c r="I465" s="62">
        <f t="shared" si="325"/>
        <v>1050000</v>
      </c>
      <c r="J465" s="62">
        <f t="shared" si="326"/>
        <v>1050000</v>
      </c>
      <c r="K465" s="62">
        <f t="shared" si="327"/>
        <v>1050000</v>
      </c>
      <c r="L465" s="62">
        <f t="shared" si="328"/>
        <v>1050000</v>
      </c>
      <c r="M465" s="62">
        <f t="shared" si="329"/>
        <v>1050000</v>
      </c>
      <c r="N465" s="62">
        <f t="shared" si="330"/>
        <v>1050000</v>
      </c>
      <c r="O465" s="62">
        <f t="shared" si="331"/>
        <v>1050000</v>
      </c>
      <c r="P465" s="62">
        <f t="shared" si="332"/>
        <v>1050000</v>
      </c>
      <c r="Q465" s="62">
        <f t="shared" si="333"/>
        <v>1050000</v>
      </c>
      <c r="R465" s="62">
        <f t="shared" si="334"/>
        <v>1050000</v>
      </c>
      <c r="S465" s="62">
        <f t="shared" si="335"/>
        <v>1050000</v>
      </c>
      <c r="T465" s="62">
        <f t="shared" si="336"/>
        <v>1050000</v>
      </c>
      <c r="U465" s="62">
        <f t="shared" si="337"/>
        <v>1050000</v>
      </c>
      <c r="V465" s="62">
        <f t="shared" si="338"/>
        <v>1050000</v>
      </c>
      <c r="W465" s="62">
        <f t="shared" si="339"/>
        <v>1050000</v>
      </c>
      <c r="X465" s="62">
        <f t="shared" si="340"/>
        <v>1050000</v>
      </c>
      <c r="Y465" s="62">
        <f t="shared" si="341"/>
        <v>1050000</v>
      </c>
      <c r="Z465" s="62">
        <f t="shared" si="342"/>
        <v>1050000</v>
      </c>
      <c r="AA465" s="62">
        <f t="shared" si="343"/>
        <v>1050000</v>
      </c>
      <c r="AB465" s="62">
        <f t="shared" si="344"/>
        <v>1050000</v>
      </c>
      <c r="AC465" s="62">
        <f t="shared" si="345"/>
        <v>1050000</v>
      </c>
    </row>
    <row r="466" spans="1:29" x14ac:dyDescent="0.25">
      <c r="A466" s="30" t="str">
        <f t="shared" si="317"/>
        <v>Opex var (mode-fees, shunting)</v>
      </c>
      <c r="B466" s="62">
        <f t="shared" si="318"/>
        <v>3.9215686274509802</v>
      </c>
      <c r="C466" s="62">
        <f t="shared" si="319"/>
        <v>3.9215686274509802</v>
      </c>
      <c r="D466" s="62">
        <f t="shared" si="320"/>
        <v>3.9215686274509802</v>
      </c>
      <c r="E466" s="62">
        <f t="shared" si="321"/>
        <v>3.9215686274509802</v>
      </c>
      <c r="F466" s="62">
        <f t="shared" si="322"/>
        <v>3.9215686274509802</v>
      </c>
      <c r="G466" s="62">
        <f t="shared" si="323"/>
        <v>3.9215686274509802</v>
      </c>
      <c r="H466" s="62">
        <f t="shared" si="324"/>
        <v>3.9215686274509802</v>
      </c>
      <c r="I466" s="62">
        <f t="shared" si="325"/>
        <v>3.9215686274509802</v>
      </c>
      <c r="J466" s="62">
        <f t="shared" si="326"/>
        <v>3.9215686274509802</v>
      </c>
      <c r="K466" s="62">
        <f t="shared" si="327"/>
        <v>3.9215686274509802</v>
      </c>
      <c r="L466" s="62">
        <f t="shared" si="328"/>
        <v>3.9215686274509802</v>
      </c>
      <c r="M466" s="62">
        <f t="shared" si="329"/>
        <v>3.9215686274509802</v>
      </c>
      <c r="N466" s="62">
        <f t="shared" si="330"/>
        <v>3.9215686274509802</v>
      </c>
      <c r="O466" s="62">
        <f t="shared" si="331"/>
        <v>3.9215686274509802</v>
      </c>
      <c r="P466" s="62">
        <f t="shared" si="332"/>
        <v>3.9215686274509802</v>
      </c>
      <c r="Q466" s="62">
        <f t="shared" si="333"/>
        <v>3.9215686274509802</v>
      </c>
      <c r="R466" s="62">
        <f t="shared" si="334"/>
        <v>3.9215686274509802</v>
      </c>
      <c r="S466" s="62">
        <f t="shared" si="335"/>
        <v>3.9215686274509802</v>
      </c>
      <c r="T466" s="62">
        <f t="shared" si="336"/>
        <v>3.9215686274509802</v>
      </c>
      <c r="U466" s="62">
        <f t="shared" si="337"/>
        <v>3.9215686274509802</v>
      </c>
      <c r="V466" s="62">
        <f t="shared" si="338"/>
        <v>3.9215686274509802</v>
      </c>
      <c r="W466" s="62">
        <f t="shared" si="339"/>
        <v>3.9215686274509802</v>
      </c>
      <c r="X466" s="62">
        <f t="shared" si="340"/>
        <v>3.9215686274509802</v>
      </c>
      <c r="Y466" s="62">
        <f t="shared" si="341"/>
        <v>3.9215686274509802</v>
      </c>
      <c r="Z466" s="62">
        <f t="shared" si="342"/>
        <v>3.9215686274509802</v>
      </c>
      <c r="AA466" s="62">
        <f t="shared" si="343"/>
        <v>3.9215686274509802</v>
      </c>
      <c r="AB466" s="62">
        <f t="shared" si="344"/>
        <v>3.9215686274509802</v>
      </c>
      <c r="AC466" s="62">
        <f t="shared" si="345"/>
        <v>3.9215686274509802</v>
      </c>
    </row>
    <row r="467" spans="1:29" x14ac:dyDescent="0.25">
      <c r="A467" s="30" t="str">
        <f t="shared" si="317"/>
        <v>Fuel Economy</v>
      </c>
      <c r="B467" s="62">
        <f t="shared" si="318"/>
        <v>76.777599999999993</v>
      </c>
      <c r="C467" s="62">
        <f t="shared" si="319"/>
        <v>76.777599999999993</v>
      </c>
      <c r="D467" s="62">
        <f t="shared" si="320"/>
        <v>76.777599999999993</v>
      </c>
      <c r="E467" s="62">
        <f t="shared" si="321"/>
        <v>76.777599999999993</v>
      </c>
      <c r="F467" s="62">
        <f t="shared" si="322"/>
        <v>76.777599999999993</v>
      </c>
      <c r="G467" s="62">
        <f t="shared" si="323"/>
        <v>76.777599999999993</v>
      </c>
      <c r="H467" s="62">
        <f t="shared" si="324"/>
        <v>76.777599999999993</v>
      </c>
      <c r="I467" s="62">
        <f t="shared" si="325"/>
        <v>76.777599999999993</v>
      </c>
      <c r="J467" s="62">
        <f t="shared" si="326"/>
        <v>76.777599999999993</v>
      </c>
      <c r="K467" s="62">
        <f t="shared" si="327"/>
        <v>76.777599999999993</v>
      </c>
      <c r="L467" s="62">
        <f t="shared" si="328"/>
        <v>76.777599999999993</v>
      </c>
      <c r="M467" s="62">
        <f t="shared" si="329"/>
        <v>76.777599999999993</v>
      </c>
      <c r="N467" s="62">
        <f t="shared" si="330"/>
        <v>76.777599999999993</v>
      </c>
      <c r="O467" s="62">
        <f t="shared" si="331"/>
        <v>76.777599999999993</v>
      </c>
      <c r="P467" s="62">
        <f t="shared" si="332"/>
        <v>76.777599999999993</v>
      </c>
      <c r="Q467" s="62">
        <f t="shared" si="333"/>
        <v>76.777599999999993</v>
      </c>
      <c r="R467" s="62">
        <f t="shared" si="334"/>
        <v>76.777599999999993</v>
      </c>
      <c r="S467" s="62">
        <f t="shared" si="335"/>
        <v>76.777599999999993</v>
      </c>
      <c r="T467" s="62">
        <f t="shared" si="336"/>
        <v>76.777599999999993</v>
      </c>
      <c r="U467" s="62">
        <f t="shared" si="337"/>
        <v>76.777599999999993</v>
      </c>
      <c r="V467" s="62">
        <f t="shared" si="338"/>
        <v>76.777599999999993</v>
      </c>
      <c r="W467" s="62">
        <f t="shared" si="339"/>
        <v>76.777599999999993</v>
      </c>
      <c r="X467" s="62">
        <f t="shared" si="340"/>
        <v>76.777599999999993</v>
      </c>
      <c r="Y467" s="62">
        <f t="shared" si="341"/>
        <v>76.777599999999993</v>
      </c>
      <c r="Z467" s="62">
        <f t="shared" si="342"/>
        <v>76.777599999999993</v>
      </c>
      <c r="AA467" s="62">
        <f t="shared" si="343"/>
        <v>76.777599999999993</v>
      </c>
      <c r="AB467" s="62">
        <f t="shared" si="344"/>
        <v>76.777599999999993</v>
      </c>
      <c r="AC467" s="62">
        <f t="shared" si="345"/>
        <v>76.777599999999993</v>
      </c>
    </row>
    <row r="468" spans="1:29" x14ac:dyDescent="0.25">
      <c r="A468" s="30" t="str">
        <f t="shared" si="317"/>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25">
      <c r="A469" s="30" t="str">
        <f t="shared" si="317"/>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 t="shared" si="317"/>
        <v>Lifetime vehicle</v>
      </c>
      <c r="B470" s="62">
        <f>$B450+($C450-$B450)*(1-Q450)</f>
        <v>20</v>
      </c>
      <c r="C470" s="62">
        <f t="shared" ref="C470:L472" si="347">$B450+($C450-$B450)*(1-R450)</f>
        <v>20</v>
      </c>
      <c r="D470" s="62">
        <f t="shared" si="347"/>
        <v>20</v>
      </c>
      <c r="E470" s="62">
        <f t="shared" si="347"/>
        <v>20</v>
      </c>
      <c r="F470" s="62">
        <f t="shared" si="347"/>
        <v>20</v>
      </c>
      <c r="G470" s="62">
        <f t="shared" si="347"/>
        <v>20</v>
      </c>
      <c r="H470" s="62">
        <f t="shared" si="347"/>
        <v>20</v>
      </c>
      <c r="I470" s="62">
        <f t="shared" si="347"/>
        <v>20</v>
      </c>
      <c r="J470" s="62">
        <f t="shared" si="347"/>
        <v>20</v>
      </c>
      <c r="K470" s="62">
        <f t="shared" si="347"/>
        <v>20</v>
      </c>
      <c r="L470" s="62">
        <f t="shared" si="347"/>
        <v>20</v>
      </c>
      <c r="M470" s="62">
        <f t="shared" ref="M470:V472" si="348">$B450+($C450-$B450)*(1-AB450)</f>
        <v>20</v>
      </c>
      <c r="N470" s="62">
        <f t="shared" si="348"/>
        <v>20</v>
      </c>
      <c r="O470" s="62">
        <f t="shared" si="348"/>
        <v>20</v>
      </c>
      <c r="P470" s="62">
        <f t="shared" si="348"/>
        <v>20</v>
      </c>
      <c r="Q470" s="62">
        <f t="shared" si="348"/>
        <v>20</v>
      </c>
      <c r="R470" s="62">
        <f t="shared" si="348"/>
        <v>20</v>
      </c>
      <c r="S470" s="62">
        <f t="shared" si="348"/>
        <v>20</v>
      </c>
      <c r="T470" s="62">
        <f t="shared" si="348"/>
        <v>20</v>
      </c>
      <c r="U470" s="62">
        <f t="shared" si="348"/>
        <v>20</v>
      </c>
      <c r="V470" s="62">
        <f t="shared" si="348"/>
        <v>20</v>
      </c>
      <c r="W470" s="62">
        <f t="shared" ref="W470:AC472" si="349">$B450+($C450-$B450)*(1-AL450)</f>
        <v>20</v>
      </c>
      <c r="X470" s="62">
        <f t="shared" si="349"/>
        <v>20</v>
      </c>
      <c r="Y470" s="62">
        <f t="shared" si="349"/>
        <v>20</v>
      </c>
      <c r="Z470" s="62">
        <f t="shared" si="349"/>
        <v>20</v>
      </c>
      <c r="AA470" s="62">
        <f t="shared" si="349"/>
        <v>20</v>
      </c>
      <c r="AB470" s="62">
        <f t="shared" si="349"/>
        <v>20</v>
      </c>
      <c r="AC470" s="62">
        <f t="shared" si="349"/>
        <v>20</v>
      </c>
    </row>
    <row r="471" spans="1:29" x14ac:dyDescent="0.25">
      <c r="A471" s="30" t="str">
        <f t="shared" si="317"/>
        <v>Lifetime costumization</v>
      </c>
      <c r="B471" s="62">
        <f>$B451+($C451-$B451)*(1-Q451)</f>
        <v>30</v>
      </c>
      <c r="C471" s="62">
        <f t="shared" si="347"/>
        <v>30</v>
      </c>
      <c r="D471" s="62">
        <f t="shared" si="347"/>
        <v>30</v>
      </c>
      <c r="E471" s="62">
        <f t="shared" si="347"/>
        <v>30</v>
      </c>
      <c r="F471" s="62">
        <f t="shared" si="347"/>
        <v>30</v>
      </c>
      <c r="G471" s="62">
        <f t="shared" si="347"/>
        <v>30</v>
      </c>
      <c r="H471" s="62">
        <f t="shared" si="347"/>
        <v>30</v>
      </c>
      <c r="I471" s="62">
        <f t="shared" si="347"/>
        <v>30</v>
      </c>
      <c r="J471" s="62">
        <f t="shared" si="347"/>
        <v>30</v>
      </c>
      <c r="K471" s="62">
        <f t="shared" si="347"/>
        <v>30</v>
      </c>
      <c r="L471" s="62">
        <f t="shared" si="347"/>
        <v>30</v>
      </c>
      <c r="M471" s="62">
        <f t="shared" si="348"/>
        <v>30</v>
      </c>
      <c r="N471" s="62">
        <f t="shared" si="348"/>
        <v>30</v>
      </c>
      <c r="O471" s="62">
        <f t="shared" si="348"/>
        <v>30</v>
      </c>
      <c r="P471" s="62">
        <f t="shared" si="348"/>
        <v>30</v>
      </c>
      <c r="Q471" s="62">
        <f t="shared" si="348"/>
        <v>30</v>
      </c>
      <c r="R471" s="62">
        <f t="shared" si="348"/>
        <v>30</v>
      </c>
      <c r="S471" s="62">
        <f t="shared" si="348"/>
        <v>30</v>
      </c>
      <c r="T471" s="62">
        <f t="shared" si="348"/>
        <v>30</v>
      </c>
      <c r="U471" s="62">
        <f t="shared" si="348"/>
        <v>30</v>
      </c>
      <c r="V471" s="62">
        <f t="shared" si="348"/>
        <v>30</v>
      </c>
      <c r="W471" s="62">
        <f t="shared" si="349"/>
        <v>30</v>
      </c>
      <c r="X471" s="62">
        <f t="shared" si="349"/>
        <v>30</v>
      </c>
      <c r="Y471" s="62">
        <f t="shared" si="349"/>
        <v>30</v>
      </c>
      <c r="Z471" s="62">
        <f t="shared" si="349"/>
        <v>30</v>
      </c>
      <c r="AA471" s="62">
        <f t="shared" si="349"/>
        <v>30</v>
      </c>
      <c r="AB471" s="62">
        <f t="shared" si="349"/>
        <v>30</v>
      </c>
      <c r="AC471" s="62">
        <f t="shared" si="349"/>
        <v>30</v>
      </c>
    </row>
    <row r="472" spans="1:29" x14ac:dyDescent="0.25">
      <c r="A472" s="30" t="str">
        <f t="shared" si="317"/>
        <v>Tonnage .</v>
      </c>
      <c r="B472" s="62">
        <f>$B452+($C452-$B452)*(1-Q452)</f>
        <v>2800</v>
      </c>
      <c r="C472" s="62">
        <f t="shared" si="347"/>
        <v>2800</v>
      </c>
      <c r="D472" s="62">
        <f t="shared" si="347"/>
        <v>2800</v>
      </c>
      <c r="E472" s="62">
        <f t="shared" si="347"/>
        <v>2800</v>
      </c>
      <c r="F472" s="62">
        <f t="shared" si="347"/>
        <v>2800</v>
      </c>
      <c r="G472" s="62">
        <f t="shared" si="347"/>
        <v>2800</v>
      </c>
      <c r="H472" s="62">
        <f t="shared" si="347"/>
        <v>2800</v>
      </c>
      <c r="I472" s="62">
        <f t="shared" si="347"/>
        <v>2800</v>
      </c>
      <c r="J472" s="62">
        <f t="shared" si="347"/>
        <v>2800</v>
      </c>
      <c r="K472" s="62">
        <f t="shared" si="347"/>
        <v>2800</v>
      </c>
      <c r="L472" s="62">
        <f t="shared" si="347"/>
        <v>2800</v>
      </c>
      <c r="M472" s="62">
        <f t="shared" si="348"/>
        <v>2800</v>
      </c>
      <c r="N472" s="62">
        <f t="shared" si="348"/>
        <v>2800</v>
      </c>
      <c r="O472" s="62">
        <f t="shared" si="348"/>
        <v>2800</v>
      </c>
      <c r="P472" s="62">
        <f t="shared" si="348"/>
        <v>2800</v>
      </c>
      <c r="Q472" s="62">
        <f t="shared" si="348"/>
        <v>2800</v>
      </c>
      <c r="R472" s="62">
        <f t="shared" si="348"/>
        <v>2800</v>
      </c>
      <c r="S472" s="62">
        <f t="shared" si="348"/>
        <v>2800</v>
      </c>
      <c r="T472" s="62">
        <f t="shared" si="348"/>
        <v>2800</v>
      </c>
      <c r="U472" s="62">
        <f t="shared" si="348"/>
        <v>2800</v>
      </c>
      <c r="V472" s="62">
        <f t="shared" si="348"/>
        <v>2800</v>
      </c>
      <c r="W472" s="62">
        <f t="shared" si="349"/>
        <v>2800</v>
      </c>
      <c r="X472" s="62">
        <f t="shared" si="349"/>
        <v>2800</v>
      </c>
      <c r="Y472" s="62">
        <f t="shared" si="349"/>
        <v>2800</v>
      </c>
      <c r="Z472" s="62">
        <f t="shared" si="349"/>
        <v>2800</v>
      </c>
      <c r="AA472" s="62">
        <f t="shared" si="349"/>
        <v>2800</v>
      </c>
      <c r="AB472" s="62">
        <f t="shared" si="349"/>
        <v>2800</v>
      </c>
      <c r="AC472" s="62">
        <f t="shared" si="349"/>
        <v>2800</v>
      </c>
    </row>
    <row r="473" spans="1:29" x14ac:dyDescent="0.25">
      <c r="A473" s="30" t="str">
        <f t="shared" si="317"/>
        <v>Market failure (av. utilization)</v>
      </c>
      <c r="B473" s="62">
        <f t="shared" ref="B473:K474" si="350">($B453+($C453-$B453)*(1-Q453))*B$44</f>
        <v>955.73333333333335</v>
      </c>
      <c r="C473" s="62">
        <f t="shared" si="350"/>
        <v>955.73333333333335</v>
      </c>
      <c r="D473" s="62">
        <f t="shared" si="350"/>
        <v>955.73333333333335</v>
      </c>
      <c r="E473" s="62">
        <f t="shared" si="350"/>
        <v>955.73333333333335</v>
      </c>
      <c r="F473" s="62">
        <f t="shared" si="350"/>
        <v>955.73333333333335</v>
      </c>
      <c r="G473" s="62">
        <f t="shared" si="350"/>
        <v>955.73333333333335</v>
      </c>
      <c r="H473" s="62">
        <f t="shared" si="350"/>
        <v>955.73333333333335</v>
      </c>
      <c r="I473" s="62">
        <f t="shared" si="350"/>
        <v>955.73333333333335</v>
      </c>
      <c r="J473" s="62">
        <f t="shared" si="350"/>
        <v>955.73333333333335</v>
      </c>
      <c r="K473" s="62">
        <f t="shared" si="350"/>
        <v>955.73333333333335</v>
      </c>
      <c r="L473" s="62">
        <f t="shared" ref="L473:U474" si="351">($B453+($C453-$B453)*(1-AA453))*L$44</f>
        <v>955.73333333333335</v>
      </c>
      <c r="M473" s="62">
        <f t="shared" si="351"/>
        <v>955.73333333333335</v>
      </c>
      <c r="N473" s="62">
        <f t="shared" si="351"/>
        <v>955.73333333333335</v>
      </c>
      <c r="O473" s="62">
        <f t="shared" si="351"/>
        <v>955.73333333333335</v>
      </c>
      <c r="P473" s="62">
        <f t="shared" si="351"/>
        <v>955.73333333333335</v>
      </c>
      <c r="Q473" s="62">
        <f t="shared" si="351"/>
        <v>955.73333333333335</v>
      </c>
      <c r="R473" s="62">
        <f t="shared" si="351"/>
        <v>955.73333333333335</v>
      </c>
      <c r="S473" s="62">
        <f t="shared" si="351"/>
        <v>955.73333333333335</v>
      </c>
      <c r="T473" s="62">
        <f t="shared" si="351"/>
        <v>955.73333333333335</v>
      </c>
      <c r="U473" s="62">
        <f t="shared" si="351"/>
        <v>955.73333333333335</v>
      </c>
      <c r="V473" s="62">
        <f t="shared" ref="V473:AC474" si="352">($B453+($C453-$B453)*(1-AK453))*V$44</f>
        <v>955.73333333333335</v>
      </c>
      <c r="W473" s="62">
        <f t="shared" si="352"/>
        <v>955.73333333333335</v>
      </c>
      <c r="X473" s="62">
        <f t="shared" si="352"/>
        <v>955.73333333333335</v>
      </c>
      <c r="Y473" s="62">
        <f t="shared" si="352"/>
        <v>955.73333333333335</v>
      </c>
      <c r="Z473" s="62">
        <f t="shared" si="352"/>
        <v>955.73333333333335</v>
      </c>
      <c r="AA473" s="62">
        <f t="shared" si="352"/>
        <v>955.73333333333335</v>
      </c>
      <c r="AB473" s="62">
        <f t="shared" si="352"/>
        <v>955.73333333333335</v>
      </c>
      <c r="AC473" s="62">
        <f t="shared" si="352"/>
        <v>955.73333333333335</v>
      </c>
    </row>
    <row r="474" spans="1:29" x14ac:dyDescent="0.25">
      <c r="A474" s="30" t="s">
        <v>73</v>
      </c>
      <c r="B474" s="62">
        <f t="shared" si="350"/>
        <v>0</v>
      </c>
      <c r="C474" s="62">
        <f t="shared" si="350"/>
        <v>0</v>
      </c>
      <c r="D474" s="62">
        <f t="shared" si="350"/>
        <v>0</v>
      </c>
      <c r="E474" s="62">
        <f t="shared" si="350"/>
        <v>0</v>
      </c>
      <c r="F474" s="62">
        <f t="shared" si="350"/>
        <v>0</v>
      </c>
      <c r="G474" s="62">
        <f t="shared" si="350"/>
        <v>0</v>
      </c>
      <c r="H474" s="62">
        <f t="shared" si="350"/>
        <v>0</v>
      </c>
      <c r="I474" s="62">
        <f t="shared" si="350"/>
        <v>0</v>
      </c>
      <c r="J474" s="62">
        <f t="shared" si="350"/>
        <v>0</v>
      </c>
      <c r="K474" s="62">
        <f t="shared" si="350"/>
        <v>0</v>
      </c>
      <c r="L474" s="62">
        <f t="shared" si="351"/>
        <v>0</v>
      </c>
      <c r="M474" s="62">
        <f t="shared" si="351"/>
        <v>0</v>
      </c>
      <c r="N474" s="62">
        <f t="shared" si="351"/>
        <v>0</v>
      </c>
      <c r="O474" s="62">
        <f t="shared" si="351"/>
        <v>0</v>
      </c>
      <c r="P474" s="62">
        <f t="shared" si="351"/>
        <v>0</v>
      </c>
      <c r="Q474" s="62">
        <f t="shared" si="351"/>
        <v>0</v>
      </c>
      <c r="R474" s="62">
        <f t="shared" si="351"/>
        <v>0</v>
      </c>
      <c r="S474" s="62">
        <f t="shared" si="351"/>
        <v>0</v>
      </c>
      <c r="T474" s="62">
        <f t="shared" si="351"/>
        <v>0</v>
      </c>
      <c r="U474" s="62">
        <f t="shared" si="351"/>
        <v>0</v>
      </c>
      <c r="V474" s="62">
        <f t="shared" si="352"/>
        <v>0</v>
      </c>
      <c r="W474" s="62">
        <f t="shared" si="352"/>
        <v>0</v>
      </c>
      <c r="X474" s="62">
        <f t="shared" si="352"/>
        <v>0</v>
      </c>
      <c r="Y474" s="62">
        <f t="shared" si="352"/>
        <v>0</v>
      </c>
      <c r="Z474" s="62">
        <f t="shared" si="352"/>
        <v>0</v>
      </c>
      <c r="AA474" s="62">
        <f t="shared" si="352"/>
        <v>0</v>
      </c>
      <c r="AB474" s="62">
        <f t="shared" si="352"/>
        <v>0</v>
      </c>
      <c r="AC474" s="62">
        <f t="shared" si="352"/>
        <v>0</v>
      </c>
    </row>
    <row r="475" spans="1:29" x14ac:dyDescent="0.25">
      <c r="A475" s="30" t="str">
        <f>A455</f>
        <v>Annual Mileage</v>
      </c>
      <c r="B475" s="62">
        <f t="shared" ref="B475:AC475" si="353">$B455+($C455-$B455)*(1-Q455)</f>
        <v>178500</v>
      </c>
      <c r="C475" s="62">
        <f t="shared" si="353"/>
        <v>178500</v>
      </c>
      <c r="D475" s="62">
        <f t="shared" si="353"/>
        <v>178500</v>
      </c>
      <c r="E475" s="62">
        <f t="shared" si="353"/>
        <v>178500</v>
      </c>
      <c r="F475" s="62">
        <f t="shared" si="353"/>
        <v>178500</v>
      </c>
      <c r="G475" s="62">
        <f t="shared" si="353"/>
        <v>178500</v>
      </c>
      <c r="H475" s="62">
        <f t="shared" si="353"/>
        <v>178500</v>
      </c>
      <c r="I475" s="62">
        <f t="shared" si="353"/>
        <v>178500</v>
      </c>
      <c r="J475" s="62">
        <f t="shared" si="353"/>
        <v>178500</v>
      </c>
      <c r="K475" s="62">
        <f t="shared" si="353"/>
        <v>178500</v>
      </c>
      <c r="L475" s="62">
        <f t="shared" si="353"/>
        <v>178500</v>
      </c>
      <c r="M475" s="62">
        <f t="shared" si="353"/>
        <v>178500</v>
      </c>
      <c r="N475" s="62">
        <f t="shared" si="353"/>
        <v>178500</v>
      </c>
      <c r="O475" s="62">
        <f t="shared" si="353"/>
        <v>178500</v>
      </c>
      <c r="P475" s="62">
        <f t="shared" si="353"/>
        <v>178500</v>
      </c>
      <c r="Q475" s="62">
        <f t="shared" si="353"/>
        <v>178500</v>
      </c>
      <c r="R475" s="62">
        <f t="shared" si="353"/>
        <v>178500</v>
      </c>
      <c r="S475" s="62">
        <f t="shared" si="353"/>
        <v>178500</v>
      </c>
      <c r="T475" s="62">
        <f t="shared" si="353"/>
        <v>178500</v>
      </c>
      <c r="U475" s="62">
        <f t="shared" si="353"/>
        <v>178500</v>
      </c>
      <c r="V475" s="62">
        <f t="shared" si="353"/>
        <v>178500</v>
      </c>
      <c r="W475" s="62">
        <f t="shared" si="353"/>
        <v>178500</v>
      </c>
      <c r="X475" s="62">
        <f t="shared" si="353"/>
        <v>178500</v>
      </c>
      <c r="Y475" s="62">
        <f t="shared" si="353"/>
        <v>178500</v>
      </c>
      <c r="Z475" s="62">
        <f t="shared" si="353"/>
        <v>178500</v>
      </c>
      <c r="AA475" s="62">
        <f t="shared" si="353"/>
        <v>178500</v>
      </c>
      <c r="AB475" s="62">
        <f t="shared" si="353"/>
        <v>178500</v>
      </c>
      <c r="AC475" s="62">
        <f t="shared" si="353"/>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4">((1+C463)^C470)*C463/(((1+C463)^C470)-1)*(C459)</f>
        <v>305145.94941897993</v>
      </c>
      <c r="D478" s="63">
        <f t="shared" si="354"/>
        <v>305145.94941897993</v>
      </c>
      <c r="E478" s="63">
        <f t="shared" si="354"/>
        <v>305145.94941897993</v>
      </c>
      <c r="F478" s="63">
        <f t="shared" si="354"/>
        <v>305145.94941897993</v>
      </c>
      <c r="G478" s="63">
        <f t="shared" si="354"/>
        <v>305145.94941897993</v>
      </c>
      <c r="H478" s="63">
        <f t="shared" si="354"/>
        <v>305145.94941897993</v>
      </c>
      <c r="I478" s="63">
        <f t="shared" si="354"/>
        <v>305145.94941897993</v>
      </c>
      <c r="J478" s="63">
        <f t="shared" si="354"/>
        <v>305145.94941897993</v>
      </c>
      <c r="K478" s="63">
        <f t="shared" si="354"/>
        <v>305145.94941897993</v>
      </c>
      <c r="L478" s="63">
        <f t="shared" si="354"/>
        <v>305145.94941897993</v>
      </c>
      <c r="M478" s="63">
        <f t="shared" si="354"/>
        <v>305145.94941897993</v>
      </c>
      <c r="N478" s="63">
        <f t="shared" si="354"/>
        <v>305145.94941897993</v>
      </c>
      <c r="O478" s="63">
        <f t="shared" si="354"/>
        <v>305145.94941897993</v>
      </c>
      <c r="P478" s="63">
        <f t="shared" si="354"/>
        <v>305145.94941897993</v>
      </c>
      <c r="Q478" s="63">
        <f t="shared" si="354"/>
        <v>305145.94941897993</v>
      </c>
      <c r="R478" s="63">
        <f t="shared" si="354"/>
        <v>305145.94941897993</v>
      </c>
      <c r="S478" s="63">
        <f t="shared" si="354"/>
        <v>305145.94941897993</v>
      </c>
      <c r="T478" s="63">
        <f t="shared" si="354"/>
        <v>305145.94941897993</v>
      </c>
      <c r="U478" s="63">
        <f t="shared" si="354"/>
        <v>305145.94941897993</v>
      </c>
      <c r="V478" s="63">
        <f t="shared" si="354"/>
        <v>305145.94941897993</v>
      </c>
      <c r="W478" s="63">
        <f t="shared" si="354"/>
        <v>305145.94941897993</v>
      </c>
      <c r="X478" s="63">
        <f t="shared" si="354"/>
        <v>305145.94941897993</v>
      </c>
      <c r="Y478" s="63">
        <f t="shared" si="354"/>
        <v>305145.94941897993</v>
      </c>
      <c r="Z478" s="63">
        <f t="shared" si="354"/>
        <v>305145.94941897993</v>
      </c>
      <c r="AA478" s="63">
        <f t="shared" si="354"/>
        <v>305145.94941897993</v>
      </c>
      <c r="AB478" s="63">
        <f t="shared" si="354"/>
        <v>305145.94941897993</v>
      </c>
      <c r="AC478" s="63">
        <f t="shared" si="354"/>
        <v>305145.94941897993</v>
      </c>
    </row>
    <row r="479" spans="1:29" x14ac:dyDescent="0.25">
      <c r="A479" s="30" t="str">
        <f>A460</f>
        <v>Residual value (vehicle)</v>
      </c>
      <c r="B479" s="62">
        <f>((1+B463)^B470)*B463/(((1+B463)^B470)-1)*(B460)</f>
        <v>-45369.034506436277</v>
      </c>
      <c r="C479" s="62">
        <f t="shared" ref="C479:AC479" si="355">((1+C463)^C470)*C463/(((1+C463)^C470)-1)*(C460)</f>
        <v>-45196.542704314146</v>
      </c>
      <c r="D479" s="62">
        <f t="shared" si="355"/>
        <v>-44951.629072308999</v>
      </c>
      <c r="E479" s="62">
        <f t="shared" si="355"/>
        <v>-44605.467188167124</v>
      </c>
      <c r="F479" s="62">
        <f t="shared" si="355"/>
        <v>-44119.462148109647</v>
      </c>
      <c r="G479" s="62">
        <f t="shared" si="355"/>
        <v>-43443.738717137028</v>
      </c>
      <c r="H479" s="62">
        <f t="shared" si="355"/>
        <v>-42517.347172137401</v>
      </c>
      <c r="I479" s="62">
        <f t="shared" si="355"/>
        <v>-41272.376203762586</v>
      </c>
      <c r="J479" s="62">
        <f t="shared" si="355"/>
        <v>-39644.958637393647</v>
      </c>
      <c r="K479" s="62">
        <f t="shared" si="355"/>
        <v>-37595.501281822799</v>
      </c>
      <c r="L479" s="62">
        <f t="shared" si="355"/>
        <v>-35136.211284820376</v>
      </c>
      <c r="M479" s="62">
        <f t="shared" si="355"/>
        <v>-32355.310948630464</v>
      </c>
      <c r="N479" s="62">
        <f t="shared" si="355"/>
        <v>-29419.525873461753</v>
      </c>
      <c r="O479" s="62">
        <f t="shared" si="355"/>
        <v>-26541.511557340396</v>
      </c>
      <c r="P479" s="62">
        <f t="shared" si="355"/>
        <v>-23921.595885610663</v>
      </c>
      <c r="Q479" s="62">
        <f t="shared" si="355"/>
        <v>-21695.040647806538</v>
      </c>
      <c r="R479" s="62">
        <f t="shared" si="355"/>
        <v>-19911.968655776182</v>
      </c>
      <c r="S479" s="62">
        <f t="shared" si="355"/>
        <v>-18551.40558747459</v>
      </c>
      <c r="T479" s="62">
        <f t="shared" si="355"/>
        <v>-17551.282614957105</v>
      </c>
      <c r="U479" s="62">
        <f t="shared" si="355"/>
        <v>-16836.209158050464</v>
      </c>
      <c r="V479" s="62">
        <f t="shared" si="355"/>
        <v>-16335.048266557109</v>
      </c>
      <c r="W479" s="62">
        <f t="shared" si="355"/>
        <v>-15988.715286779448</v>
      </c>
      <c r="X479" s="62">
        <f t="shared" si="355"/>
        <v>-15751.702370283236</v>
      </c>
      <c r="Y479" s="62">
        <f t="shared" si="355"/>
        <v>-15590.58521762073</v>
      </c>
      <c r="Z479" s="62">
        <f t="shared" si="355"/>
        <v>-15481.559033229796</v>
      </c>
      <c r="AA479" s="62">
        <f t="shared" si="355"/>
        <v>-15408.009855414111</v>
      </c>
      <c r="AB479" s="62">
        <f t="shared" si="355"/>
        <v>-15358.496914269901</v>
      </c>
      <c r="AC479" s="62">
        <f t="shared" si="355"/>
        <v>-15325.211858527608</v>
      </c>
    </row>
    <row r="480" spans="1:29" x14ac:dyDescent="0.25">
      <c r="A480" s="30" t="str">
        <f>A461</f>
        <v>Capex costumization</v>
      </c>
      <c r="B480" s="62">
        <f>((1+B463)^B471)*B463/(((1+B463)^B471)-1)*(B461)</f>
        <v>254271.19021516517</v>
      </c>
      <c r="C480" s="62">
        <f t="shared" ref="C480:AC480" si="356">((1+C463)^C471)*C463/(((1+C463)^C471)-1)*(C461)</f>
        <v>254271.19021516517</v>
      </c>
      <c r="D480" s="62">
        <f t="shared" si="356"/>
        <v>254271.19021516517</v>
      </c>
      <c r="E480" s="62">
        <f t="shared" si="356"/>
        <v>254271.19021516517</v>
      </c>
      <c r="F480" s="62">
        <f t="shared" si="356"/>
        <v>254271.19021516517</v>
      </c>
      <c r="G480" s="62">
        <f t="shared" si="356"/>
        <v>254271.19021516517</v>
      </c>
      <c r="H480" s="62">
        <f t="shared" si="356"/>
        <v>254271.19021516517</v>
      </c>
      <c r="I480" s="62">
        <f t="shared" si="356"/>
        <v>254271.19021516517</v>
      </c>
      <c r="J480" s="62">
        <f t="shared" si="356"/>
        <v>254271.19021516517</v>
      </c>
      <c r="K480" s="62">
        <f t="shared" si="356"/>
        <v>254271.19021516517</v>
      </c>
      <c r="L480" s="62">
        <f t="shared" si="356"/>
        <v>254271.19021516517</v>
      </c>
      <c r="M480" s="62">
        <f t="shared" si="356"/>
        <v>254271.19021516517</v>
      </c>
      <c r="N480" s="62">
        <f t="shared" si="356"/>
        <v>254271.19021516517</v>
      </c>
      <c r="O480" s="62">
        <f t="shared" si="356"/>
        <v>254271.19021516517</v>
      </c>
      <c r="P480" s="62">
        <f t="shared" si="356"/>
        <v>254271.19021516517</v>
      </c>
      <c r="Q480" s="62">
        <f t="shared" si="356"/>
        <v>254271.19021516517</v>
      </c>
      <c r="R480" s="62">
        <f t="shared" si="356"/>
        <v>254271.19021516517</v>
      </c>
      <c r="S480" s="62">
        <f t="shared" si="356"/>
        <v>254271.19021516517</v>
      </c>
      <c r="T480" s="62">
        <f t="shared" si="356"/>
        <v>254271.19021516517</v>
      </c>
      <c r="U480" s="62">
        <f t="shared" si="356"/>
        <v>254271.19021516517</v>
      </c>
      <c r="V480" s="62">
        <f t="shared" si="356"/>
        <v>254271.19021516517</v>
      </c>
      <c r="W480" s="62">
        <f t="shared" si="356"/>
        <v>254271.19021516517</v>
      </c>
      <c r="X480" s="62">
        <f t="shared" si="356"/>
        <v>254271.19021516517</v>
      </c>
      <c r="Y480" s="62">
        <f t="shared" si="356"/>
        <v>254271.19021516517</v>
      </c>
      <c r="Z480" s="62">
        <f t="shared" si="356"/>
        <v>254271.19021516517</v>
      </c>
      <c r="AA480" s="62">
        <f t="shared" si="356"/>
        <v>254271.19021516517</v>
      </c>
      <c r="AB480" s="62">
        <f t="shared" si="356"/>
        <v>254271.19021516517</v>
      </c>
      <c r="AC480" s="62">
        <f t="shared" si="356"/>
        <v>254271.19021516517</v>
      </c>
    </row>
    <row r="481" spans="1:29" x14ac:dyDescent="0.25">
      <c r="A481" s="30" t="str">
        <f>A462</f>
        <v>Residual value (costumization)</v>
      </c>
      <c r="B481" s="62">
        <f>((1+B463)^B471)*B463/(((1+B463)^B471)-1)*(B462)</f>
        <v>-12713.559510758259</v>
      </c>
      <c r="C481" s="62">
        <f t="shared" ref="C481:AC481" si="357">((1+C463)^C471)*C463/(((1+C463)^C471)-1)*(C462)</f>
        <v>-12713.559510758259</v>
      </c>
      <c r="D481" s="62">
        <f t="shared" si="357"/>
        <v>-12713.559510758259</v>
      </c>
      <c r="E481" s="62">
        <f t="shared" si="357"/>
        <v>-12713.559510758259</v>
      </c>
      <c r="F481" s="62">
        <f t="shared" si="357"/>
        <v>-12713.559510758259</v>
      </c>
      <c r="G481" s="62">
        <f t="shared" si="357"/>
        <v>-12713.559510758259</v>
      </c>
      <c r="H481" s="62">
        <f t="shared" si="357"/>
        <v>-12713.559510758259</v>
      </c>
      <c r="I481" s="62">
        <f t="shared" si="357"/>
        <v>-12713.559510758259</v>
      </c>
      <c r="J481" s="62">
        <f t="shared" si="357"/>
        <v>-12713.559510758259</v>
      </c>
      <c r="K481" s="62">
        <f t="shared" si="357"/>
        <v>-12713.559510758259</v>
      </c>
      <c r="L481" s="62">
        <f t="shared" si="357"/>
        <v>-12713.559510758259</v>
      </c>
      <c r="M481" s="62">
        <f t="shared" si="357"/>
        <v>-12713.559510758259</v>
      </c>
      <c r="N481" s="62">
        <f t="shared" si="357"/>
        <v>-12713.559510758259</v>
      </c>
      <c r="O481" s="62">
        <f t="shared" si="357"/>
        <v>-12713.559510758259</v>
      </c>
      <c r="P481" s="62">
        <f t="shared" si="357"/>
        <v>-12713.559510758259</v>
      </c>
      <c r="Q481" s="62">
        <f t="shared" si="357"/>
        <v>-12713.559510758259</v>
      </c>
      <c r="R481" s="62">
        <f t="shared" si="357"/>
        <v>-12713.559510758259</v>
      </c>
      <c r="S481" s="62">
        <f t="shared" si="357"/>
        <v>-12713.559510758259</v>
      </c>
      <c r="T481" s="62">
        <f t="shared" si="357"/>
        <v>-12713.559510758259</v>
      </c>
      <c r="U481" s="62">
        <f t="shared" si="357"/>
        <v>-12713.559510758259</v>
      </c>
      <c r="V481" s="62">
        <f t="shared" si="357"/>
        <v>-12713.559510758259</v>
      </c>
      <c r="W481" s="62">
        <f t="shared" si="357"/>
        <v>-12713.559510758259</v>
      </c>
      <c r="X481" s="62">
        <f t="shared" si="357"/>
        <v>-12713.559510758259</v>
      </c>
      <c r="Y481" s="62">
        <f t="shared" si="357"/>
        <v>-12713.559510758259</v>
      </c>
      <c r="Z481" s="62">
        <f t="shared" si="357"/>
        <v>-12713.559510758259</v>
      </c>
      <c r="AA481" s="62">
        <f t="shared" si="357"/>
        <v>-12713.559510758259</v>
      </c>
      <c r="AB481" s="62">
        <f t="shared" si="357"/>
        <v>-12713.559510758259</v>
      </c>
      <c r="AC481" s="62">
        <f t="shared" si="357"/>
        <v>-12713.559510758259</v>
      </c>
    </row>
    <row r="482" spans="1:29" x14ac:dyDescent="0.25">
      <c r="A482" s="30" t="str">
        <f t="shared" ref="A482:AC482" si="358">A464</f>
        <v>Opex fix (admin, crew, insurance)</v>
      </c>
      <c r="B482" s="62">
        <f t="shared" si="358"/>
        <v>650000</v>
      </c>
      <c r="C482" s="62">
        <f t="shared" si="358"/>
        <v>650000</v>
      </c>
      <c r="D482" s="62">
        <f t="shared" si="358"/>
        <v>650000</v>
      </c>
      <c r="E482" s="62">
        <f t="shared" si="358"/>
        <v>650000</v>
      </c>
      <c r="F482" s="62">
        <f t="shared" si="358"/>
        <v>650000</v>
      </c>
      <c r="G482" s="62">
        <f t="shared" si="358"/>
        <v>650000</v>
      </c>
      <c r="H482" s="62">
        <f t="shared" si="358"/>
        <v>650000</v>
      </c>
      <c r="I482" s="62">
        <f t="shared" si="358"/>
        <v>650000</v>
      </c>
      <c r="J482" s="62">
        <f t="shared" si="358"/>
        <v>650000</v>
      </c>
      <c r="K482" s="62">
        <f t="shared" si="358"/>
        <v>650000</v>
      </c>
      <c r="L482" s="62">
        <f t="shared" si="358"/>
        <v>650000</v>
      </c>
      <c r="M482" s="62">
        <f t="shared" si="358"/>
        <v>650000</v>
      </c>
      <c r="N482" s="62">
        <f t="shared" si="358"/>
        <v>650000</v>
      </c>
      <c r="O482" s="62">
        <f t="shared" si="358"/>
        <v>650000</v>
      </c>
      <c r="P482" s="62">
        <f t="shared" si="358"/>
        <v>650000</v>
      </c>
      <c r="Q482" s="62">
        <f t="shared" si="358"/>
        <v>650000</v>
      </c>
      <c r="R482" s="62">
        <f t="shared" si="358"/>
        <v>650000</v>
      </c>
      <c r="S482" s="62">
        <f t="shared" si="358"/>
        <v>650000</v>
      </c>
      <c r="T482" s="62">
        <f t="shared" si="358"/>
        <v>650000</v>
      </c>
      <c r="U482" s="62">
        <f t="shared" si="358"/>
        <v>650000</v>
      </c>
      <c r="V482" s="62">
        <f t="shared" si="358"/>
        <v>650000</v>
      </c>
      <c r="W482" s="62">
        <f t="shared" si="358"/>
        <v>650000</v>
      </c>
      <c r="X482" s="62">
        <f t="shared" si="358"/>
        <v>650000</v>
      </c>
      <c r="Y482" s="62">
        <f t="shared" si="358"/>
        <v>650000</v>
      </c>
      <c r="Z482" s="62">
        <f t="shared" si="358"/>
        <v>650000</v>
      </c>
      <c r="AA482" s="62">
        <f t="shared" si="358"/>
        <v>650000</v>
      </c>
      <c r="AB482" s="62">
        <f t="shared" si="358"/>
        <v>650000</v>
      </c>
      <c r="AC482" s="62">
        <f t="shared" si="358"/>
        <v>650000</v>
      </c>
    </row>
    <row r="483" spans="1:29" x14ac:dyDescent="0.25">
      <c r="A483" s="30" t="str">
        <f t="shared" ref="A483:AC483" si="359">A465</f>
        <v>Opex maintenance &amp; repair</v>
      </c>
      <c r="B483" s="62">
        <f t="shared" si="359"/>
        <v>1050000</v>
      </c>
      <c r="C483" s="62">
        <f t="shared" si="359"/>
        <v>1050000</v>
      </c>
      <c r="D483" s="62">
        <f t="shared" si="359"/>
        <v>1050000</v>
      </c>
      <c r="E483" s="62">
        <f t="shared" si="359"/>
        <v>1050000</v>
      </c>
      <c r="F483" s="62">
        <f t="shared" si="359"/>
        <v>1050000</v>
      </c>
      <c r="G483" s="62">
        <f t="shared" si="359"/>
        <v>1050000</v>
      </c>
      <c r="H483" s="62">
        <f t="shared" si="359"/>
        <v>1050000</v>
      </c>
      <c r="I483" s="62">
        <f t="shared" si="359"/>
        <v>1050000</v>
      </c>
      <c r="J483" s="62">
        <f t="shared" si="359"/>
        <v>1050000</v>
      </c>
      <c r="K483" s="62">
        <f t="shared" si="359"/>
        <v>1050000</v>
      </c>
      <c r="L483" s="62">
        <f t="shared" si="359"/>
        <v>1050000</v>
      </c>
      <c r="M483" s="62">
        <f t="shared" si="359"/>
        <v>1050000</v>
      </c>
      <c r="N483" s="62">
        <f t="shared" si="359"/>
        <v>1050000</v>
      </c>
      <c r="O483" s="62">
        <f t="shared" si="359"/>
        <v>1050000</v>
      </c>
      <c r="P483" s="62">
        <f t="shared" si="359"/>
        <v>1050000</v>
      </c>
      <c r="Q483" s="62">
        <f t="shared" si="359"/>
        <v>1050000</v>
      </c>
      <c r="R483" s="62">
        <f t="shared" si="359"/>
        <v>1050000</v>
      </c>
      <c r="S483" s="62">
        <f t="shared" si="359"/>
        <v>1050000</v>
      </c>
      <c r="T483" s="62">
        <f t="shared" si="359"/>
        <v>1050000</v>
      </c>
      <c r="U483" s="62">
        <f t="shared" si="359"/>
        <v>1050000</v>
      </c>
      <c r="V483" s="62">
        <f t="shared" si="359"/>
        <v>1050000</v>
      </c>
      <c r="W483" s="62">
        <f t="shared" si="359"/>
        <v>1050000</v>
      </c>
      <c r="X483" s="62">
        <f t="shared" si="359"/>
        <v>1050000</v>
      </c>
      <c r="Y483" s="62">
        <f t="shared" si="359"/>
        <v>1050000</v>
      </c>
      <c r="Z483" s="62">
        <f t="shared" si="359"/>
        <v>1050000</v>
      </c>
      <c r="AA483" s="62">
        <f t="shared" si="359"/>
        <v>1050000</v>
      </c>
      <c r="AB483" s="62">
        <f t="shared" si="359"/>
        <v>1050000</v>
      </c>
      <c r="AC483" s="62">
        <f t="shared" si="359"/>
        <v>1050000</v>
      </c>
    </row>
    <row r="484" spans="1:29" x14ac:dyDescent="0.25">
      <c r="A484" s="30" t="str">
        <f>A466</f>
        <v>Opex var (mode-fees, shunting)</v>
      </c>
      <c r="B484" s="62">
        <f>B466*B475</f>
        <v>700000</v>
      </c>
      <c r="C484" s="62">
        <f t="shared" ref="C484:AC484" si="360">C466*C475</f>
        <v>700000</v>
      </c>
      <c r="D484" s="62">
        <f t="shared" si="360"/>
        <v>700000</v>
      </c>
      <c r="E484" s="62">
        <f t="shared" si="360"/>
        <v>700000</v>
      </c>
      <c r="F484" s="62">
        <f t="shared" si="360"/>
        <v>700000</v>
      </c>
      <c r="G484" s="62">
        <f t="shared" si="360"/>
        <v>700000</v>
      </c>
      <c r="H484" s="62">
        <f t="shared" si="360"/>
        <v>700000</v>
      </c>
      <c r="I484" s="62">
        <f t="shared" si="360"/>
        <v>700000</v>
      </c>
      <c r="J484" s="62">
        <f t="shared" si="360"/>
        <v>700000</v>
      </c>
      <c r="K484" s="62">
        <f t="shared" si="360"/>
        <v>700000</v>
      </c>
      <c r="L484" s="62">
        <f t="shared" si="360"/>
        <v>700000</v>
      </c>
      <c r="M484" s="62">
        <f t="shared" si="360"/>
        <v>700000</v>
      </c>
      <c r="N484" s="62">
        <f t="shared" si="360"/>
        <v>700000</v>
      </c>
      <c r="O484" s="62">
        <f t="shared" si="360"/>
        <v>700000</v>
      </c>
      <c r="P484" s="62">
        <f t="shared" si="360"/>
        <v>700000</v>
      </c>
      <c r="Q484" s="62">
        <f t="shared" si="360"/>
        <v>700000</v>
      </c>
      <c r="R484" s="62">
        <f t="shared" si="360"/>
        <v>700000</v>
      </c>
      <c r="S484" s="62">
        <f t="shared" si="360"/>
        <v>700000</v>
      </c>
      <c r="T484" s="62">
        <f t="shared" si="360"/>
        <v>700000</v>
      </c>
      <c r="U484" s="62">
        <f t="shared" si="360"/>
        <v>700000</v>
      </c>
      <c r="V484" s="62">
        <f t="shared" si="360"/>
        <v>700000</v>
      </c>
      <c r="W484" s="62">
        <f t="shared" si="360"/>
        <v>700000</v>
      </c>
      <c r="X484" s="62">
        <f t="shared" si="360"/>
        <v>700000</v>
      </c>
      <c r="Y484" s="62">
        <f t="shared" si="360"/>
        <v>700000</v>
      </c>
      <c r="Z484" s="62">
        <f t="shared" si="360"/>
        <v>700000</v>
      </c>
      <c r="AA484" s="62">
        <f t="shared" si="360"/>
        <v>700000</v>
      </c>
      <c r="AB484" s="62">
        <f t="shared" si="360"/>
        <v>700000</v>
      </c>
      <c r="AC484" s="62">
        <f t="shared" si="360"/>
        <v>700000</v>
      </c>
    </row>
    <row r="485" spans="1:29" x14ac:dyDescent="0.25">
      <c r="A485" s="30" t="str">
        <f>A468</f>
        <v>Fuel Cost</v>
      </c>
      <c r="B485" s="62">
        <f>B467*B468*B475</f>
        <v>888107.33883428562</v>
      </c>
      <c r="C485" s="62">
        <f t="shared" ref="C485:AC485" si="361">C467*C468*C475</f>
        <v>864633.13604571414</v>
      </c>
      <c r="D485" s="62">
        <f t="shared" si="361"/>
        <v>841158.93325714278</v>
      </c>
      <c r="E485" s="62">
        <f t="shared" si="361"/>
        <v>817684.73046857142</v>
      </c>
      <c r="F485" s="62">
        <f t="shared" si="361"/>
        <v>794210.52768000006</v>
      </c>
      <c r="G485" s="62">
        <f t="shared" si="361"/>
        <v>770736.3248914287</v>
      </c>
      <c r="H485" s="62">
        <f t="shared" si="361"/>
        <v>747262.12210285733</v>
      </c>
      <c r="I485" s="62">
        <f t="shared" si="361"/>
        <v>723787.91931428586</v>
      </c>
      <c r="J485" s="62">
        <f t="shared" si="361"/>
        <v>716941.27683428582</v>
      </c>
      <c r="K485" s="62">
        <f t="shared" si="361"/>
        <v>710094.63435428578</v>
      </c>
      <c r="L485" s="62">
        <f t="shared" si="361"/>
        <v>703247.99187428586</v>
      </c>
      <c r="M485" s="62">
        <f t="shared" si="361"/>
        <v>696401.34939428582</v>
      </c>
      <c r="N485" s="62">
        <f t="shared" si="361"/>
        <v>689554.70691428578</v>
      </c>
      <c r="O485" s="62">
        <f t="shared" si="361"/>
        <v>682708.06443428574</v>
      </c>
      <c r="P485" s="62">
        <f t="shared" si="361"/>
        <v>675861.4219542857</v>
      </c>
      <c r="Q485" s="62">
        <f t="shared" si="361"/>
        <v>669014.77947428578</v>
      </c>
      <c r="R485" s="62">
        <f t="shared" si="361"/>
        <v>662168.13699428574</v>
      </c>
      <c r="S485" s="62">
        <f t="shared" si="361"/>
        <v>655321.4945142857</v>
      </c>
      <c r="T485" s="62">
        <f t="shared" si="361"/>
        <v>648474.85203428578</v>
      </c>
      <c r="U485" s="62">
        <f t="shared" si="361"/>
        <v>641628.20955428574</v>
      </c>
      <c r="V485" s="62">
        <f t="shared" si="361"/>
        <v>634781.5670742857</v>
      </c>
      <c r="W485" s="62">
        <f t="shared" si="361"/>
        <v>627934.92459428578</v>
      </c>
      <c r="X485" s="62">
        <f t="shared" si="361"/>
        <v>621088.28211428586</v>
      </c>
      <c r="Y485" s="62">
        <f t="shared" si="361"/>
        <v>614241.63963428582</v>
      </c>
      <c r="Z485" s="62">
        <f t="shared" si="361"/>
        <v>607394.99715428578</v>
      </c>
      <c r="AA485" s="62">
        <f t="shared" si="361"/>
        <v>600548.35467428586</v>
      </c>
      <c r="AB485" s="62">
        <f t="shared" si="361"/>
        <v>593701.71219428582</v>
      </c>
      <c r="AC485" s="62">
        <f t="shared" si="361"/>
        <v>586855.06971428578</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3789441.8844512366</v>
      </c>
      <c r="C487" s="64">
        <f t="shared" ref="C487:AC487" si="363">C478+C479+C480+C481+C482+C483+C484+C485+C486</f>
        <v>3766140.1734647872</v>
      </c>
      <c r="D487" s="64">
        <f t="shared" si="363"/>
        <v>3742910.8843082208</v>
      </c>
      <c r="E487" s="64">
        <f t="shared" si="363"/>
        <v>3719782.8434037911</v>
      </c>
      <c r="F487" s="64">
        <f t="shared" si="363"/>
        <v>3696794.6456552772</v>
      </c>
      <c r="G487" s="64">
        <f t="shared" si="363"/>
        <v>3673996.1662976788</v>
      </c>
      <c r="H487" s="64">
        <f t="shared" si="363"/>
        <v>3651448.3550541066</v>
      </c>
      <c r="I487" s="64">
        <f t="shared" si="363"/>
        <v>3629219.1232339097</v>
      </c>
      <c r="J487" s="64">
        <f t="shared" si="363"/>
        <v>3623999.8983202791</v>
      </c>
      <c r="K487" s="64">
        <f t="shared" si="363"/>
        <v>3619202.7131958501</v>
      </c>
      <c r="L487" s="64">
        <f t="shared" si="363"/>
        <v>3614815.3607128523</v>
      </c>
      <c r="M487" s="64">
        <f t="shared" si="363"/>
        <v>3610749.6185690425</v>
      </c>
      <c r="N487" s="64">
        <f t="shared" si="363"/>
        <v>3606838.7611642107</v>
      </c>
      <c r="O487" s="64">
        <f t="shared" si="363"/>
        <v>3602870.1330003324</v>
      </c>
      <c r="P487" s="64">
        <f t="shared" si="363"/>
        <v>3598643.406192062</v>
      </c>
      <c r="Q487" s="64">
        <f t="shared" si="363"/>
        <v>3594023.3189498661</v>
      </c>
      <c r="R487" s="64">
        <f t="shared" si="363"/>
        <v>3588959.7484618966</v>
      </c>
      <c r="S487" s="64">
        <f t="shared" si="363"/>
        <v>3583473.669050198</v>
      </c>
      <c r="T487" s="64">
        <f t="shared" si="363"/>
        <v>3577627.1495427154</v>
      </c>
      <c r="U487" s="64">
        <f t="shared" si="363"/>
        <v>3571495.5805196222</v>
      </c>
      <c r="V487" s="64">
        <f t="shared" si="363"/>
        <v>3565150.0989311156</v>
      </c>
      <c r="W487" s="64">
        <f t="shared" si="363"/>
        <v>3558649.789430893</v>
      </c>
      <c r="X487" s="64">
        <f t="shared" si="363"/>
        <v>3552040.1598673896</v>
      </c>
      <c r="Y487" s="64">
        <f t="shared" si="363"/>
        <v>3545354.6345400522</v>
      </c>
      <c r="Z487" s="64">
        <f t="shared" si="363"/>
        <v>3538617.018244443</v>
      </c>
      <c r="AA487" s="64">
        <f t="shared" si="363"/>
        <v>3531843.9249422583</v>
      </c>
      <c r="AB487" s="64">
        <f t="shared" si="363"/>
        <v>3525046.7954034028</v>
      </c>
      <c r="AC487" s="64">
        <f t="shared" si="363"/>
        <v>3518233.437979145</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1.7095011171931649</v>
      </c>
      <c r="C490" s="65">
        <f t="shared" ref="C490:AC490" si="365">((1+C463)^C470)*C463/(((1+C463)^C470)-1)*(C459)/C475</f>
        <v>1.7095011171931649</v>
      </c>
      <c r="D490" s="65">
        <f t="shared" si="365"/>
        <v>1.7095011171931649</v>
      </c>
      <c r="E490" s="65">
        <f t="shared" si="365"/>
        <v>1.7095011171931649</v>
      </c>
      <c r="F490" s="65">
        <f t="shared" si="365"/>
        <v>1.7095011171931649</v>
      </c>
      <c r="G490" s="65">
        <f t="shared" si="365"/>
        <v>1.7095011171931649</v>
      </c>
      <c r="H490" s="65">
        <f t="shared" si="365"/>
        <v>1.7095011171931649</v>
      </c>
      <c r="I490" s="65">
        <f t="shared" si="365"/>
        <v>1.7095011171931649</v>
      </c>
      <c r="J490" s="65">
        <f t="shared" si="365"/>
        <v>1.7095011171931649</v>
      </c>
      <c r="K490" s="65">
        <f t="shared" si="365"/>
        <v>1.7095011171931649</v>
      </c>
      <c r="L490" s="65">
        <f t="shared" si="365"/>
        <v>1.7095011171931649</v>
      </c>
      <c r="M490" s="65">
        <f t="shared" si="365"/>
        <v>1.7095011171931649</v>
      </c>
      <c r="N490" s="65">
        <f t="shared" si="365"/>
        <v>1.7095011171931649</v>
      </c>
      <c r="O490" s="65">
        <f t="shared" si="365"/>
        <v>1.7095011171931649</v>
      </c>
      <c r="P490" s="65">
        <f t="shared" si="365"/>
        <v>1.7095011171931649</v>
      </c>
      <c r="Q490" s="65">
        <f t="shared" si="365"/>
        <v>1.7095011171931649</v>
      </c>
      <c r="R490" s="65">
        <f t="shared" si="365"/>
        <v>1.7095011171931649</v>
      </c>
      <c r="S490" s="65">
        <f t="shared" si="365"/>
        <v>1.7095011171931649</v>
      </c>
      <c r="T490" s="65">
        <f t="shared" si="365"/>
        <v>1.7095011171931649</v>
      </c>
      <c r="U490" s="65">
        <f t="shared" si="365"/>
        <v>1.7095011171931649</v>
      </c>
      <c r="V490" s="65">
        <f t="shared" si="365"/>
        <v>1.7095011171931649</v>
      </c>
      <c r="W490" s="65">
        <f t="shared" si="365"/>
        <v>1.7095011171931649</v>
      </c>
      <c r="X490" s="65">
        <f t="shared" si="365"/>
        <v>1.7095011171931649</v>
      </c>
      <c r="Y490" s="65">
        <f t="shared" si="365"/>
        <v>1.7095011171931649</v>
      </c>
      <c r="Z490" s="65">
        <f t="shared" si="365"/>
        <v>1.7095011171931649</v>
      </c>
      <c r="AA490" s="65">
        <f t="shared" si="365"/>
        <v>1.7095011171931649</v>
      </c>
      <c r="AB490" s="65">
        <f t="shared" si="365"/>
        <v>1.7095011171931649</v>
      </c>
      <c r="AC490" s="65">
        <f t="shared" si="365"/>
        <v>1.7095011171931649</v>
      </c>
    </row>
    <row r="491" spans="1:29" x14ac:dyDescent="0.25">
      <c r="A491" s="30" t="str">
        <f t="shared" si="364"/>
        <v>Residual value (vehicle)</v>
      </c>
      <c r="B491" s="66">
        <f>((1+B463)^B470)*B463/(((1+B463)^B470)-1)*(B460)/B475</f>
        <v>-0.25416826054025926</v>
      </c>
      <c r="C491" s="66">
        <f t="shared" ref="C491:AC491" si="366">((1+C463)^C470)*C463/(((1+C463)^C470)-1)*(C460)/C475</f>
        <v>-0.2532019199121241</v>
      </c>
      <c r="D491" s="66">
        <f t="shared" si="366"/>
        <v>-0.25182985474682912</v>
      </c>
      <c r="E491" s="66">
        <f t="shared" si="366"/>
        <v>-0.24989057248272897</v>
      </c>
      <c r="F491" s="66">
        <f t="shared" si="366"/>
        <v>-0.24716785517148263</v>
      </c>
      <c r="G491" s="66">
        <f t="shared" si="366"/>
        <v>-0.2433822897318601</v>
      </c>
      <c r="H491" s="66">
        <f t="shared" si="366"/>
        <v>-0.23819242113242242</v>
      </c>
      <c r="I491" s="66">
        <f t="shared" si="366"/>
        <v>-0.23121779385861393</v>
      </c>
      <c r="J491" s="66">
        <f t="shared" si="366"/>
        <v>-0.22210060861284955</v>
      </c>
      <c r="K491" s="66">
        <f t="shared" si="366"/>
        <v>-0.21061905480012771</v>
      </c>
      <c r="L491" s="66">
        <f t="shared" si="366"/>
        <v>-0.19684151980291528</v>
      </c>
      <c r="M491" s="66">
        <f t="shared" si="366"/>
        <v>-0.18126224621081494</v>
      </c>
      <c r="N491" s="66">
        <f t="shared" si="366"/>
        <v>-0.16481527099978574</v>
      </c>
      <c r="O491" s="66">
        <f t="shared" si="366"/>
        <v>-0.14869194149770532</v>
      </c>
      <c r="P491" s="66">
        <f t="shared" si="366"/>
        <v>-0.13401454277653033</v>
      </c>
      <c r="Q491" s="66">
        <f t="shared" si="366"/>
        <v>-0.12154084396530274</v>
      </c>
      <c r="R491" s="66">
        <f t="shared" si="366"/>
        <v>-0.11155164513039878</v>
      </c>
      <c r="S491" s="66">
        <f t="shared" si="366"/>
        <v>-0.10392944306708454</v>
      </c>
      <c r="T491" s="66">
        <f t="shared" si="366"/>
        <v>-9.8326513249059416E-2</v>
      </c>
      <c r="U491" s="66">
        <f t="shared" si="366"/>
        <v>-9.4320499484876544E-2</v>
      </c>
      <c r="V491" s="66">
        <f t="shared" si="366"/>
        <v>-9.1512875442896963E-2</v>
      </c>
      <c r="W491" s="66">
        <f t="shared" si="366"/>
        <v>-8.9572634659828843E-2</v>
      </c>
      <c r="X491" s="66">
        <f t="shared" si="366"/>
        <v>-8.8244831206068547E-2</v>
      </c>
      <c r="Y491" s="66">
        <f t="shared" si="366"/>
        <v>-8.734221410431782E-2</v>
      </c>
      <c r="Z491" s="66">
        <f t="shared" si="366"/>
        <v>-8.6731423155348999E-2</v>
      </c>
      <c r="AA491" s="66">
        <f t="shared" si="366"/>
        <v>-8.631938294349642E-2</v>
      </c>
      <c r="AB491" s="66">
        <f t="shared" si="366"/>
        <v>-8.6041999519719331E-2</v>
      </c>
      <c r="AC491" s="66">
        <f t="shared" si="366"/>
        <v>-8.5855528619202287E-2</v>
      </c>
    </row>
    <row r="492" spans="1:29" x14ac:dyDescent="0.25">
      <c r="A492" s="30" t="str">
        <f t="shared" si="364"/>
        <v>Capex costumization</v>
      </c>
      <c r="B492" s="66">
        <f>((1+B463)^B471)*B463/(((1+B463)^B471)-1)*(B461)/B475</f>
        <v>1.4244884605891606</v>
      </c>
      <c r="C492" s="66">
        <f t="shared" ref="C492:AC492" si="367">((1+C463)^C471)*C463/(((1+C463)^C471)-1)*(C461)/C475</f>
        <v>1.4244884605891606</v>
      </c>
      <c r="D492" s="66">
        <f t="shared" si="367"/>
        <v>1.4244884605891606</v>
      </c>
      <c r="E492" s="66">
        <f t="shared" si="367"/>
        <v>1.4244884605891606</v>
      </c>
      <c r="F492" s="66">
        <f t="shared" si="367"/>
        <v>1.4244884605891606</v>
      </c>
      <c r="G492" s="66">
        <f t="shared" si="367"/>
        <v>1.4244884605891606</v>
      </c>
      <c r="H492" s="66">
        <f t="shared" si="367"/>
        <v>1.4244884605891606</v>
      </c>
      <c r="I492" s="66">
        <f t="shared" si="367"/>
        <v>1.4244884605891606</v>
      </c>
      <c r="J492" s="66">
        <f t="shared" si="367"/>
        <v>1.4244884605891606</v>
      </c>
      <c r="K492" s="66">
        <f t="shared" si="367"/>
        <v>1.4244884605891606</v>
      </c>
      <c r="L492" s="66">
        <f t="shared" si="367"/>
        <v>1.4244884605891606</v>
      </c>
      <c r="M492" s="66">
        <f t="shared" si="367"/>
        <v>1.4244884605891606</v>
      </c>
      <c r="N492" s="66">
        <f t="shared" si="367"/>
        <v>1.4244884605891606</v>
      </c>
      <c r="O492" s="66">
        <f t="shared" si="367"/>
        <v>1.4244884605891606</v>
      </c>
      <c r="P492" s="66">
        <f t="shared" si="367"/>
        <v>1.4244884605891606</v>
      </c>
      <c r="Q492" s="66">
        <f t="shared" si="367"/>
        <v>1.4244884605891606</v>
      </c>
      <c r="R492" s="66">
        <f t="shared" si="367"/>
        <v>1.4244884605891606</v>
      </c>
      <c r="S492" s="66">
        <f t="shared" si="367"/>
        <v>1.4244884605891606</v>
      </c>
      <c r="T492" s="66">
        <f t="shared" si="367"/>
        <v>1.4244884605891606</v>
      </c>
      <c r="U492" s="66">
        <f t="shared" si="367"/>
        <v>1.4244884605891606</v>
      </c>
      <c r="V492" s="66">
        <f t="shared" si="367"/>
        <v>1.4244884605891606</v>
      </c>
      <c r="W492" s="66">
        <f t="shared" si="367"/>
        <v>1.4244884605891606</v>
      </c>
      <c r="X492" s="66">
        <f t="shared" si="367"/>
        <v>1.4244884605891606</v>
      </c>
      <c r="Y492" s="66">
        <f t="shared" si="367"/>
        <v>1.4244884605891606</v>
      </c>
      <c r="Z492" s="66">
        <f t="shared" si="367"/>
        <v>1.4244884605891606</v>
      </c>
      <c r="AA492" s="66">
        <f t="shared" si="367"/>
        <v>1.4244884605891606</v>
      </c>
      <c r="AB492" s="66">
        <f t="shared" si="367"/>
        <v>1.4244884605891606</v>
      </c>
      <c r="AC492" s="66">
        <f t="shared" si="367"/>
        <v>1.4244884605891606</v>
      </c>
    </row>
    <row r="493" spans="1:29" x14ac:dyDescent="0.25">
      <c r="A493" s="30" t="str">
        <f t="shared" si="364"/>
        <v>Residual value (costumization)</v>
      </c>
      <c r="B493" s="66">
        <f>((1+B463)^B471)*B463/(((1+B463)^B471)-1)*(B462)/B475</f>
        <v>-7.1224423029458042E-2</v>
      </c>
      <c r="C493" s="66">
        <f t="shared" ref="C493:AC493" si="368">((1+C463)^C471)*C463/(((1+C463)^C471)-1)*(C462)/C475</f>
        <v>-7.1224423029458042E-2</v>
      </c>
      <c r="D493" s="66">
        <f t="shared" si="368"/>
        <v>-7.1224423029458042E-2</v>
      </c>
      <c r="E493" s="66">
        <f t="shared" si="368"/>
        <v>-7.1224423029458042E-2</v>
      </c>
      <c r="F493" s="66">
        <f t="shared" si="368"/>
        <v>-7.1224423029458042E-2</v>
      </c>
      <c r="G493" s="66">
        <f t="shared" si="368"/>
        <v>-7.1224423029458042E-2</v>
      </c>
      <c r="H493" s="66">
        <f t="shared" si="368"/>
        <v>-7.1224423029458042E-2</v>
      </c>
      <c r="I493" s="66">
        <f t="shared" si="368"/>
        <v>-7.1224423029458042E-2</v>
      </c>
      <c r="J493" s="66">
        <f t="shared" si="368"/>
        <v>-7.1224423029458042E-2</v>
      </c>
      <c r="K493" s="66">
        <f t="shared" si="368"/>
        <v>-7.1224423029458042E-2</v>
      </c>
      <c r="L493" s="66">
        <f t="shared" si="368"/>
        <v>-7.1224423029458042E-2</v>
      </c>
      <c r="M493" s="66">
        <f t="shared" si="368"/>
        <v>-7.1224423029458042E-2</v>
      </c>
      <c r="N493" s="66">
        <f t="shared" si="368"/>
        <v>-7.1224423029458042E-2</v>
      </c>
      <c r="O493" s="66">
        <f t="shared" si="368"/>
        <v>-7.1224423029458042E-2</v>
      </c>
      <c r="P493" s="66">
        <f t="shared" si="368"/>
        <v>-7.1224423029458042E-2</v>
      </c>
      <c r="Q493" s="66">
        <f t="shared" si="368"/>
        <v>-7.1224423029458042E-2</v>
      </c>
      <c r="R493" s="66">
        <f t="shared" si="368"/>
        <v>-7.1224423029458042E-2</v>
      </c>
      <c r="S493" s="66">
        <f t="shared" si="368"/>
        <v>-7.1224423029458042E-2</v>
      </c>
      <c r="T493" s="66">
        <f t="shared" si="368"/>
        <v>-7.1224423029458042E-2</v>
      </c>
      <c r="U493" s="66">
        <f t="shared" si="368"/>
        <v>-7.1224423029458042E-2</v>
      </c>
      <c r="V493" s="66">
        <f t="shared" si="368"/>
        <v>-7.1224423029458042E-2</v>
      </c>
      <c r="W493" s="66">
        <f t="shared" si="368"/>
        <v>-7.1224423029458042E-2</v>
      </c>
      <c r="X493" s="66">
        <f t="shared" si="368"/>
        <v>-7.1224423029458042E-2</v>
      </c>
      <c r="Y493" s="66">
        <f t="shared" si="368"/>
        <v>-7.1224423029458042E-2</v>
      </c>
      <c r="Z493" s="66">
        <f t="shared" si="368"/>
        <v>-7.1224423029458042E-2</v>
      </c>
      <c r="AA493" s="66">
        <f t="shared" si="368"/>
        <v>-7.1224423029458042E-2</v>
      </c>
      <c r="AB493" s="66">
        <f t="shared" si="368"/>
        <v>-7.1224423029458042E-2</v>
      </c>
      <c r="AC493" s="66">
        <f t="shared" si="368"/>
        <v>-7.1224423029458042E-2</v>
      </c>
    </row>
    <row r="494" spans="1:29" x14ac:dyDescent="0.25">
      <c r="A494" s="30" t="str">
        <f t="shared" si="364"/>
        <v>Opex fix (admin, crew, insurance)</v>
      </c>
      <c r="B494" s="66">
        <f>B464/B475</f>
        <v>3.6414565826330532</v>
      </c>
      <c r="C494" s="66">
        <f t="shared" ref="C494:AC494" si="369">C464/C475</f>
        <v>3.6414565826330532</v>
      </c>
      <c r="D494" s="66">
        <f t="shared" si="369"/>
        <v>3.6414565826330532</v>
      </c>
      <c r="E494" s="66">
        <f t="shared" si="369"/>
        <v>3.6414565826330532</v>
      </c>
      <c r="F494" s="66">
        <f t="shared" si="369"/>
        <v>3.6414565826330532</v>
      </c>
      <c r="G494" s="66">
        <f t="shared" si="369"/>
        <v>3.6414565826330532</v>
      </c>
      <c r="H494" s="66">
        <f t="shared" si="369"/>
        <v>3.6414565826330532</v>
      </c>
      <c r="I494" s="66">
        <f t="shared" si="369"/>
        <v>3.6414565826330532</v>
      </c>
      <c r="J494" s="66">
        <f t="shared" si="369"/>
        <v>3.6414565826330532</v>
      </c>
      <c r="K494" s="66">
        <f t="shared" si="369"/>
        <v>3.6414565826330532</v>
      </c>
      <c r="L494" s="66">
        <f t="shared" si="369"/>
        <v>3.6414565826330532</v>
      </c>
      <c r="M494" s="66">
        <f t="shared" si="369"/>
        <v>3.6414565826330532</v>
      </c>
      <c r="N494" s="66">
        <f t="shared" si="369"/>
        <v>3.6414565826330532</v>
      </c>
      <c r="O494" s="66">
        <f t="shared" si="369"/>
        <v>3.6414565826330532</v>
      </c>
      <c r="P494" s="66">
        <f t="shared" si="369"/>
        <v>3.6414565826330532</v>
      </c>
      <c r="Q494" s="66">
        <f t="shared" si="369"/>
        <v>3.6414565826330532</v>
      </c>
      <c r="R494" s="66">
        <f t="shared" si="369"/>
        <v>3.6414565826330532</v>
      </c>
      <c r="S494" s="66">
        <f t="shared" si="369"/>
        <v>3.6414565826330532</v>
      </c>
      <c r="T494" s="66">
        <f t="shared" si="369"/>
        <v>3.6414565826330532</v>
      </c>
      <c r="U494" s="66">
        <f t="shared" si="369"/>
        <v>3.6414565826330532</v>
      </c>
      <c r="V494" s="66">
        <f t="shared" si="369"/>
        <v>3.6414565826330532</v>
      </c>
      <c r="W494" s="66">
        <f t="shared" si="369"/>
        <v>3.6414565826330532</v>
      </c>
      <c r="X494" s="66">
        <f t="shared" si="369"/>
        <v>3.6414565826330532</v>
      </c>
      <c r="Y494" s="66">
        <f t="shared" si="369"/>
        <v>3.6414565826330532</v>
      </c>
      <c r="Z494" s="66">
        <f t="shared" si="369"/>
        <v>3.6414565826330532</v>
      </c>
      <c r="AA494" s="66">
        <f t="shared" si="369"/>
        <v>3.6414565826330532</v>
      </c>
      <c r="AB494" s="66">
        <f t="shared" si="369"/>
        <v>3.6414565826330532</v>
      </c>
      <c r="AC494" s="66">
        <f t="shared" si="369"/>
        <v>3.6414565826330532</v>
      </c>
    </row>
    <row r="495" spans="1:29" x14ac:dyDescent="0.25">
      <c r="A495" s="30" t="str">
        <f t="shared" si="364"/>
        <v>Opex maintenance &amp; repair</v>
      </c>
      <c r="B495" s="66">
        <f>B465/B475</f>
        <v>5.882352941176471</v>
      </c>
      <c r="C495" s="66">
        <f t="shared" ref="C495:AC495" si="370">C465/C475</f>
        <v>5.882352941176471</v>
      </c>
      <c r="D495" s="66">
        <f t="shared" si="370"/>
        <v>5.882352941176471</v>
      </c>
      <c r="E495" s="66">
        <f t="shared" si="370"/>
        <v>5.882352941176471</v>
      </c>
      <c r="F495" s="66">
        <f t="shared" si="370"/>
        <v>5.882352941176471</v>
      </c>
      <c r="G495" s="66">
        <f t="shared" si="370"/>
        <v>5.882352941176471</v>
      </c>
      <c r="H495" s="66">
        <f t="shared" si="370"/>
        <v>5.882352941176471</v>
      </c>
      <c r="I495" s="66">
        <f t="shared" si="370"/>
        <v>5.882352941176471</v>
      </c>
      <c r="J495" s="66">
        <f t="shared" si="370"/>
        <v>5.882352941176471</v>
      </c>
      <c r="K495" s="66">
        <f t="shared" si="370"/>
        <v>5.882352941176471</v>
      </c>
      <c r="L495" s="66">
        <f t="shared" si="370"/>
        <v>5.882352941176471</v>
      </c>
      <c r="M495" s="66">
        <f t="shared" si="370"/>
        <v>5.882352941176471</v>
      </c>
      <c r="N495" s="66">
        <f t="shared" si="370"/>
        <v>5.882352941176471</v>
      </c>
      <c r="O495" s="66">
        <f t="shared" si="370"/>
        <v>5.882352941176471</v>
      </c>
      <c r="P495" s="66">
        <f t="shared" si="370"/>
        <v>5.882352941176471</v>
      </c>
      <c r="Q495" s="66">
        <f t="shared" si="370"/>
        <v>5.882352941176471</v>
      </c>
      <c r="R495" s="66">
        <f t="shared" si="370"/>
        <v>5.882352941176471</v>
      </c>
      <c r="S495" s="66">
        <f t="shared" si="370"/>
        <v>5.882352941176471</v>
      </c>
      <c r="T495" s="66">
        <f t="shared" si="370"/>
        <v>5.882352941176471</v>
      </c>
      <c r="U495" s="66">
        <f t="shared" si="370"/>
        <v>5.882352941176471</v>
      </c>
      <c r="V495" s="66">
        <f t="shared" si="370"/>
        <v>5.882352941176471</v>
      </c>
      <c r="W495" s="66">
        <f t="shared" si="370"/>
        <v>5.882352941176471</v>
      </c>
      <c r="X495" s="66">
        <f t="shared" si="370"/>
        <v>5.882352941176471</v>
      </c>
      <c r="Y495" s="66">
        <f t="shared" si="370"/>
        <v>5.882352941176471</v>
      </c>
      <c r="Z495" s="66">
        <f t="shared" si="370"/>
        <v>5.882352941176471</v>
      </c>
      <c r="AA495" s="66">
        <f t="shared" si="370"/>
        <v>5.882352941176471</v>
      </c>
      <c r="AB495" s="66">
        <f t="shared" si="370"/>
        <v>5.882352941176471</v>
      </c>
      <c r="AC495" s="66">
        <f t="shared" si="370"/>
        <v>5.882352941176471</v>
      </c>
    </row>
    <row r="496" spans="1:29" x14ac:dyDescent="0.25">
      <c r="A496" s="30" t="str">
        <f t="shared" si="364"/>
        <v>Opex var (mode-fees, shunting)</v>
      </c>
      <c r="B496" s="66">
        <f>B466*B475/B475</f>
        <v>3.9215686274509802</v>
      </c>
      <c r="C496" s="66">
        <f t="shared" ref="C496:AC496" si="371">C466*C475/C475</f>
        <v>3.9215686274509802</v>
      </c>
      <c r="D496" s="66">
        <f t="shared" si="371"/>
        <v>3.9215686274509802</v>
      </c>
      <c r="E496" s="66">
        <f t="shared" si="371"/>
        <v>3.9215686274509802</v>
      </c>
      <c r="F496" s="66">
        <f t="shared" si="371"/>
        <v>3.9215686274509802</v>
      </c>
      <c r="G496" s="66">
        <f t="shared" si="371"/>
        <v>3.9215686274509802</v>
      </c>
      <c r="H496" s="66">
        <f t="shared" si="371"/>
        <v>3.9215686274509802</v>
      </c>
      <c r="I496" s="66">
        <f t="shared" si="371"/>
        <v>3.9215686274509802</v>
      </c>
      <c r="J496" s="66">
        <f t="shared" si="371"/>
        <v>3.9215686274509802</v>
      </c>
      <c r="K496" s="66">
        <f t="shared" si="371"/>
        <v>3.9215686274509802</v>
      </c>
      <c r="L496" s="66">
        <f t="shared" si="371"/>
        <v>3.9215686274509802</v>
      </c>
      <c r="M496" s="66">
        <f t="shared" si="371"/>
        <v>3.9215686274509802</v>
      </c>
      <c r="N496" s="66">
        <f t="shared" si="371"/>
        <v>3.9215686274509802</v>
      </c>
      <c r="O496" s="66">
        <f t="shared" si="371"/>
        <v>3.9215686274509802</v>
      </c>
      <c r="P496" s="66">
        <f t="shared" si="371"/>
        <v>3.9215686274509802</v>
      </c>
      <c r="Q496" s="66">
        <f t="shared" si="371"/>
        <v>3.9215686274509802</v>
      </c>
      <c r="R496" s="66">
        <f t="shared" si="371"/>
        <v>3.9215686274509802</v>
      </c>
      <c r="S496" s="66">
        <f t="shared" si="371"/>
        <v>3.9215686274509802</v>
      </c>
      <c r="T496" s="66">
        <f t="shared" si="371"/>
        <v>3.9215686274509802</v>
      </c>
      <c r="U496" s="66">
        <f t="shared" si="371"/>
        <v>3.9215686274509802</v>
      </c>
      <c r="V496" s="66">
        <f t="shared" si="371"/>
        <v>3.9215686274509802</v>
      </c>
      <c r="W496" s="66">
        <f t="shared" si="371"/>
        <v>3.9215686274509802</v>
      </c>
      <c r="X496" s="66">
        <f t="shared" si="371"/>
        <v>3.9215686274509802</v>
      </c>
      <c r="Y496" s="66">
        <f t="shared" si="371"/>
        <v>3.9215686274509802</v>
      </c>
      <c r="Z496" s="66">
        <f t="shared" si="371"/>
        <v>3.9215686274509802</v>
      </c>
      <c r="AA496" s="66">
        <f t="shared" si="371"/>
        <v>3.9215686274509802</v>
      </c>
      <c r="AB496" s="66">
        <f t="shared" si="371"/>
        <v>3.9215686274509802</v>
      </c>
      <c r="AC496" s="66">
        <f t="shared" si="371"/>
        <v>3.9215686274509802</v>
      </c>
    </row>
    <row r="497" spans="1:29" x14ac:dyDescent="0.25">
      <c r="A497" s="30" t="str">
        <f t="shared" si="364"/>
        <v>Fuel Cost</v>
      </c>
      <c r="B497" s="66">
        <f>B467*B468*B475/B475</f>
        <v>4.9753912539735889</v>
      </c>
      <c r="C497" s="66">
        <f t="shared" ref="C497:AC497" si="372">C467*C468*C475/C475</f>
        <v>4.8438831151020398</v>
      </c>
      <c r="D497" s="66">
        <f t="shared" si="372"/>
        <v>4.7123749762304916</v>
      </c>
      <c r="E497" s="66">
        <f t="shared" si="372"/>
        <v>4.5808668373589434</v>
      </c>
      <c r="F497" s="66">
        <f t="shared" si="372"/>
        <v>4.4493586984873952</v>
      </c>
      <c r="G497" s="66">
        <f t="shared" si="372"/>
        <v>4.317850559615847</v>
      </c>
      <c r="H497" s="66">
        <f t="shared" si="372"/>
        <v>4.1863424207442987</v>
      </c>
      <c r="I497" s="66">
        <f t="shared" si="372"/>
        <v>4.0548342818727496</v>
      </c>
      <c r="J497" s="66">
        <f t="shared" si="372"/>
        <v>4.016477741368548</v>
      </c>
      <c r="K497" s="66">
        <f t="shared" si="372"/>
        <v>3.9781212008643463</v>
      </c>
      <c r="L497" s="66">
        <f t="shared" si="372"/>
        <v>3.9397646603601451</v>
      </c>
      <c r="M497" s="66">
        <f t="shared" si="372"/>
        <v>3.9014081198559429</v>
      </c>
      <c r="N497" s="66">
        <f t="shared" si="372"/>
        <v>3.8630515793517413</v>
      </c>
      <c r="O497" s="66">
        <f t="shared" si="372"/>
        <v>3.8246950388475391</v>
      </c>
      <c r="P497" s="66">
        <f t="shared" si="372"/>
        <v>3.7863384983433375</v>
      </c>
      <c r="Q497" s="66">
        <f t="shared" si="372"/>
        <v>3.7479819578391362</v>
      </c>
      <c r="R497" s="66">
        <f t="shared" si="372"/>
        <v>3.7096254173349341</v>
      </c>
      <c r="S497" s="66">
        <f t="shared" si="372"/>
        <v>3.6712688768307324</v>
      </c>
      <c r="T497" s="66">
        <f t="shared" si="372"/>
        <v>3.6329123363265308</v>
      </c>
      <c r="U497" s="66">
        <f t="shared" si="372"/>
        <v>3.5945557958223291</v>
      </c>
      <c r="V497" s="66">
        <f t="shared" si="372"/>
        <v>3.556199255318127</v>
      </c>
      <c r="W497" s="66">
        <f t="shared" si="372"/>
        <v>3.5178427148139257</v>
      </c>
      <c r="X497" s="66">
        <f t="shared" si="372"/>
        <v>3.4794861743097245</v>
      </c>
      <c r="Y497" s="66">
        <f t="shared" si="372"/>
        <v>3.4411296338055228</v>
      </c>
      <c r="Z497" s="66">
        <f t="shared" si="372"/>
        <v>3.4027730933013207</v>
      </c>
      <c r="AA497" s="66">
        <f t="shared" si="372"/>
        <v>3.3644165527971195</v>
      </c>
      <c r="AB497" s="66">
        <f t="shared" si="372"/>
        <v>3.3260600122929178</v>
      </c>
      <c r="AC497" s="66">
        <f t="shared" si="372"/>
        <v>3.2877034717887157</v>
      </c>
    </row>
    <row r="498" spans="1:29" ht="15.75" thickBot="1" x14ac:dyDescent="0.3">
      <c r="A498" s="59" t="str">
        <f>A449</f>
        <v>Emission Cost</v>
      </c>
      <c r="B498" s="66">
        <f>B469</f>
        <v>0</v>
      </c>
      <c r="C498" s="66">
        <f t="shared" ref="C498:AC498" si="373">C469</f>
        <v>0</v>
      </c>
      <c r="D498" s="66">
        <f t="shared" si="373"/>
        <v>0</v>
      </c>
      <c r="E498" s="66">
        <f t="shared" si="373"/>
        <v>0</v>
      </c>
      <c r="F498" s="66">
        <f t="shared" si="373"/>
        <v>0</v>
      </c>
      <c r="G498" s="66">
        <f t="shared" si="373"/>
        <v>0</v>
      </c>
      <c r="H498" s="66">
        <f t="shared" si="373"/>
        <v>0</v>
      </c>
      <c r="I498" s="66">
        <f t="shared" si="373"/>
        <v>0</v>
      </c>
      <c r="J498" s="66">
        <f t="shared" si="373"/>
        <v>0</v>
      </c>
      <c r="K498" s="66">
        <f t="shared" si="373"/>
        <v>0</v>
      </c>
      <c r="L498" s="66">
        <f t="shared" si="373"/>
        <v>0</v>
      </c>
      <c r="M498" s="66">
        <f t="shared" si="373"/>
        <v>0</v>
      </c>
      <c r="N498" s="66">
        <f t="shared" si="373"/>
        <v>0</v>
      </c>
      <c r="O498" s="66">
        <f t="shared" si="373"/>
        <v>0</v>
      </c>
      <c r="P498" s="66">
        <f t="shared" si="373"/>
        <v>0</v>
      </c>
      <c r="Q498" s="66">
        <f t="shared" si="373"/>
        <v>0</v>
      </c>
      <c r="R498" s="66">
        <f t="shared" si="373"/>
        <v>0</v>
      </c>
      <c r="S498" s="66">
        <f t="shared" si="373"/>
        <v>0</v>
      </c>
      <c r="T498" s="66">
        <f t="shared" si="373"/>
        <v>0</v>
      </c>
      <c r="U498" s="66">
        <f t="shared" si="373"/>
        <v>0</v>
      </c>
      <c r="V498" s="66">
        <f t="shared" si="373"/>
        <v>0</v>
      </c>
      <c r="W498" s="66">
        <f t="shared" si="373"/>
        <v>0</v>
      </c>
      <c r="X498" s="66">
        <f t="shared" si="373"/>
        <v>0</v>
      </c>
      <c r="Y498" s="66">
        <f t="shared" si="373"/>
        <v>0</v>
      </c>
      <c r="Z498" s="66">
        <f t="shared" si="373"/>
        <v>0</v>
      </c>
      <c r="AA498" s="66">
        <f t="shared" si="373"/>
        <v>0</v>
      </c>
      <c r="AB498" s="66">
        <f t="shared" si="373"/>
        <v>0</v>
      </c>
      <c r="AC498" s="66">
        <f t="shared" si="373"/>
        <v>0</v>
      </c>
    </row>
    <row r="499" spans="1:29" ht="15.75" thickBot="1" x14ac:dyDescent="0.3">
      <c r="A499" s="31" t="s">
        <v>63</v>
      </c>
      <c r="B499" s="76">
        <f>B490+B491+B492-B493+B494+B495+B496+B497+B498</f>
        <v>21.371815145505614</v>
      </c>
      <c r="C499" s="76">
        <f t="shared" ref="C499:AC499" si="374">C490+C491+C492-C493+C494+C495+C496+C497+C498</f>
        <v>21.241273347262201</v>
      </c>
      <c r="D499" s="76">
        <f t="shared" si="374"/>
        <v>21.111137273555951</v>
      </c>
      <c r="E499" s="76">
        <f t="shared" si="374"/>
        <v>20.981568416948502</v>
      </c>
      <c r="F499" s="76">
        <f t="shared" si="374"/>
        <v>20.8527829953882</v>
      </c>
      <c r="G499" s="76">
        <f t="shared" si="374"/>
        <v>20.725060421956272</v>
      </c>
      <c r="H499" s="76">
        <f t="shared" si="374"/>
        <v>20.598742151684164</v>
      </c>
      <c r="I499" s="76">
        <f t="shared" si="374"/>
        <v>20.474208640086424</v>
      </c>
      <c r="J499" s="76">
        <f t="shared" si="374"/>
        <v>20.444969284827984</v>
      </c>
      <c r="K499" s="76">
        <f t="shared" si="374"/>
        <v>20.418094298136506</v>
      </c>
      <c r="L499" s="76">
        <f t="shared" si="374"/>
        <v>20.393515292629516</v>
      </c>
      <c r="M499" s="76">
        <f t="shared" si="374"/>
        <v>20.370738025717415</v>
      </c>
      <c r="N499" s="76">
        <f t="shared" si="374"/>
        <v>20.348828460424244</v>
      </c>
      <c r="O499" s="76">
        <f t="shared" si="374"/>
        <v>20.326595249422123</v>
      </c>
      <c r="P499" s="76">
        <f t="shared" si="374"/>
        <v>20.302916107639096</v>
      </c>
      <c r="Q499" s="76">
        <f t="shared" si="374"/>
        <v>20.277033265946123</v>
      </c>
      <c r="R499" s="76">
        <f t="shared" si="374"/>
        <v>20.248665924276821</v>
      </c>
      <c r="S499" s="76">
        <f t="shared" si="374"/>
        <v>20.217931585835938</v>
      </c>
      <c r="T499" s="76">
        <f t="shared" si="374"/>
        <v>20.18517797514976</v>
      </c>
      <c r="U499" s="76">
        <f t="shared" si="374"/>
        <v>20.150827448409743</v>
      </c>
      <c r="V499" s="76">
        <f t="shared" si="374"/>
        <v>20.115278531947517</v>
      </c>
      <c r="W499" s="76">
        <f t="shared" si="374"/>
        <v>20.078862232226385</v>
      </c>
      <c r="X499" s="76">
        <f t="shared" si="374"/>
        <v>20.041833495175943</v>
      </c>
      <c r="Y499" s="76">
        <f t="shared" si="374"/>
        <v>20.004379571773494</v>
      </c>
      <c r="Z499" s="76">
        <f t="shared" si="374"/>
        <v>19.96663382221826</v>
      </c>
      <c r="AA499" s="76">
        <f t="shared" si="374"/>
        <v>19.928689321925912</v>
      </c>
      <c r="AB499" s="76">
        <f t="shared" si="374"/>
        <v>19.890610164845487</v>
      </c>
      <c r="AC499" s="76">
        <f t="shared" si="374"/>
        <v>19.852440095241803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5">A478</f>
        <v>Capex vehicle</v>
      </c>
      <c r="B502" s="65">
        <f>((1+B463)^B470)*B463/(((1+B463)^B470)-1)*(B459)/B475/(B472)</f>
        <v>6.1053611328327313E-4</v>
      </c>
      <c r="C502" s="65">
        <f t="shared" ref="C502:AC502" si="376">((1+C463)^C470)*C463/(((1+C463)^C470)-1)*(C459)/C475/(C472)</f>
        <v>6.1053611328327313E-4</v>
      </c>
      <c r="D502" s="65">
        <f t="shared" si="376"/>
        <v>6.1053611328327313E-4</v>
      </c>
      <c r="E502" s="65">
        <f t="shared" si="376"/>
        <v>6.1053611328327313E-4</v>
      </c>
      <c r="F502" s="65">
        <f t="shared" si="376"/>
        <v>6.1053611328327313E-4</v>
      </c>
      <c r="G502" s="65">
        <f t="shared" si="376"/>
        <v>6.1053611328327313E-4</v>
      </c>
      <c r="H502" s="65">
        <f t="shared" si="376"/>
        <v>6.1053611328327313E-4</v>
      </c>
      <c r="I502" s="65">
        <f t="shared" si="376"/>
        <v>6.1053611328327313E-4</v>
      </c>
      <c r="J502" s="65">
        <f t="shared" si="376"/>
        <v>6.1053611328327313E-4</v>
      </c>
      <c r="K502" s="65">
        <f t="shared" si="376"/>
        <v>6.1053611328327313E-4</v>
      </c>
      <c r="L502" s="65">
        <f t="shared" si="376"/>
        <v>6.1053611328327313E-4</v>
      </c>
      <c r="M502" s="65">
        <f t="shared" si="376"/>
        <v>6.1053611328327313E-4</v>
      </c>
      <c r="N502" s="65">
        <f t="shared" si="376"/>
        <v>6.1053611328327313E-4</v>
      </c>
      <c r="O502" s="65">
        <f t="shared" si="376"/>
        <v>6.1053611328327313E-4</v>
      </c>
      <c r="P502" s="65">
        <f t="shared" si="376"/>
        <v>6.1053611328327313E-4</v>
      </c>
      <c r="Q502" s="65">
        <f t="shared" si="376"/>
        <v>6.1053611328327313E-4</v>
      </c>
      <c r="R502" s="65">
        <f t="shared" si="376"/>
        <v>6.1053611328327313E-4</v>
      </c>
      <c r="S502" s="65">
        <f t="shared" si="376"/>
        <v>6.1053611328327313E-4</v>
      </c>
      <c r="T502" s="65">
        <f t="shared" si="376"/>
        <v>6.1053611328327313E-4</v>
      </c>
      <c r="U502" s="65">
        <f t="shared" si="376"/>
        <v>6.1053611328327313E-4</v>
      </c>
      <c r="V502" s="65">
        <f t="shared" si="376"/>
        <v>6.1053611328327313E-4</v>
      </c>
      <c r="W502" s="65">
        <f t="shared" si="376"/>
        <v>6.1053611328327313E-4</v>
      </c>
      <c r="X502" s="65">
        <f t="shared" si="376"/>
        <v>6.1053611328327313E-4</v>
      </c>
      <c r="Y502" s="65">
        <f t="shared" si="376"/>
        <v>6.1053611328327313E-4</v>
      </c>
      <c r="Z502" s="65">
        <f t="shared" si="376"/>
        <v>6.1053611328327313E-4</v>
      </c>
      <c r="AA502" s="65">
        <f t="shared" si="376"/>
        <v>6.1053611328327313E-4</v>
      </c>
      <c r="AB502" s="65">
        <f t="shared" si="376"/>
        <v>6.1053611328327313E-4</v>
      </c>
      <c r="AC502" s="65">
        <f t="shared" si="376"/>
        <v>6.1053611328327313E-4</v>
      </c>
    </row>
    <row r="503" spans="1:29" x14ac:dyDescent="0.25">
      <c r="A503" s="30" t="str">
        <f t="shared" si="375"/>
        <v>Residual value (vehicle)</v>
      </c>
      <c r="B503" s="68">
        <f>((1+B463)^B470)*B463/(((1+B463)^B470)-1)*(B460)/B475/(B472)</f>
        <v>-9.0774378764378309E-5</v>
      </c>
      <c r="C503" s="68">
        <f t="shared" ref="C503:AC503" si="377">((1+C463)^C470)*C463/(((1+C463)^C470)-1)*(C460)/C475/(C472)</f>
        <v>-9.0429257111472898E-5</v>
      </c>
      <c r="D503" s="68">
        <f t="shared" si="377"/>
        <v>-8.9939233838153262E-5</v>
      </c>
      <c r="E503" s="68">
        <f t="shared" si="377"/>
        <v>-8.9246633029546065E-5</v>
      </c>
      <c r="F503" s="68">
        <f t="shared" si="377"/>
        <v>-8.8274233989815224E-5</v>
      </c>
      <c r="G503" s="68">
        <f t="shared" si="377"/>
        <v>-8.6922246332807185E-5</v>
      </c>
      <c r="H503" s="68">
        <f t="shared" si="377"/>
        <v>-8.5068721833008004E-5</v>
      </c>
      <c r="I503" s="68">
        <f t="shared" si="377"/>
        <v>-8.2577783520933551E-5</v>
      </c>
      <c r="J503" s="68">
        <f t="shared" si="377"/>
        <v>-7.9321645933160551E-5</v>
      </c>
      <c r="K503" s="68">
        <f t="shared" si="377"/>
        <v>-7.522109100004561E-5</v>
      </c>
      <c r="L503" s="68">
        <f t="shared" si="377"/>
        <v>-7.0300542786755457E-5</v>
      </c>
      <c r="M503" s="68">
        <f t="shared" si="377"/>
        <v>-6.4736516503862478E-5</v>
      </c>
      <c r="N503" s="68">
        <f t="shared" si="377"/>
        <v>-5.8862596785637767E-5</v>
      </c>
      <c r="O503" s="68">
        <f t="shared" si="377"/>
        <v>-5.3104264820609044E-5</v>
      </c>
      <c r="P503" s="68">
        <f t="shared" si="377"/>
        <v>-4.7862336705903688E-5</v>
      </c>
      <c r="Q503" s="68">
        <f t="shared" si="377"/>
        <v>-4.3407444273322408E-5</v>
      </c>
      <c r="R503" s="68">
        <f t="shared" si="377"/>
        <v>-3.9839873260856709E-5</v>
      </c>
      <c r="S503" s="68">
        <f t="shared" si="377"/>
        <v>-3.711765823824448E-5</v>
      </c>
      <c r="T503" s="68">
        <f t="shared" si="377"/>
        <v>-3.5116611874664075E-5</v>
      </c>
      <c r="U503" s="68">
        <f t="shared" si="377"/>
        <v>-3.3685892673170192E-5</v>
      </c>
      <c r="V503" s="68">
        <f t="shared" si="377"/>
        <v>-3.2683169801034627E-5</v>
      </c>
      <c r="W503" s="68">
        <f t="shared" si="377"/>
        <v>-3.1990226664224584E-5</v>
      </c>
      <c r="X503" s="68">
        <f t="shared" si="377"/>
        <v>-3.151601114502448E-5</v>
      </c>
      <c r="Y503" s="68">
        <f t="shared" si="377"/>
        <v>-3.119364789439922E-5</v>
      </c>
      <c r="Z503" s="68">
        <f t="shared" si="377"/>
        <v>-3.0975508269767502E-5</v>
      </c>
      <c r="AA503" s="68">
        <f t="shared" si="377"/>
        <v>-3.0828351051248723E-5</v>
      </c>
      <c r="AB503" s="68">
        <f t="shared" si="377"/>
        <v>-3.0729285542756903E-5</v>
      </c>
      <c r="AC503" s="68">
        <f t="shared" si="377"/>
        <v>-3.0662688792572247E-5</v>
      </c>
    </row>
    <row r="504" spans="1:29" x14ac:dyDescent="0.25">
      <c r="A504" s="30" t="str">
        <f t="shared" si="375"/>
        <v>Capex costumization</v>
      </c>
      <c r="B504" s="66">
        <f>((1+B463)^B471)*B463/(((1+B463)^B471)-1)*(B461)/B475/(B472)</f>
        <v>5.0874587878184309E-4</v>
      </c>
      <c r="C504" s="66">
        <f t="shared" ref="C504:AC504" si="378">((1+C463)^C471)*C463/(((1+C463)^C471)-1)*(C461)/C475/(C472)</f>
        <v>5.0874587878184309E-4</v>
      </c>
      <c r="D504" s="66">
        <f t="shared" si="378"/>
        <v>5.0874587878184309E-4</v>
      </c>
      <c r="E504" s="66">
        <f t="shared" si="378"/>
        <v>5.0874587878184309E-4</v>
      </c>
      <c r="F504" s="66">
        <f t="shared" si="378"/>
        <v>5.0874587878184309E-4</v>
      </c>
      <c r="G504" s="66">
        <f t="shared" si="378"/>
        <v>5.0874587878184309E-4</v>
      </c>
      <c r="H504" s="66">
        <f t="shared" si="378"/>
        <v>5.0874587878184309E-4</v>
      </c>
      <c r="I504" s="66">
        <f t="shared" si="378"/>
        <v>5.0874587878184309E-4</v>
      </c>
      <c r="J504" s="66">
        <f t="shared" si="378"/>
        <v>5.0874587878184309E-4</v>
      </c>
      <c r="K504" s="66">
        <f t="shared" si="378"/>
        <v>5.0874587878184309E-4</v>
      </c>
      <c r="L504" s="66">
        <f t="shared" si="378"/>
        <v>5.0874587878184309E-4</v>
      </c>
      <c r="M504" s="66">
        <f t="shared" si="378"/>
        <v>5.0874587878184309E-4</v>
      </c>
      <c r="N504" s="66">
        <f t="shared" si="378"/>
        <v>5.0874587878184309E-4</v>
      </c>
      <c r="O504" s="66">
        <f t="shared" si="378"/>
        <v>5.0874587878184309E-4</v>
      </c>
      <c r="P504" s="66">
        <f t="shared" si="378"/>
        <v>5.0874587878184309E-4</v>
      </c>
      <c r="Q504" s="66">
        <f t="shared" si="378"/>
        <v>5.0874587878184309E-4</v>
      </c>
      <c r="R504" s="66">
        <f t="shared" si="378"/>
        <v>5.0874587878184309E-4</v>
      </c>
      <c r="S504" s="66">
        <f t="shared" si="378"/>
        <v>5.0874587878184309E-4</v>
      </c>
      <c r="T504" s="66">
        <f t="shared" si="378"/>
        <v>5.0874587878184309E-4</v>
      </c>
      <c r="U504" s="66">
        <f t="shared" si="378"/>
        <v>5.0874587878184309E-4</v>
      </c>
      <c r="V504" s="66">
        <f t="shared" si="378"/>
        <v>5.0874587878184309E-4</v>
      </c>
      <c r="W504" s="66">
        <f t="shared" si="378"/>
        <v>5.0874587878184309E-4</v>
      </c>
      <c r="X504" s="66">
        <f t="shared" si="378"/>
        <v>5.0874587878184309E-4</v>
      </c>
      <c r="Y504" s="66">
        <f t="shared" si="378"/>
        <v>5.0874587878184309E-4</v>
      </c>
      <c r="Z504" s="66">
        <f t="shared" si="378"/>
        <v>5.0874587878184309E-4</v>
      </c>
      <c r="AA504" s="66">
        <f t="shared" si="378"/>
        <v>5.0874587878184309E-4</v>
      </c>
      <c r="AB504" s="66">
        <f t="shared" si="378"/>
        <v>5.0874587878184309E-4</v>
      </c>
      <c r="AC504" s="66">
        <f t="shared" si="378"/>
        <v>5.0874587878184309E-4</v>
      </c>
    </row>
    <row r="505" spans="1:29" x14ac:dyDescent="0.25">
      <c r="A505" s="30" t="str">
        <f t="shared" si="375"/>
        <v>Residual value (costumization)</v>
      </c>
      <c r="B505" s="69">
        <f>((1+B463)^B471)*B463/(((1+B463)^B471)-1)*(B462)/B475/(B472)</f>
        <v>-2.5437293939092159E-5</v>
      </c>
      <c r="C505" s="69">
        <f t="shared" ref="C505:AC505" si="379">((1+C463)^C471)*C463/(((1+C463)^C471)-1)*(C462)/C475/(C472)</f>
        <v>-2.5437293939092159E-5</v>
      </c>
      <c r="D505" s="69">
        <f t="shared" si="379"/>
        <v>-2.5437293939092159E-5</v>
      </c>
      <c r="E505" s="69">
        <f t="shared" si="379"/>
        <v>-2.5437293939092159E-5</v>
      </c>
      <c r="F505" s="69">
        <f t="shared" si="379"/>
        <v>-2.5437293939092159E-5</v>
      </c>
      <c r="G505" s="69">
        <f t="shared" si="379"/>
        <v>-2.5437293939092159E-5</v>
      </c>
      <c r="H505" s="69">
        <f t="shared" si="379"/>
        <v>-2.5437293939092159E-5</v>
      </c>
      <c r="I505" s="69">
        <f t="shared" si="379"/>
        <v>-2.5437293939092159E-5</v>
      </c>
      <c r="J505" s="69">
        <f t="shared" si="379"/>
        <v>-2.5437293939092159E-5</v>
      </c>
      <c r="K505" s="69">
        <f t="shared" si="379"/>
        <v>-2.5437293939092159E-5</v>
      </c>
      <c r="L505" s="69">
        <f t="shared" si="379"/>
        <v>-2.5437293939092159E-5</v>
      </c>
      <c r="M505" s="69">
        <f t="shared" si="379"/>
        <v>-2.5437293939092159E-5</v>
      </c>
      <c r="N505" s="69">
        <f t="shared" si="379"/>
        <v>-2.5437293939092159E-5</v>
      </c>
      <c r="O505" s="69">
        <f t="shared" si="379"/>
        <v>-2.5437293939092159E-5</v>
      </c>
      <c r="P505" s="69">
        <f t="shared" si="379"/>
        <v>-2.5437293939092159E-5</v>
      </c>
      <c r="Q505" s="69">
        <f t="shared" si="379"/>
        <v>-2.5437293939092159E-5</v>
      </c>
      <c r="R505" s="69">
        <f t="shared" si="379"/>
        <v>-2.5437293939092159E-5</v>
      </c>
      <c r="S505" s="69">
        <f t="shared" si="379"/>
        <v>-2.5437293939092159E-5</v>
      </c>
      <c r="T505" s="69">
        <f t="shared" si="379"/>
        <v>-2.5437293939092159E-5</v>
      </c>
      <c r="U505" s="69">
        <f t="shared" si="379"/>
        <v>-2.5437293939092159E-5</v>
      </c>
      <c r="V505" s="69">
        <f t="shared" si="379"/>
        <v>-2.5437293939092159E-5</v>
      </c>
      <c r="W505" s="69">
        <f t="shared" si="379"/>
        <v>-2.5437293939092159E-5</v>
      </c>
      <c r="X505" s="69">
        <f t="shared" si="379"/>
        <v>-2.5437293939092159E-5</v>
      </c>
      <c r="Y505" s="69">
        <f t="shared" si="379"/>
        <v>-2.5437293939092159E-5</v>
      </c>
      <c r="Z505" s="69">
        <f t="shared" si="379"/>
        <v>-2.5437293939092159E-5</v>
      </c>
      <c r="AA505" s="69">
        <f t="shared" si="379"/>
        <v>-2.5437293939092159E-5</v>
      </c>
      <c r="AB505" s="69">
        <f t="shared" si="379"/>
        <v>-2.5437293939092159E-5</v>
      </c>
      <c r="AC505" s="69">
        <f t="shared" si="379"/>
        <v>-2.5437293939092159E-5</v>
      </c>
    </row>
    <row r="506" spans="1:29" x14ac:dyDescent="0.25">
      <c r="A506" s="30" t="str">
        <f t="shared" si="375"/>
        <v>Opex fix (admin, crew, insurance)</v>
      </c>
      <c r="B506" s="66">
        <f>B464/B475/(B472)</f>
        <v>1.3005202080832333E-3</v>
      </c>
      <c r="C506" s="66">
        <f t="shared" ref="C506:AC506" si="380">C464/C475/(C472)</f>
        <v>1.3005202080832333E-3</v>
      </c>
      <c r="D506" s="66">
        <f t="shared" si="380"/>
        <v>1.3005202080832333E-3</v>
      </c>
      <c r="E506" s="66">
        <f t="shared" si="380"/>
        <v>1.3005202080832333E-3</v>
      </c>
      <c r="F506" s="66">
        <f t="shared" si="380"/>
        <v>1.3005202080832333E-3</v>
      </c>
      <c r="G506" s="66">
        <f t="shared" si="380"/>
        <v>1.3005202080832333E-3</v>
      </c>
      <c r="H506" s="66">
        <f t="shared" si="380"/>
        <v>1.3005202080832333E-3</v>
      </c>
      <c r="I506" s="66">
        <f t="shared" si="380"/>
        <v>1.3005202080832333E-3</v>
      </c>
      <c r="J506" s="66">
        <f t="shared" si="380"/>
        <v>1.3005202080832333E-3</v>
      </c>
      <c r="K506" s="66">
        <f t="shared" si="380"/>
        <v>1.3005202080832333E-3</v>
      </c>
      <c r="L506" s="66">
        <f t="shared" si="380"/>
        <v>1.3005202080832333E-3</v>
      </c>
      <c r="M506" s="66">
        <f t="shared" si="380"/>
        <v>1.3005202080832333E-3</v>
      </c>
      <c r="N506" s="66">
        <f t="shared" si="380"/>
        <v>1.3005202080832333E-3</v>
      </c>
      <c r="O506" s="66">
        <f t="shared" si="380"/>
        <v>1.3005202080832333E-3</v>
      </c>
      <c r="P506" s="66">
        <f t="shared" si="380"/>
        <v>1.3005202080832333E-3</v>
      </c>
      <c r="Q506" s="66">
        <f t="shared" si="380"/>
        <v>1.3005202080832333E-3</v>
      </c>
      <c r="R506" s="66">
        <f t="shared" si="380"/>
        <v>1.3005202080832333E-3</v>
      </c>
      <c r="S506" s="66">
        <f t="shared" si="380"/>
        <v>1.3005202080832333E-3</v>
      </c>
      <c r="T506" s="66">
        <f t="shared" si="380"/>
        <v>1.3005202080832333E-3</v>
      </c>
      <c r="U506" s="66">
        <f t="shared" si="380"/>
        <v>1.3005202080832333E-3</v>
      </c>
      <c r="V506" s="66">
        <f t="shared" si="380"/>
        <v>1.3005202080832333E-3</v>
      </c>
      <c r="W506" s="66">
        <f t="shared" si="380"/>
        <v>1.3005202080832333E-3</v>
      </c>
      <c r="X506" s="66">
        <f t="shared" si="380"/>
        <v>1.3005202080832333E-3</v>
      </c>
      <c r="Y506" s="66">
        <f t="shared" si="380"/>
        <v>1.3005202080832333E-3</v>
      </c>
      <c r="Z506" s="66">
        <f t="shared" si="380"/>
        <v>1.3005202080832333E-3</v>
      </c>
      <c r="AA506" s="66">
        <f t="shared" si="380"/>
        <v>1.3005202080832333E-3</v>
      </c>
      <c r="AB506" s="66">
        <f t="shared" si="380"/>
        <v>1.3005202080832333E-3</v>
      </c>
      <c r="AC506" s="66">
        <f t="shared" si="380"/>
        <v>1.3005202080832333E-3</v>
      </c>
    </row>
    <row r="507" spans="1:29" x14ac:dyDescent="0.25">
      <c r="A507" s="30" t="str">
        <f t="shared" si="375"/>
        <v>Opex maintenance &amp; repair</v>
      </c>
      <c r="B507" s="66">
        <f>B465/B475/(B472)</f>
        <v>2.1008403361344541E-3</v>
      </c>
      <c r="C507" s="66">
        <f t="shared" ref="C507:AC507" si="381">C465/C475/(C472)</f>
        <v>2.1008403361344541E-3</v>
      </c>
      <c r="D507" s="66">
        <f t="shared" si="381"/>
        <v>2.1008403361344541E-3</v>
      </c>
      <c r="E507" s="66">
        <f t="shared" si="381"/>
        <v>2.1008403361344541E-3</v>
      </c>
      <c r="F507" s="66">
        <f t="shared" si="381"/>
        <v>2.1008403361344541E-3</v>
      </c>
      <c r="G507" s="66">
        <f t="shared" si="381"/>
        <v>2.1008403361344541E-3</v>
      </c>
      <c r="H507" s="66">
        <f t="shared" si="381"/>
        <v>2.1008403361344541E-3</v>
      </c>
      <c r="I507" s="66">
        <f t="shared" si="381"/>
        <v>2.1008403361344541E-3</v>
      </c>
      <c r="J507" s="66">
        <f t="shared" si="381"/>
        <v>2.1008403361344541E-3</v>
      </c>
      <c r="K507" s="66">
        <f t="shared" si="381"/>
        <v>2.1008403361344541E-3</v>
      </c>
      <c r="L507" s="66">
        <f t="shared" si="381"/>
        <v>2.1008403361344541E-3</v>
      </c>
      <c r="M507" s="66">
        <f t="shared" si="381"/>
        <v>2.1008403361344541E-3</v>
      </c>
      <c r="N507" s="66">
        <f t="shared" si="381"/>
        <v>2.1008403361344541E-3</v>
      </c>
      <c r="O507" s="66">
        <f t="shared" si="381"/>
        <v>2.1008403361344541E-3</v>
      </c>
      <c r="P507" s="66">
        <f t="shared" si="381"/>
        <v>2.1008403361344541E-3</v>
      </c>
      <c r="Q507" s="66">
        <f t="shared" si="381"/>
        <v>2.1008403361344541E-3</v>
      </c>
      <c r="R507" s="66">
        <f t="shared" si="381"/>
        <v>2.1008403361344541E-3</v>
      </c>
      <c r="S507" s="66">
        <f t="shared" si="381"/>
        <v>2.1008403361344541E-3</v>
      </c>
      <c r="T507" s="66">
        <f t="shared" si="381"/>
        <v>2.1008403361344541E-3</v>
      </c>
      <c r="U507" s="66">
        <f t="shared" si="381"/>
        <v>2.1008403361344541E-3</v>
      </c>
      <c r="V507" s="66">
        <f t="shared" si="381"/>
        <v>2.1008403361344541E-3</v>
      </c>
      <c r="W507" s="66">
        <f t="shared" si="381"/>
        <v>2.1008403361344541E-3</v>
      </c>
      <c r="X507" s="66">
        <f t="shared" si="381"/>
        <v>2.1008403361344541E-3</v>
      </c>
      <c r="Y507" s="66">
        <f t="shared" si="381"/>
        <v>2.1008403361344541E-3</v>
      </c>
      <c r="Z507" s="66">
        <f t="shared" si="381"/>
        <v>2.1008403361344541E-3</v>
      </c>
      <c r="AA507" s="66">
        <f t="shared" si="381"/>
        <v>2.1008403361344541E-3</v>
      </c>
      <c r="AB507" s="66">
        <f t="shared" si="381"/>
        <v>2.1008403361344541E-3</v>
      </c>
      <c r="AC507" s="66">
        <f t="shared" si="381"/>
        <v>2.1008403361344541E-3</v>
      </c>
    </row>
    <row r="508" spans="1:29" x14ac:dyDescent="0.25">
      <c r="A508" s="30" t="str">
        <f t="shared" si="375"/>
        <v>Opex var (mode-fees, shunting)</v>
      </c>
      <c r="B508" s="66">
        <f>B466*B475/B475/(B472)</f>
        <v>1.4005602240896359E-3</v>
      </c>
      <c r="C508" s="66">
        <f t="shared" ref="C508:AC508" si="382">C466*C475/C475/(C472)</f>
        <v>1.4005602240896359E-3</v>
      </c>
      <c r="D508" s="66">
        <f t="shared" si="382"/>
        <v>1.4005602240896359E-3</v>
      </c>
      <c r="E508" s="66">
        <f t="shared" si="382"/>
        <v>1.4005602240896359E-3</v>
      </c>
      <c r="F508" s="66">
        <f t="shared" si="382"/>
        <v>1.4005602240896359E-3</v>
      </c>
      <c r="G508" s="66">
        <f t="shared" si="382"/>
        <v>1.4005602240896359E-3</v>
      </c>
      <c r="H508" s="66">
        <f t="shared" si="382"/>
        <v>1.4005602240896359E-3</v>
      </c>
      <c r="I508" s="66">
        <f t="shared" si="382"/>
        <v>1.4005602240896359E-3</v>
      </c>
      <c r="J508" s="66">
        <f t="shared" si="382"/>
        <v>1.4005602240896359E-3</v>
      </c>
      <c r="K508" s="66">
        <f t="shared" si="382"/>
        <v>1.4005602240896359E-3</v>
      </c>
      <c r="L508" s="66">
        <f t="shared" si="382"/>
        <v>1.4005602240896359E-3</v>
      </c>
      <c r="M508" s="66">
        <f t="shared" si="382"/>
        <v>1.4005602240896359E-3</v>
      </c>
      <c r="N508" s="66">
        <f t="shared" si="382"/>
        <v>1.4005602240896359E-3</v>
      </c>
      <c r="O508" s="66">
        <f t="shared" si="382"/>
        <v>1.4005602240896359E-3</v>
      </c>
      <c r="P508" s="66">
        <f t="shared" si="382"/>
        <v>1.4005602240896359E-3</v>
      </c>
      <c r="Q508" s="66">
        <f t="shared" si="382"/>
        <v>1.4005602240896359E-3</v>
      </c>
      <c r="R508" s="66">
        <f t="shared" si="382"/>
        <v>1.4005602240896359E-3</v>
      </c>
      <c r="S508" s="66">
        <f t="shared" si="382"/>
        <v>1.4005602240896359E-3</v>
      </c>
      <c r="T508" s="66">
        <f t="shared" si="382"/>
        <v>1.4005602240896359E-3</v>
      </c>
      <c r="U508" s="66">
        <f t="shared" si="382"/>
        <v>1.4005602240896359E-3</v>
      </c>
      <c r="V508" s="66">
        <f t="shared" si="382"/>
        <v>1.4005602240896359E-3</v>
      </c>
      <c r="W508" s="66">
        <f t="shared" si="382"/>
        <v>1.4005602240896359E-3</v>
      </c>
      <c r="X508" s="66">
        <f t="shared" si="382"/>
        <v>1.4005602240896359E-3</v>
      </c>
      <c r="Y508" s="66">
        <f t="shared" si="382"/>
        <v>1.4005602240896359E-3</v>
      </c>
      <c r="Z508" s="66">
        <f t="shared" si="382"/>
        <v>1.4005602240896359E-3</v>
      </c>
      <c r="AA508" s="66">
        <f t="shared" si="382"/>
        <v>1.4005602240896359E-3</v>
      </c>
      <c r="AB508" s="66">
        <f t="shared" si="382"/>
        <v>1.4005602240896359E-3</v>
      </c>
      <c r="AC508" s="66">
        <f t="shared" si="382"/>
        <v>1.4005602240896359E-3</v>
      </c>
    </row>
    <row r="509" spans="1:29" x14ac:dyDescent="0.25">
      <c r="A509" s="30" t="str">
        <f t="shared" si="375"/>
        <v>Fuel Cost</v>
      </c>
      <c r="B509" s="66">
        <f>B467*B468*B475/B475/(B472)</f>
        <v>1.7769254478477103E-3</v>
      </c>
      <c r="C509" s="66">
        <f t="shared" ref="C509:AC509" si="383">C467*C468*C475/C475/(C472)</f>
        <v>1.7299582553935856E-3</v>
      </c>
      <c r="D509" s="66">
        <f t="shared" si="383"/>
        <v>1.6829910629394614E-3</v>
      </c>
      <c r="E509" s="66">
        <f t="shared" si="383"/>
        <v>1.6360238704853369E-3</v>
      </c>
      <c r="F509" s="66">
        <f t="shared" si="383"/>
        <v>1.5890566780312125E-3</v>
      </c>
      <c r="G509" s="66">
        <f t="shared" si="383"/>
        <v>1.5420894855770883E-3</v>
      </c>
      <c r="H509" s="66">
        <f t="shared" si="383"/>
        <v>1.4951222931229638E-3</v>
      </c>
      <c r="I509" s="66">
        <f t="shared" si="383"/>
        <v>1.4481551006688392E-3</v>
      </c>
      <c r="J509" s="66">
        <f t="shared" si="383"/>
        <v>1.4344563362030528E-3</v>
      </c>
      <c r="K509" s="66">
        <f t="shared" si="383"/>
        <v>1.4207575717372666E-3</v>
      </c>
      <c r="L509" s="66">
        <f t="shared" si="383"/>
        <v>1.4070588072714804E-3</v>
      </c>
      <c r="M509" s="66">
        <f t="shared" si="383"/>
        <v>1.3933600428056938E-3</v>
      </c>
      <c r="N509" s="66">
        <f t="shared" si="383"/>
        <v>1.3796612783399077E-3</v>
      </c>
      <c r="O509" s="66">
        <f t="shared" si="383"/>
        <v>1.3659625138741211E-3</v>
      </c>
      <c r="P509" s="66">
        <f t="shared" si="383"/>
        <v>1.3522637494083349E-3</v>
      </c>
      <c r="Q509" s="66">
        <f t="shared" si="383"/>
        <v>1.3385649849425487E-3</v>
      </c>
      <c r="R509" s="66">
        <f t="shared" si="383"/>
        <v>1.3248662204767621E-3</v>
      </c>
      <c r="S509" s="66">
        <f t="shared" si="383"/>
        <v>1.311167456010976E-3</v>
      </c>
      <c r="T509" s="66">
        <f t="shared" si="383"/>
        <v>1.2974686915451896E-3</v>
      </c>
      <c r="U509" s="66">
        <f t="shared" si="383"/>
        <v>1.2837699270794032E-3</v>
      </c>
      <c r="V509" s="66">
        <f t="shared" si="383"/>
        <v>1.2700711626136168E-3</v>
      </c>
      <c r="W509" s="66">
        <f t="shared" si="383"/>
        <v>1.2563723981478306E-3</v>
      </c>
      <c r="X509" s="66">
        <f t="shared" si="383"/>
        <v>1.2426736336820445E-3</v>
      </c>
      <c r="Y509" s="66">
        <f t="shared" si="383"/>
        <v>1.2289748692162581E-3</v>
      </c>
      <c r="Z509" s="66">
        <f t="shared" si="383"/>
        <v>1.2152761047504717E-3</v>
      </c>
      <c r="AA509" s="66">
        <f t="shared" si="383"/>
        <v>1.2015773402846855E-3</v>
      </c>
      <c r="AB509" s="66">
        <f t="shared" si="383"/>
        <v>1.1878785758188991E-3</v>
      </c>
      <c r="AC509" s="66">
        <f t="shared" si="383"/>
        <v>1.1741798113531128E-3</v>
      </c>
    </row>
    <row r="510" spans="1:29" x14ac:dyDescent="0.25">
      <c r="A510" s="59" t="str">
        <f>A473</f>
        <v>Market failure (av. utilization)</v>
      </c>
      <c r="B510" s="66">
        <f t="shared" ref="B510:AC510" si="384">B499/B473-B499/B472</f>
        <v>1.4728901620926023E-2</v>
      </c>
      <c r="C510" s="66">
        <f t="shared" si="384"/>
        <v>1.4638935593676796E-2</v>
      </c>
      <c r="D510" s="66">
        <f t="shared" si="384"/>
        <v>1.4549249181273212E-2</v>
      </c>
      <c r="E510" s="66">
        <f t="shared" si="384"/>
        <v>1.4459953680207256E-2</v>
      </c>
      <c r="F510" s="66">
        <f t="shared" si="384"/>
        <v>1.4371198102290416E-2</v>
      </c>
      <c r="G510" s="66">
        <f t="shared" si="384"/>
        <v>1.4283175011783479E-2</v>
      </c>
      <c r="H510" s="66">
        <f t="shared" si="384"/>
        <v>1.4196119730652868E-2</v>
      </c>
      <c r="I510" s="66">
        <f t="shared" si="384"/>
        <v>1.4110294458988133E-2</v>
      </c>
      <c r="J510" s="66">
        <f t="shared" si="384"/>
        <v>1.4090143452434463E-2</v>
      </c>
      <c r="K510" s="66">
        <f t="shared" si="384"/>
        <v>1.4071621907476888E-2</v>
      </c>
      <c r="L510" s="66">
        <f t="shared" si="384"/>
        <v>1.4054682693302147E-2</v>
      </c>
      <c r="M510" s="66">
        <f t="shared" si="384"/>
        <v>1.4038985190714847E-2</v>
      </c>
      <c r="N510" s="66">
        <f t="shared" si="384"/>
        <v>1.4023885685616038E-2</v>
      </c>
      <c r="O510" s="66">
        <f t="shared" si="384"/>
        <v>1.4008563132274731E-2</v>
      </c>
      <c r="P510" s="66">
        <f t="shared" si="384"/>
        <v>1.3992244080878506E-2</v>
      </c>
      <c r="Q510" s="66">
        <f t="shared" si="384"/>
        <v>1.3974406296564433E-2</v>
      </c>
      <c r="R510" s="66">
        <f t="shared" si="384"/>
        <v>1.3954856259197476E-2</v>
      </c>
      <c r="S510" s="66">
        <f t="shared" si="384"/>
        <v>1.3933674948943854E-2</v>
      </c>
      <c r="T510" s="66">
        <f t="shared" si="384"/>
        <v>1.3911102008543499E-2</v>
      </c>
      <c r="U510" s="66">
        <f t="shared" si="384"/>
        <v>1.3887428514947562E-2</v>
      </c>
      <c r="V510" s="66">
        <f t="shared" si="384"/>
        <v>1.3862929122184814E-2</v>
      </c>
      <c r="W510" s="66">
        <f t="shared" si="384"/>
        <v>1.3837831951339051E-2</v>
      </c>
      <c r="X510" s="66">
        <f t="shared" si="384"/>
        <v>1.3812312704543689E-2</v>
      </c>
      <c r="Y510" s="66">
        <f t="shared" si="384"/>
        <v>1.378650043032381E-2</v>
      </c>
      <c r="Z510" s="66">
        <f t="shared" si="384"/>
        <v>1.3760487037075643E-2</v>
      </c>
      <c r="AA510" s="66">
        <f t="shared" si="384"/>
        <v>1.3734336669965683E-2</v>
      </c>
      <c r="AB510" s="66">
        <f t="shared" si="384"/>
        <v>1.3708093500884026E-2</v>
      </c>
      <c r="AC510" s="66">
        <f t="shared" si="384"/>
        <v>1.3681787677245327E-2</v>
      </c>
    </row>
    <row r="511" spans="1:29" x14ac:dyDescent="0.25">
      <c r="A511" s="59" t="str">
        <f>A474</f>
        <v>Payload loss (fuel)</v>
      </c>
      <c r="B511" s="66">
        <f>B499/(B472-B474)-B499/B472</f>
        <v>0</v>
      </c>
      <c r="C511" s="66">
        <f t="shared" ref="C511:AC511" si="385">C499/(C472-C474)-C499/C472</f>
        <v>0</v>
      </c>
      <c r="D511" s="66">
        <f t="shared" si="385"/>
        <v>0</v>
      </c>
      <c r="E511" s="66">
        <f t="shared" si="385"/>
        <v>0</v>
      </c>
      <c r="F511" s="66">
        <f t="shared" si="385"/>
        <v>0</v>
      </c>
      <c r="G511" s="66">
        <f t="shared" si="385"/>
        <v>0</v>
      </c>
      <c r="H511" s="66">
        <f t="shared" si="385"/>
        <v>0</v>
      </c>
      <c r="I511" s="66">
        <f t="shared" si="385"/>
        <v>0</v>
      </c>
      <c r="J511" s="66">
        <f t="shared" si="385"/>
        <v>0</v>
      </c>
      <c r="K511" s="66">
        <f t="shared" si="385"/>
        <v>0</v>
      </c>
      <c r="L511" s="66">
        <f t="shared" si="385"/>
        <v>0</v>
      </c>
      <c r="M511" s="66">
        <f t="shared" si="385"/>
        <v>0</v>
      </c>
      <c r="N511" s="66">
        <f t="shared" si="385"/>
        <v>0</v>
      </c>
      <c r="O511" s="66">
        <f t="shared" si="385"/>
        <v>0</v>
      </c>
      <c r="P511" s="66">
        <f t="shared" si="385"/>
        <v>0</v>
      </c>
      <c r="Q511" s="66">
        <f t="shared" si="385"/>
        <v>0</v>
      </c>
      <c r="R511" s="66">
        <f t="shared" si="385"/>
        <v>0</v>
      </c>
      <c r="S511" s="66">
        <f t="shared" si="385"/>
        <v>0</v>
      </c>
      <c r="T511" s="66">
        <f t="shared" si="385"/>
        <v>0</v>
      </c>
      <c r="U511" s="66">
        <f t="shared" si="385"/>
        <v>0</v>
      </c>
      <c r="V511" s="66">
        <f t="shared" si="385"/>
        <v>0</v>
      </c>
      <c r="W511" s="66">
        <f t="shared" si="385"/>
        <v>0</v>
      </c>
      <c r="X511" s="66">
        <f t="shared" si="385"/>
        <v>0</v>
      </c>
      <c r="Y511" s="66">
        <f t="shared" si="385"/>
        <v>0</v>
      </c>
      <c r="Z511" s="66">
        <f t="shared" si="385"/>
        <v>0</v>
      </c>
      <c r="AA511" s="66">
        <f t="shared" si="385"/>
        <v>0</v>
      </c>
      <c r="AB511" s="66">
        <f t="shared" si="385"/>
        <v>0</v>
      </c>
      <c r="AC511" s="66">
        <f t="shared" si="385"/>
        <v>0</v>
      </c>
    </row>
    <row r="512" spans="1:29" ht="15.75" thickBot="1" x14ac:dyDescent="0.3">
      <c r="A512" s="59" t="str">
        <f>A449</f>
        <v>Emission Cost</v>
      </c>
      <c r="B512" s="69">
        <f>B469*B475/B475/(B472)</f>
        <v>0</v>
      </c>
      <c r="C512" s="69">
        <f t="shared" ref="C512:AC512" si="386">C469*C475/C475/(C472)</f>
        <v>0</v>
      </c>
      <c r="D512" s="69">
        <f t="shared" si="386"/>
        <v>0</v>
      </c>
      <c r="E512" s="69">
        <f t="shared" si="386"/>
        <v>0</v>
      </c>
      <c r="F512" s="69">
        <f t="shared" si="386"/>
        <v>0</v>
      </c>
      <c r="G512" s="69">
        <f t="shared" si="386"/>
        <v>0</v>
      </c>
      <c r="H512" s="69">
        <f t="shared" si="386"/>
        <v>0</v>
      </c>
      <c r="I512" s="69">
        <f t="shared" si="386"/>
        <v>0</v>
      </c>
      <c r="J512" s="69">
        <f t="shared" si="386"/>
        <v>0</v>
      </c>
      <c r="K512" s="69">
        <f t="shared" si="386"/>
        <v>0</v>
      </c>
      <c r="L512" s="69">
        <f t="shared" si="386"/>
        <v>0</v>
      </c>
      <c r="M512" s="69">
        <f t="shared" si="386"/>
        <v>0</v>
      </c>
      <c r="N512" s="69">
        <f t="shared" si="386"/>
        <v>0</v>
      </c>
      <c r="O512" s="69">
        <f t="shared" si="386"/>
        <v>0</v>
      </c>
      <c r="P512" s="69">
        <f t="shared" si="386"/>
        <v>0</v>
      </c>
      <c r="Q512" s="69">
        <f t="shared" si="386"/>
        <v>0</v>
      </c>
      <c r="R512" s="69">
        <f t="shared" si="386"/>
        <v>0</v>
      </c>
      <c r="S512" s="69">
        <f t="shared" si="386"/>
        <v>0</v>
      </c>
      <c r="T512" s="69">
        <f t="shared" si="386"/>
        <v>0</v>
      </c>
      <c r="U512" s="69">
        <f t="shared" si="386"/>
        <v>0</v>
      </c>
      <c r="V512" s="69">
        <f t="shared" si="386"/>
        <v>0</v>
      </c>
      <c r="W512" s="69">
        <f t="shared" si="386"/>
        <v>0</v>
      </c>
      <c r="X512" s="69">
        <f t="shared" si="386"/>
        <v>0</v>
      </c>
      <c r="Y512" s="69">
        <f t="shared" si="386"/>
        <v>0</v>
      </c>
      <c r="Z512" s="69">
        <f t="shared" si="386"/>
        <v>0</v>
      </c>
      <c r="AA512" s="69">
        <f t="shared" si="386"/>
        <v>0</v>
      </c>
      <c r="AB512" s="69">
        <f t="shared" si="386"/>
        <v>0</v>
      </c>
      <c r="AC512" s="69">
        <f t="shared" si="386"/>
        <v>0</v>
      </c>
    </row>
    <row r="513" spans="1:29" ht="15.75" thickBot="1" x14ac:dyDescent="0.3">
      <c r="A513" s="31" t="s">
        <v>210</v>
      </c>
      <c r="B513" s="67">
        <f>B502+B503+B504+B505+B506+B507+B508+B509+B510+B511+B512</f>
        <v>2.2310818156442702E-2</v>
      </c>
      <c r="C513" s="67">
        <f t="shared" ref="C513:AC513" si="387">C502+C503+C504+C505+C506+C507+C508+C509+C510+C511+C512</f>
        <v>2.2174230058392256E-2</v>
      </c>
      <c r="D513" s="67">
        <f t="shared" si="387"/>
        <v>2.2038066476807866E-2</v>
      </c>
      <c r="E513" s="67">
        <f t="shared" si="387"/>
        <v>2.1902496384096394E-2</v>
      </c>
      <c r="F513" s="67">
        <f t="shared" si="387"/>
        <v>2.1767746012765161E-2</v>
      </c>
      <c r="G513" s="67">
        <f t="shared" si="387"/>
        <v>2.1634107717461108E-2</v>
      </c>
      <c r="H513" s="67">
        <f t="shared" si="387"/>
        <v>2.1501938768376173E-2</v>
      </c>
      <c r="I513" s="67">
        <f t="shared" si="387"/>
        <v>2.1371637242569387E-2</v>
      </c>
      <c r="J513" s="67">
        <f t="shared" si="387"/>
        <v>2.1341043609137703E-2</v>
      </c>
      <c r="K513" s="67">
        <f t="shared" si="387"/>
        <v>2.1312923854647458E-2</v>
      </c>
      <c r="L513" s="67">
        <f t="shared" si="387"/>
        <v>2.1287206424220221E-2</v>
      </c>
      <c r="M513" s="67">
        <f t="shared" si="387"/>
        <v>2.1263374183450028E-2</v>
      </c>
      <c r="N513" s="67">
        <f t="shared" si="387"/>
        <v>2.1240449833603653E-2</v>
      </c>
      <c r="O513" s="67">
        <f t="shared" si="387"/>
        <v>2.1217186847761589E-2</v>
      </c>
      <c r="P513" s="67">
        <f t="shared" si="387"/>
        <v>2.1192410960014285E-2</v>
      </c>
      <c r="Q513" s="67">
        <f t="shared" si="387"/>
        <v>2.1165329303667005E-2</v>
      </c>
      <c r="R513" s="67">
        <f t="shared" si="387"/>
        <v>2.1135648072846729E-2</v>
      </c>
      <c r="S513" s="67">
        <f t="shared" si="387"/>
        <v>2.1103490213149931E-2</v>
      </c>
      <c r="T513" s="67">
        <f t="shared" si="387"/>
        <v>2.1069219554647373E-2</v>
      </c>
      <c r="U513" s="67">
        <f t="shared" si="387"/>
        <v>2.1033278015787145E-2</v>
      </c>
      <c r="V513" s="67">
        <f t="shared" si="387"/>
        <v>2.0996082581430743E-2</v>
      </c>
      <c r="W513" s="67">
        <f t="shared" si="387"/>
        <v>2.0957979589256007E-2</v>
      </c>
      <c r="X513" s="67">
        <f t="shared" si="387"/>
        <v>2.0919235793514054E-2</v>
      </c>
      <c r="Y513" s="67">
        <f t="shared" si="387"/>
        <v>2.0880047118079018E-2</v>
      </c>
      <c r="Z513" s="67">
        <f t="shared" si="387"/>
        <v>2.0840553099989695E-2</v>
      </c>
      <c r="AA513" s="67">
        <f t="shared" si="387"/>
        <v>2.0800851125632468E-2</v>
      </c>
      <c r="AB513" s="67">
        <f t="shared" si="387"/>
        <v>2.0761008257593517E-2</v>
      </c>
      <c r="AC513" s="67">
        <f t="shared" si="387"/>
        <v>2.0721070266239212E-2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87" zoomScale="70" zoomScaleNormal="7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Input'!$L$159</f>
        <v>5000000</v>
      </c>
      <c r="C11" s="42">
        <f>'Parameter Input'!$M$159</f>
        <v>5000000</v>
      </c>
      <c r="D11" s="1" t="s">
        <v>15</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Input'!$L$160</f>
        <v>-750000</v>
      </c>
      <c r="C12" s="61">
        <f>'Parameter Input'!$M$160</f>
        <v>-750000</v>
      </c>
      <c r="D12" s="1" t="s">
        <v>15</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Input'!$L$166</f>
        <v>0.06</v>
      </c>
      <c r="C15" s="46">
        <f>'Parameter Input'!$M$166</f>
        <v>0.06</v>
      </c>
      <c r="D15" s="1" t="s">
        <v>57</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Input'!$L$162</f>
        <v>650000</v>
      </c>
      <c r="C17" s="44">
        <f>'Parameter Input'!$M$162</f>
        <v>650000</v>
      </c>
      <c r="D17" s="1" t="s">
        <v>38</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Input'!$L$163</f>
        <v>31.614305882352937</v>
      </c>
      <c r="C19" s="48">
        <f>'Parameter Input'!$M$163</f>
        <v>31.614305882352937</v>
      </c>
      <c r="D19" s="1" t="s">
        <v>60</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Input'!$L$164</f>
        <v>0.13371034051801745</v>
      </c>
      <c r="C20" s="46">
        <f>'Parameter Input'!$M$164</f>
        <v>8.7585019329602734E-2</v>
      </c>
      <c r="D20" s="1" t="s">
        <v>68</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Input'!$L$167</f>
        <v>0</v>
      </c>
      <c r="C21" s="116">
        <f>'Parameter Input'!$M$167</f>
        <v>0</v>
      </c>
      <c r="D21" s="1" t="s">
        <v>76</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Input'!$L$161</f>
        <v>20</v>
      </c>
      <c r="C22" s="44">
        <f>'Parameter Input'!$M$161</f>
        <v>20</v>
      </c>
      <c r="D22" s="1" t="s">
        <v>42</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Input'!$L$165</f>
        <v>0</v>
      </c>
      <c r="C26" s="73">
        <f>'Parameter Input'!$M$165</f>
        <v>0</v>
      </c>
      <c r="D26" s="1" t="s">
        <v>57</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6">
        <f>'Parameter Input'!J4</f>
        <v>8.0999995899999996E-2</v>
      </c>
      <c r="C40" s="66">
        <f>'Parameter Input'!K4</f>
        <v>8.0999995899999996E-2</v>
      </c>
      <c r="D40" s="66">
        <f>'Parameter Input'!L4</f>
        <v>8.0999995899999996E-2</v>
      </c>
      <c r="E40" s="66">
        <f>'Parameter Input'!M4</f>
        <v>8.0999995899999996E-2</v>
      </c>
      <c r="F40" s="66">
        <f>'Parameter Input'!N4</f>
        <v>8.0999995899999996E-2</v>
      </c>
      <c r="G40" s="66">
        <f>'Parameter Input'!O4</f>
        <v>8.0999995899999996E-2</v>
      </c>
      <c r="H40" s="66">
        <f>'Parameter Input'!P4</f>
        <v>8.0999995899999996E-2</v>
      </c>
      <c r="I40" s="66">
        <f>'Parameter Input'!Q4</f>
        <v>8.0999995899999996E-2</v>
      </c>
      <c r="J40" s="66">
        <f>'Parameter Input'!R4</f>
        <v>8.3066662360000001E-2</v>
      </c>
      <c r="K40" s="66">
        <f>'Parameter Input'!S4</f>
        <v>8.5133328820000007E-2</v>
      </c>
      <c r="L40" s="66">
        <f>'Parameter Input'!T4</f>
        <v>8.7199995280000012E-2</v>
      </c>
      <c r="M40" s="66">
        <f>'Parameter Input'!U4</f>
        <v>8.9266661740000017E-2</v>
      </c>
      <c r="N40" s="66">
        <f>'Parameter Input'!V4</f>
        <v>9.1333328199999994E-2</v>
      </c>
      <c r="O40" s="66">
        <f>'Parameter Input'!W4</f>
        <v>9.046666162E-2</v>
      </c>
      <c r="P40" s="66">
        <f>'Parameter Input'!X4</f>
        <v>8.9599995039999991E-2</v>
      </c>
      <c r="Q40" s="66">
        <f>'Parameter Input'!Y4</f>
        <v>8.8733328459999983E-2</v>
      </c>
      <c r="R40" s="66">
        <f>'Parameter Input'!Z4</f>
        <v>8.7866661879999974E-2</v>
      </c>
      <c r="S40" s="66">
        <f>'Parameter Input'!AA4</f>
        <v>8.6999995299999994E-2</v>
      </c>
      <c r="T40" s="66">
        <f>'Parameter Input'!AB4</f>
        <v>8.6133328719999985E-2</v>
      </c>
      <c r="U40" s="66">
        <f>'Parameter Input'!AC4</f>
        <v>8.5266662139999991E-2</v>
      </c>
      <c r="V40" s="66">
        <f>'Parameter Input'!AD4</f>
        <v>8.4399995559999982E-2</v>
      </c>
      <c r="W40" s="66">
        <f>'Parameter Input'!AE4</f>
        <v>8.3533328979999974E-2</v>
      </c>
      <c r="X40" s="66">
        <f>'Parameter Input'!AF4</f>
        <v>8.2666662399999993E-2</v>
      </c>
      <c r="Y40" s="66">
        <f>'Parameter Input'!AG4</f>
        <v>8.1799995819999985E-2</v>
      </c>
      <c r="Z40" s="66">
        <f>'Parameter Input'!AH4</f>
        <v>8.093332923999999E-2</v>
      </c>
      <c r="AA40" s="66">
        <f>'Parameter Input'!AI4</f>
        <v>8.0066662659999982E-2</v>
      </c>
      <c r="AB40" s="66">
        <f>'Parameter Input'!AJ4</f>
        <v>7.9199996079999987E-2</v>
      </c>
      <c r="AC40" s="66">
        <f>'Parameter Input'!AK4</f>
        <v>7.8333329499999993E-2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0">((1+C35)^C42)*C35/(((1+C35)^C42)-1)*(C31)</f>
        <v>435922.78488425701</v>
      </c>
      <c r="D50" s="63">
        <f t="shared" si="50"/>
        <v>435922.78488425701</v>
      </c>
      <c r="E50" s="63">
        <f t="shared" si="50"/>
        <v>435922.78488425701</v>
      </c>
      <c r="F50" s="63">
        <f t="shared" si="50"/>
        <v>435922.78488425701</v>
      </c>
      <c r="G50" s="63">
        <f t="shared" si="50"/>
        <v>435922.78488425701</v>
      </c>
      <c r="H50" s="63">
        <f t="shared" si="50"/>
        <v>435922.78488425701</v>
      </c>
      <c r="I50" s="63">
        <f t="shared" si="50"/>
        <v>435922.78488425701</v>
      </c>
      <c r="J50" s="63">
        <f t="shared" si="50"/>
        <v>435922.78488425701</v>
      </c>
      <c r="K50" s="63">
        <f t="shared" si="50"/>
        <v>435922.78488425701</v>
      </c>
      <c r="L50" s="63">
        <f t="shared" si="50"/>
        <v>435922.78488425701</v>
      </c>
      <c r="M50" s="63">
        <f t="shared" si="50"/>
        <v>435922.78488425701</v>
      </c>
      <c r="N50" s="63">
        <f t="shared" si="50"/>
        <v>435922.78488425701</v>
      </c>
      <c r="O50" s="63">
        <f t="shared" si="50"/>
        <v>435922.78488425701</v>
      </c>
      <c r="P50" s="63">
        <f t="shared" si="50"/>
        <v>435922.78488425701</v>
      </c>
      <c r="Q50" s="63">
        <f t="shared" si="50"/>
        <v>435922.78488425701</v>
      </c>
      <c r="R50" s="63">
        <f t="shared" si="50"/>
        <v>435922.78488425701</v>
      </c>
      <c r="S50" s="63">
        <f t="shared" si="50"/>
        <v>435922.78488425701</v>
      </c>
      <c r="T50" s="63">
        <f t="shared" si="50"/>
        <v>435922.78488425701</v>
      </c>
      <c r="U50" s="63">
        <f t="shared" si="50"/>
        <v>435922.78488425701</v>
      </c>
      <c r="V50" s="63">
        <f t="shared" si="50"/>
        <v>435922.78488425701</v>
      </c>
      <c r="W50" s="63">
        <f t="shared" si="50"/>
        <v>435922.78488425701</v>
      </c>
      <c r="X50" s="63">
        <f t="shared" si="50"/>
        <v>435922.78488425701</v>
      </c>
      <c r="Y50" s="63">
        <f t="shared" si="50"/>
        <v>435922.78488425701</v>
      </c>
      <c r="Z50" s="63">
        <f t="shared" si="50"/>
        <v>435922.78488425701</v>
      </c>
      <c r="AA50" s="63">
        <f t="shared" si="50"/>
        <v>435922.78488425701</v>
      </c>
      <c r="AB50" s="63">
        <f t="shared" si="50"/>
        <v>435922.78488425701</v>
      </c>
      <c r="AC50" s="63">
        <f t="shared" si="50"/>
        <v>435922.78488425701</v>
      </c>
    </row>
    <row r="51" spans="1:29" x14ac:dyDescent="0.25">
      <c r="A51" s="30" t="str">
        <f>A32</f>
        <v>Residual value (vehicle)</v>
      </c>
      <c r="B51" s="62">
        <f>((1+B35)^B42)*B35/(((1+B35)^B42)-1)*(B32)</f>
        <v>-65388.417732638554</v>
      </c>
      <c r="C51" s="62">
        <f t="shared" ref="C51:AC51" si="51">((1+C35)^C42)*C35/(((1+C35)^C42)-1)*(C32)</f>
        <v>-65388.417732638554</v>
      </c>
      <c r="D51" s="62">
        <f t="shared" si="51"/>
        <v>-65388.417732638554</v>
      </c>
      <c r="E51" s="62">
        <f t="shared" si="51"/>
        <v>-65388.417732638554</v>
      </c>
      <c r="F51" s="62">
        <f t="shared" si="51"/>
        <v>-65388.417732638554</v>
      </c>
      <c r="G51" s="62">
        <f t="shared" si="51"/>
        <v>-65388.417732638554</v>
      </c>
      <c r="H51" s="62">
        <f t="shared" si="51"/>
        <v>-65388.417732638554</v>
      </c>
      <c r="I51" s="62">
        <f t="shared" si="51"/>
        <v>-65388.417732638554</v>
      </c>
      <c r="J51" s="62">
        <f t="shared" si="51"/>
        <v>-65388.417732638554</v>
      </c>
      <c r="K51" s="62">
        <f t="shared" si="51"/>
        <v>-65388.417732638554</v>
      </c>
      <c r="L51" s="62">
        <f t="shared" si="51"/>
        <v>-65388.417732638554</v>
      </c>
      <c r="M51" s="62">
        <f t="shared" si="51"/>
        <v>-65388.417732638554</v>
      </c>
      <c r="N51" s="62">
        <f t="shared" si="51"/>
        <v>-65388.417732638554</v>
      </c>
      <c r="O51" s="62">
        <f t="shared" si="51"/>
        <v>-65388.417732638554</v>
      </c>
      <c r="P51" s="62">
        <f t="shared" si="51"/>
        <v>-65388.417732638554</v>
      </c>
      <c r="Q51" s="62">
        <f t="shared" si="51"/>
        <v>-65388.417732638554</v>
      </c>
      <c r="R51" s="62">
        <f t="shared" si="51"/>
        <v>-65388.417732638554</v>
      </c>
      <c r="S51" s="62">
        <f t="shared" si="51"/>
        <v>-65388.417732638554</v>
      </c>
      <c r="T51" s="62">
        <f t="shared" si="51"/>
        <v>-65388.417732638554</v>
      </c>
      <c r="U51" s="62">
        <f t="shared" si="51"/>
        <v>-65388.417732638554</v>
      </c>
      <c r="V51" s="62">
        <f t="shared" si="51"/>
        <v>-65388.417732638554</v>
      </c>
      <c r="W51" s="62">
        <f t="shared" si="51"/>
        <v>-65388.417732638554</v>
      </c>
      <c r="X51" s="62">
        <f t="shared" si="51"/>
        <v>-65388.417732638554</v>
      </c>
      <c r="Y51" s="62">
        <f t="shared" si="51"/>
        <v>-65388.417732638554</v>
      </c>
      <c r="Z51" s="62">
        <f t="shared" si="51"/>
        <v>-65388.417732638554</v>
      </c>
      <c r="AA51" s="62">
        <f t="shared" si="51"/>
        <v>-65388.417732638554</v>
      </c>
      <c r="AB51" s="62">
        <f t="shared" si="51"/>
        <v>-65388.417732638554</v>
      </c>
      <c r="AC51" s="62">
        <f t="shared" si="51"/>
        <v>-65388.417732638554</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650000</v>
      </c>
      <c r="C55" s="62">
        <f t="shared" si="55"/>
        <v>650000</v>
      </c>
      <c r="D55" s="62">
        <f t="shared" si="55"/>
        <v>650000</v>
      </c>
      <c r="E55" s="62">
        <f t="shared" si="55"/>
        <v>650000</v>
      </c>
      <c r="F55" s="62">
        <f t="shared" si="55"/>
        <v>650000</v>
      </c>
      <c r="G55" s="62">
        <f t="shared" si="55"/>
        <v>650000</v>
      </c>
      <c r="H55" s="62">
        <f t="shared" si="55"/>
        <v>650000</v>
      </c>
      <c r="I55" s="62">
        <f t="shared" si="55"/>
        <v>650000</v>
      </c>
      <c r="J55" s="62">
        <f t="shared" si="55"/>
        <v>650000</v>
      </c>
      <c r="K55" s="62">
        <f t="shared" si="55"/>
        <v>650000</v>
      </c>
      <c r="L55" s="62">
        <f t="shared" si="55"/>
        <v>650000</v>
      </c>
      <c r="M55" s="62">
        <f t="shared" si="55"/>
        <v>650000</v>
      </c>
      <c r="N55" s="62">
        <f t="shared" si="55"/>
        <v>650000</v>
      </c>
      <c r="O55" s="62">
        <f t="shared" si="55"/>
        <v>650000</v>
      </c>
      <c r="P55" s="62">
        <f t="shared" si="55"/>
        <v>650000</v>
      </c>
      <c r="Q55" s="62">
        <f t="shared" si="55"/>
        <v>650000</v>
      </c>
      <c r="R55" s="62">
        <f t="shared" si="55"/>
        <v>650000</v>
      </c>
      <c r="S55" s="62">
        <f t="shared" si="55"/>
        <v>650000</v>
      </c>
      <c r="T55" s="62">
        <f t="shared" si="55"/>
        <v>650000</v>
      </c>
      <c r="U55" s="62">
        <f t="shared" si="55"/>
        <v>650000</v>
      </c>
      <c r="V55" s="62">
        <f t="shared" si="55"/>
        <v>650000</v>
      </c>
      <c r="W55" s="62">
        <f t="shared" si="55"/>
        <v>650000</v>
      </c>
      <c r="X55" s="62">
        <f t="shared" si="55"/>
        <v>650000</v>
      </c>
      <c r="Y55" s="62">
        <f t="shared" si="55"/>
        <v>650000</v>
      </c>
      <c r="Z55" s="62">
        <f t="shared" si="55"/>
        <v>650000</v>
      </c>
      <c r="AA55" s="62">
        <f t="shared" si="55"/>
        <v>650000</v>
      </c>
      <c r="AB55" s="62">
        <f t="shared" si="55"/>
        <v>650000</v>
      </c>
      <c r="AC55" s="62">
        <f t="shared" si="55"/>
        <v>650000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457095.41846307018</v>
      </c>
      <c r="C57" s="62">
        <f t="shared" ref="C57:AC57" si="57">C39*C40*C47</f>
        <v>457095.41846307018</v>
      </c>
      <c r="D57" s="62">
        <f t="shared" si="57"/>
        <v>457095.41846307018</v>
      </c>
      <c r="E57" s="62">
        <f t="shared" si="57"/>
        <v>457095.41846307018</v>
      </c>
      <c r="F57" s="62">
        <f t="shared" si="57"/>
        <v>457095.41846307018</v>
      </c>
      <c r="G57" s="62">
        <f t="shared" si="57"/>
        <v>457095.41846307018</v>
      </c>
      <c r="H57" s="62">
        <f t="shared" si="57"/>
        <v>457095.41846307018</v>
      </c>
      <c r="I57" s="62">
        <f t="shared" si="57"/>
        <v>457095.41846307018</v>
      </c>
      <c r="J57" s="62">
        <f t="shared" si="57"/>
        <v>468757.93473681842</v>
      </c>
      <c r="K57" s="62">
        <f t="shared" si="57"/>
        <v>480420.45101056673</v>
      </c>
      <c r="L57" s="62">
        <f t="shared" si="57"/>
        <v>492082.96728431497</v>
      </c>
      <c r="M57" s="62">
        <f t="shared" si="57"/>
        <v>503745.48355806334</v>
      </c>
      <c r="N57" s="62">
        <f t="shared" si="57"/>
        <v>515407.99983181141</v>
      </c>
      <c r="O57" s="62">
        <f t="shared" si="57"/>
        <v>510517.26720088476</v>
      </c>
      <c r="P57" s="62">
        <f t="shared" si="57"/>
        <v>505626.53456995805</v>
      </c>
      <c r="Q57" s="62">
        <f t="shared" si="57"/>
        <v>500735.80193903128</v>
      </c>
      <c r="R57" s="62">
        <f t="shared" si="57"/>
        <v>495845.06930810458</v>
      </c>
      <c r="S57" s="62">
        <f t="shared" si="57"/>
        <v>490954.33667717798</v>
      </c>
      <c r="T57" s="62">
        <f t="shared" si="57"/>
        <v>486063.60404625122</v>
      </c>
      <c r="U57" s="62">
        <f t="shared" si="57"/>
        <v>481172.87141532457</v>
      </c>
      <c r="V57" s="62">
        <f t="shared" si="57"/>
        <v>476282.13878439786</v>
      </c>
      <c r="W57" s="62">
        <f t="shared" si="57"/>
        <v>471391.40615347109</v>
      </c>
      <c r="X57" s="62">
        <f t="shared" si="57"/>
        <v>466500.67352254456</v>
      </c>
      <c r="Y57" s="62">
        <f t="shared" si="57"/>
        <v>461609.94089161785</v>
      </c>
      <c r="Z57" s="62">
        <f t="shared" si="57"/>
        <v>456719.20826069114</v>
      </c>
      <c r="AA57" s="62">
        <f t="shared" si="57"/>
        <v>451828.47562976438</v>
      </c>
      <c r="AB57" s="62">
        <f t="shared" si="57"/>
        <v>446937.74299883778</v>
      </c>
      <c r="AC57" s="62">
        <f t="shared" si="57"/>
        <v>442047.01036791113</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209</v>
      </c>
      <c r="B59" s="64">
        <f>B50+B51+B52+B53+B54+B55+B56+B57+B58</f>
        <v>3117498.9424599772</v>
      </c>
      <c r="C59" s="64">
        <f t="shared" ref="C59:AC59" si="59">C50+C51+C52+C53+C54+C55+C56+C57+C58</f>
        <v>3117498.9424599772</v>
      </c>
      <c r="D59" s="64">
        <f t="shared" si="59"/>
        <v>3117498.9424599772</v>
      </c>
      <c r="E59" s="64">
        <f t="shared" si="59"/>
        <v>3117498.9424599772</v>
      </c>
      <c r="F59" s="64">
        <f t="shared" si="59"/>
        <v>3117498.9424599772</v>
      </c>
      <c r="G59" s="64">
        <f t="shared" si="59"/>
        <v>3117498.9424599772</v>
      </c>
      <c r="H59" s="64">
        <f t="shared" si="59"/>
        <v>3117498.9424599772</v>
      </c>
      <c r="I59" s="64">
        <f t="shared" si="59"/>
        <v>3117498.9424599772</v>
      </c>
      <c r="J59" s="64">
        <f t="shared" si="59"/>
        <v>3129161.4587337254</v>
      </c>
      <c r="K59" s="64">
        <f t="shared" si="59"/>
        <v>3140823.9750074735</v>
      </c>
      <c r="L59" s="64">
        <f t="shared" si="59"/>
        <v>3152486.4912812216</v>
      </c>
      <c r="M59" s="64">
        <f t="shared" si="59"/>
        <v>3164149.0075549702</v>
      </c>
      <c r="N59" s="64">
        <f t="shared" si="59"/>
        <v>3175811.5238287183</v>
      </c>
      <c r="O59" s="64">
        <f t="shared" si="59"/>
        <v>3170920.7911977917</v>
      </c>
      <c r="P59" s="64">
        <f t="shared" si="59"/>
        <v>3166030.058566865</v>
      </c>
      <c r="Q59" s="64">
        <f t="shared" si="59"/>
        <v>3161139.3259359379</v>
      </c>
      <c r="R59" s="64">
        <f t="shared" si="59"/>
        <v>3156248.5933050113</v>
      </c>
      <c r="S59" s="64">
        <f t="shared" si="59"/>
        <v>3151357.8606740846</v>
      </c>
      <c r="T59" s="64">
        <f t="shared" si="59"/>
        <v>3146467.128043158</v>
      </c>
      <c r="U59" s="64">
        <f t="shared" si="59"/>
        <v>3141576.3954122313</v>
      </c>
      <c r="V59" s="64">
        <f t="shared" si="59"/>
        <v>3136685.6627813047</v>
      </c>
      <c r="W59" s="64">
        <f t="shared" si="59"/>
        <v>3131794.930150378</v>
      </c>
      <c r="X59" s="64">
        <f t="shared" si="59"/>
        <v>3126904.1975194514</v>
      </c>
      <c r="Y59" s="64">
        <f t="shared" si="59"/>
        <v>3122013.4648885247</v>
      </c>
      <c r="Z59" s="64">
        <f t="shared" si="59"/>
        <v>3117122.7322575981</v>
      </c>
      <c r="AA59" s="64">
        <f t="shared" si="59"/>
        <v>3112231.999626671</v>
      </c>
      <c r="AB59" s="64">
        <f t="shared" si="59"/>
        <v>3107341.2669957448</v>
      </c>
      <c r="AC59" s="64">
        <f t="shared" si="59"/>
        <v>3102450.5343648181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2.4421444531330927</v>
      </c>
      <c r="C62" s="65">
        <f t="shared" ref="C62:AC62" si="61">((1+C35)^C42)*C35/(((1+C35)^C42)-1)*(C31)/C47</f>
        <v>2.4421444531330927</v>
      </c>
      <c r="D62" s="65">
        <f t="shared" si="61"/>
        <v>2.4421444531330927</v>
      </c>
      <c r="E62" s="65">
        <f t="shared" si="61"/>
        <v>2.4421444531330927</v>
      </c>
      <c r="F62" s="65">
        <f t="shared" si="61"/>
        <v>2.4421444531330927</v>
      </c>
      <c r="G62" s="65">
        <f t="shared" si="61"/>
        <v>2.4421444531330927</v>
      </c>
      <c r="H62" s="65">
        <f t="shared" si="61"/>
        <v>2.4421444531330927</v>
      </c>
      <c r="I62" s="65">
        <f t="shared" si="61"/>
        <v>2.4421444531330927</v>
      </c>
      <c r="J62" s="65">
        <f t="shared" si="61"/>
        <v>2.4421444531330927</v>
      </c>
      <c r="K62" s="65">
        <f t="shared" si="61"/>
        <v>2.4421444531330927</v>
      </c>
      <c r="L62" s="65">
        <f t="shared" si="61"/>
        <v>2.4421444531330927</v>
      </c>
      <c r="M62" s="65">
        <f t="shared" si="61"/>
        <v>2.4421444531330927</v>
      </c>
      <c r="N62" s="65">
        <f t="shared" si="61"/>
        <v>2.4421444531330927</v>
      </c>
      <c r="O62" s="65">
        <f t="shared" si="61"/>
        <v>2.4421444531330927</v>
      </c>
      <c r="P62" s="65">
        <f t="shared" si="61"/>
        <v>2.4421444531330927</v>
      </c>
      <c r="Q62" s="65">
        <f t="shared" si="61"/>
        <v>2.4421444531330927</v>
      </c>
      <c r="R62" s="65">
        <f t="shared" si="61"/>
        <v>2.4421444531330927</v>
      </c>
      <c r="S62" s="65">
        <f t="shared" si="61"/>
        <v>2.4421444531330927</v>
      </c>
      <c r="T62" s="65">
        <f t="shared" si="61"/>
        <v>2.4421444531330927</v>
      </c>
      <c r="U62" s="65">
        <f t="shared" si="61"/>
        <v>2.4421444531330927</v>
      </c>
      <c r="V62" s="65">
        <f t="shared" si="61"/>
        <v>2.4421444531330927</v>
      </c>
      <c r="W62" s="65">
        <f t="shared" si="61"/>
        <v>2.4421444531330927</v>
      </c>
      <c r="X62" s="65">
        <f t="shared" si="61"/>
        <v>2.4421444531330927</v>
      </c>
      <c r="Y62" s="65">
        <f t="shared" si="61"/>
        <v>2.4421444531330927</v>
      </c>
      <c r="Z62" s="65">
        <f t="shared" si="61"/>
        <v>2.4421444531330927</v>
      </c>
      <c r="AA62" s="65">
        <f t="shared" si="61"/>
        <v>2.4421444531330927</v>
      </c>
      <c r="AB62" s="65">
        <f t="shared" si="61"/>
        <v>2.4421444531330927</v>
      </c>
      <c r="AC62" s="65">
        <f t="shared" si="61"/>
        <v>2.4421444531330927</v>
      </c>
    </row>
    <row r="63" spans="1:29" x14ac:dyDescent="0.25">
      <c r="A63" s="30" t="str">
        <f t="shared" si="60"/>
        <v>Residual value (vehicle)</v>
      </c>
      <c r="B63" s="66">
        <f>((1+B35)^B42)*B35/(((1+B35)^B42)-1)*(B32)/B47</f>
        <v>-0.3663216679699639</v>
      </c>
      <c r="C63" s="66">
        <f t="shared" ref="C63:AC63" si="62">((1+C35)^C42)*C35/(((1+C35)^C42)-1)*(C32)/C47</f>
        <v>-0.3663216679699639</v>
      </c>
      <c r="D63" s="66">
        <f t="shared" si="62"/>
        <v>-0.3663216679699639</v>
      </c>
      <c r="E63" s="66">
        <f t="shared" si="62"/>
        <v>-0.3663216679699639</v>
      </c>
      <c r="F63" s="66">
        <f t="shared" si="62"/>
        <v>-0.3663216679699639</v>
      </c>
      <c r="G63" s="66">
        <f t="shared" si="62"/>
        <v>-0.3663216679699639</v>
      </c>
      <c r="H63" s="66">
        <f t="shared" si="62"/>
        <v>-0.3663216679699639</v>
      </c>
      <c r="I63" s="66">
        <f t="shared" si="62"/>
        <v>-0.3663216679699639</v>
      </c>
      <c r="J63" s="66">
        <f t="shared" si="62"/>
        <v>-0.3663216679699639</v>
      </c>
      <c r="K63" s="66">
        <f t="shared" si="62"/>
        <v>-0.3663216679699639</v>
      </c>
      <c r="L63" s="66">
        <f t="shared" si="62"/>
        <v>-0.3663216679699639</v>
      </c>
      <c r="M63" s="66">
        <f t="shared" si="62"/>
        <v>-0.3663216679699639</v>
      </c>
      <c r="N63" s="66">
        <f t="shared" si="62"/>
        <v>-0.3663216679699639</v>
      </c>
      <c r="O63" s="66">
        <f t="shared" si="62"/>
        <v>-0.3663216679699639</v>
      </c>
      <c r="P63" s="66">
        <f t="shared" si="62"/>
        <v>-0.3663216679699639</v>
      </c>
      <c r="Q63" s="66">
        <f t="shared" si="62"/>
        <v>-0.3663216679699639</v>
      </c>
      <c r="R63" s="66">
        <f t="shared" si="62"/>
        <v>-0.3663216679699639</v>
      </c>
      <c r="S63" s="66">
        <f t="shared" si="62"/>
        <v>-0.3663216679699639</v>
      </c>
      <c r="T63" s="66">
        <f t="shared" si="62"/>
        <v>-0.3663216679699639</v>
      </c>
      <c r="U63" s="66">
        <f t="shared" si="62"/>
        <v>-0.3663216679699639</v>
      </c>
      <c r="V63" s="66">
        <f t="shared" si="62"/>
        <v>-0.3663216679699639</v>
      </c>
      <c r="W63" s="66">
        <f t="shared" si="62"/>
        <v>-0.3663216679699639</v>
      </c>
      <c r="X63" s="66">
        <f t="shared" si="62"/>
        <v>-0.3663216679699639</v>
      </c>
      <c r="Y63" s="66">
        <f t="shared" si="62"/>
        <v>-0.3663216679699639</v>
      </c>
      <c r="Z63" s="66">
        <f t="shared" si="62"/>
        <v>-0.3663216679699639</v>
      </c>
      <c r="AA63" s="66">
        <f t="shared" si="62"/>
        <v>-0.3663216679699639</v>
      </c>
      <c r="AB63" s="66">
        <f t="shared" si="62"/>
        <v>-0.3663216679699639</v>
      </c>
      <c r="AC63" s="66">
        <f t="shared" si="62"/>
        <v>-0.3663216679699639</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3.6414565826330532</v>
      </c>
      <c r="C67" s="66">
        <f t="shared" ref="C67:AC67" si="66">C37/C47</f>
        <v>3.6414565826330532</v>
      </c>
      <c r="D67" s="66">
        <f t="shared" si="66"/>
        <v>3.6414565826330532</v>
      </c>
      <c r="E67" s="66">
        <f t="shared" si="66"/>
        <v>3.6414565826330532</v>
      </c>
      <c r="F67" s="66">
        <f t="shared" si="66"/>
        <v>3.6414565826330532</v>
      </c>
      <c r="G67" s="66">
        <f t="shared" si="66"/>
        <v>3.6414565826330532</v>
      </c>
      <c r="H67" s="66">
        <f t="shared" si="66"/>
        <v>3.6414565826330532</v>
      </c>
      <c r="I67" s="66">
        <f t="shared" si="66"/>
        <v>3.6414565826330532</v>
      </c>
      <c r="J67" s="66">
        <f t="shared" si="66"/>
        <v>3.6414565826330532</v>
      </c>
      <c r="K67" s="66">
        <f t="shared" si="66"/>
        <v>3.6414565826330532</v>
      </c>
      <c r="L67" s="66">
        <f t="shared" si="66"/>
        <v>3.6414565826330532</v>
      </c>
      <c r="M67" s="66">
        <f t="shared" si="66"/>
        <v>3.6414565826330532</v>
      </c>
      <c r="N67" s="66">
        <f t="shared" si="66"/>
        <v>3.6414565826330532</v>
      </c>
      <c r="O67" s="66">
        <f t="shared" si="66"/>
        <v>3.6414565826330532</v>
      </c>
      <c r="P67" s="66">
        <f t="shared" si="66"/>
        <v>3.6414565826330532</v>
      </c>
      <c r="Q67" s="66">
        <f t="shared" si="66"/>
        <v>3.6414565826330532</v>
      </c>
      <c r="R67" s="66">
        <f t="shared" si="66"/>
        <v>3.6414565826330532</v>
      </c>
      <c r="S67" s="66">
        <f t="shared" si="66"/>
        <v>3.6414565826330532</v>
      </c>
      <c r="T67" s="66">
        <f t="shared" si="66"/>
        <v>3.6414565826330532</v>
      </c>
      <c r="U67" s="66">
        <f t="shared" si="66"/>
        <v>3.6414565826330532</v>
      </c>
      <c r="V67" s="66">
        <f t="shared" si="66"/>
        <v>3.6414565826330532</v>
      </c>
      <c r="W67" s="66">
        <f t="shared" si="66"/>
        <v>3.6414565826330532</v>
      </c>
      <c r="X67" s="66">
        <f t="shared" si="66"/>
        <v>3.6414565826330532</v>
      </c>
      <c r="Y67" s="66">
        <f t="shared" si="66"/>
        <v>3.6414565826330532</v>
      </c>
      <c r="Z67" s="66">
        <f t="shared" si="66"/>
        <v>3.6414565826330532</v>
      </c>
      <c r="AA67" s="66">
        <f t="shared" si="66"/>
        <v>3.6414565826330532</v>
      </c>
      <c r="AB67" s="66">
        <f t="shared" si="66"/>
        <v>3.6414565826330532</v>
      </c>
      <c r="AC67" s="66">
        <f t="shared" si="66"/>
        <v>3.6414565826330532</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2.5607586468519337</v>
      </c>
      <c r="C69" s="66">
        <f t="shared" ref="C69:AC69" si="68">C39*C40*C47/C47</f>
        <v>2.5607586468519337</v>
      </c>
      <c r="D69" s="66">
        <f t="shared" si="68"/>
        <v>2.5607586468519337</v>
      </c>
      <c r="E69" s="66">
        <f t="shared" si="68"/>
        <v>2.5607586468519337</v>
      </c>
      <c r="F69" s="66">
        <f t="shared" si="68"/>
        <v>2.5607586468519337</v>
      </c>
      <c r="G69" s="66">
        <f t="shared" si="68"/>
        <v>2.5607586468519337</v>
      </c>
      <c r="H69" s="66">
        <f t="shared" si="68"/>
        <v>2.5607586468519337</v>
      </c>
      <c r="I69" s="66">
        <f t="shared" si="68"/>
        <v>2.5607586468519337</v>
      </c>
      <c r="J69" s="66">
        <f t="shared" si="68"/>
        <v>2.6260948724751731</v>
      </c>
      <c r="K69" s="66">
        <f t="shared" si="68"/>
        <v>2.6914310980984131</v>
      </c>
      <c r="L69" s="66">
        <f t="shared" si="68"/>
        <v>2.7567673237216526</v>
      </c>
      <c r="M69" s="66">
        <f t="shared" si="68"/>
        <v>2.8221035493448925</v>
      </c>
      <c r="N69" s="66">
        <f t="shared" si="68"/>
        <v>2.8874397749681311</v>
      </c>
      <c r="O69" s="66">
        <f t="shared" si="68"/>
        <v>2.8600407126099987</v>
      </c>
      <c r="P69" s="66">
        <f t="shared" si="68"/>
        <v>2.8326416502518659</v>
      </c>
      <c r="Q69" s="66">
        <f t="shared" si="68"/>
        <v>2.8052425878937326</v>
      </c>
      <c r="R69" s="66">
        <f t="shared" si="68"/>
        <v>2.7778435255355998</v>
      </c>
      <c r="S69" s="66">
        <f t="shared" si="68"/>
        <v>2.7504444631774678</v>
      </c>
      <c r="T69" s="66">
        <f t="shared" si="68"/>
        <v>2.7230454008193345</v>
      </c>
      <c r="U69" s="66">
        <f t="shared" si="68"/>
        <v>2.6956463384612022</v>
      </c>
      <c r="V69" s="66">
        <f t="shared" si="68"/>
        <v>2.6682472761030693</v>
      </c>
      <c r="W69" s="66">
        <f t="shared" si="68"/>
        <v>2.6408482137449361</v>
      </c>
      <c r="X69" s="66">
        <f t="shared" si="68"/>
        <v>2.6134491513868041</v>
      </c>
      <c r="Y69" s="66">
        <f t="shared" si="68"/>
        <v>2.5860500890286713</v>
      </c>
      <c r="Z69" s="66">
        <f t="shared" si="68"/>
        <v>2.5586510266705385</v>
      </c>
      <c r="AA69" s="66">
        <f t="shared" si="68"/>
        <v>2.5312519643124056</v>
      </c>
      <c r="AB69" s="66">
        <f t="shared" si="68"/>
        <v>2.5038529019542732</v>
      </c>
      <c r="AC69" s="66">
        <f t="shared" si="68"/>
        <v>2.4764538395961408</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63</v>
      </c>
      <c r="B71" s="76">
        <f>B62+B63+B64-B65+B66+B67+B68+B69+B70</f>
        <v>17.635918685074493</v>
      </c>
      <c r="C71" s="76">
        <f t="shared" ref="C71:AC71" si="71">C62+C63+C64-C65+C66+C67+C68+C69+C70</f>
        <v>17.635918685074493</v>
      </c>
      <c r="D71" s="76">
        <f t="shared" si="71"/>
        <v>17.635918685074493</v>
      </c>
      <c r="E71" s="76">
        <f t="shared" si="71"/>
        <v>17.635918685074493</v>
      </c>
      <c r="F71" s="76">
        <f t="shared" si="71"/>
        <v>17.635918685074493</v>
      </c>
      <c r="G71" s="76">
        <f t="shared" si="71"/>
        <v>17.635918685074493</v>
      </c>
      <c r="H71" s="76">
        <f t="shared" si="71"/>
        <v>17.635918685074493</v>
      </c>
      <c r="I71" s="76">
        <f t="shared" si="71"/>
        <v>17.635918685074493</v>
      </c>
      <c r="J71" s="76">
        <f t="shared" si="71"/>
        <v>17.701254910697731</v>
      </c>
      <c r="K71" s="76">
        <f t="shared" si="71"/>
        <v>17.766591136320972</v>
      </c>
      <c r="L71" s="76">
        <f t="shared" si="71"/>
        <v>17.83192736194421</v>
      </c>
      <c r="M71" s="76">
        <f t="shared" si="71"/>
        <v>17.897263587567451</v>
      </c>
      <c r="N71" s="76">
        <f t="shared" si="71"/>
        <v>17.962599813190689</v>
      </c>
      <c r="O71" s="76">
        <f t="shared" si="71"/>
        <v>17.935200750832557</v>
      </c>
      <c r="P71" s="76">
        <f t="shared" si="71"/>
        <v>17.907801688474425</v>
      </c>
      <c r="Q71" s="76">
        <f t="shared" si="71"/>
        <v>17.88040262611629</v>
      </c>
      <c r="R71" s="76">
        <f t="shared" si="71"/>
        <v>17.853003563758158</v>
      </c>
      <c r="S71" s="76">
        <f t="shared" si="71"/>
        <v>17.825604501400026</v>
      </c>
      <c r="T71" s="76">
        <f t="shared" si="71"/>
        <v>17.798205439041894</v>
      </c>
      <c r="U71" s="76">
        <f t="shared" si="71"/>
        <v>17.770806376683758</v>
      </c>
      <c r="V71" s="76">
        <f t="shared" si="71"/>
        <v>17.743407314325626</v>
      </c>
      <c r="W71" s="76">
        <f t="shared" si="71"/>
        <v>17.716008251967494</v>
      </c>
      <c r="X71" s="76">
        <f t="shared" si="71"/>
        <v>17.688609189609362</v>
      </c>
      <c r="Y71" s="76">
        <f t="shared" si="71"/>
        <v>17.661210127251231</v>
      </c>
      <c r="Z71" s="76">
        <f t="shared" si="71"/>
        <v>17.633811064893095</v>
      </c>
      <c r="AA71" s="76">
        <f t="shared" si="71"/>
        <v>17.606412002534963</v>
      </c>
      <c r="AB71" s="76">
        <f t="shared" si="71"/>
        <v>17.579012940176831</v>
      </c>
      <c r="AC71" s="76">
        <f t="shared" si="71"/>
        <v>17.551613877818699</v>
      </c>
    </row>
    <row r="72" spans="1:29" ht="15.75" thickBot="1" x14ac:dyDescent="0.3"/>
    <row r="73" spans="1:29" ht="15.75" thickBot="1" x14ac:dyDescent="0.3">
      <c r="A73" s="26" t="s">
        <v>208</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25">
      <c r="A74" s="29" t="str">
        <f t="shared" ref="A74:A81" si="72">A50</f>
        <v>Capex vehicle</v>
      </c>
      <c r="B74" s="65">
        <f>((1+B35)^B42)*B35/(((1+B35)^B42)-1)*(B31)/B47/(B44)</f>
        <v>1.0902430594344164E-3</v>
      </c>
      <c r="C74" s="65">
        <f t="shared" ref="C74:AC74" si="73">((1+C35)^C42)*C35/(((1+C35)^C42)-1)*(C31)/C47/(C44)</f>
        <v>1.0902430594344164E-3</v>
      </c>
      <c r="D74" s="65">
        <f t="shared" si="73"/>
        <v>1.0902430594344164E-3</v>
      </c>
      <c r="E74" s="65">
        <f t="shared" si="73"/>
        <v>1.0902430594344164E-3</v>
      </c>
      <c r="F74" s="65">
        <f t="shared" si="73"/>
        <v>1.0902430594344164E-3</v>
      </c>
      <c r="G74" s="65">
        <f t="shared" si="73"/>
        <v>1.0902430594344164E-3</v>
      </c>
      <c r="H74" s="65">
        <f t="shared" si="73"/>
        <v>1.0902430594344164E-3</v>
      </c>
      <c r="I74" s="65">
        <f t="shared" si="73"/>
        <v>1.0902430594344164E-3</v>
      </c>
      <c r="J74" s="65">
        <f t="shared" si="73"/>
        <v>1.0902430594344164E-3</v>
      </c>
      <c r="K74" s="65">
        <f t="shared" si="73"/>
        <v>1.0902430594344164E-3</v>
      </c>
      <c r="L74" s="65">
        <f t="shared" si="73"/>
        <v>1.0902430594344164E-3</v>
      </c>
      <c r="M74" s="65">
        <f t="shared" si="73"/>
        <v>1.0902430594344164E-3</v>
      </c>
      <c r="N74" s="65">
        <f t="shared" si="73"/>
        <v>1.0902430594344164E-3</v>
      </c>
      <c r="O74" s="65">
        <f t="shared" si="73"/>
        <v>1.0902430594344164E-3</v>
      </c>
      <c r="P74" s="65">
        <f t="shared" si="73"/>
        <v>1.0902430594344164E-3</v>
      </c>
      <c r="Q74" s="65">
        <f t="shared" si="73"/>
        <v>1.0902430594344164E-3</v>
      </c>
      <c r="R74" s="65">
        <f t="shared" si="73"/>
        <v>1.0902430594344164E-3</v>
      </c>
      <c r="S74" s="65">
        <f t="shared" si="73"/>
        <v>1.0902430594344164E-3</v>
      </c>
      <c r="T74" s="65">
        <f t="shared" si="73"/>
        <v>1.0902430594344164E-3</v>
      </c>
      <c r="U74" s="65">
        <f t="shared" si="73"/>
        <v>1.0902430594344164E-3</v>
      </c>
      <c r="V74" s="65">
        <f t="shared" si="73"/>
        <v>1.0902430594344164E-3</v>
      </c>
      <c r="W74" s="65">
        <f t="shared" si="73"/>
        <v>1.0902430594344164E-3</v>
      </c>
      <c r="X74" s="65">
        <f t="shared" si="73"/>
        <v>1.0902430594344164E-3</v>
      </c>
      <c r="Y74" s="65">
        <f t="shared" si="73"/>
        <v>1.0902430594344164E-3</v>
      </c>
      <c r="Z74" s="65">
        <f t="shared" si="73"/>
        <v>1.0902430594344164E-3</v>
      </c>
      <c r="AA74" s="65">
        <f t="shared" si="73"/>
        <v>1.0902430594344164E-3</v>
      </c>
      <c r="AB74" s="65">
        <f t="shared" si="73"/>
        <v>1.0902430594344164E-3</v>
      </c>
      <c r="AC74" s="65">
        <f t="shared" si="73"/>
        <v>1.0902430594344164E-3</v>
      </c>
    </row>
    <row r="75" spans="1:29" x14ac:dyDescent="0.25">
      <c r="A75" s="30" t="str">
        <f t="shared" si="72"/>
        <v>Residual value (vehicle)</v>
      </c>
      <c r="B75" s="68">
        <f>((1+B35)^B42)*B35/(((1+B35)^B42)-1)*(B32)/B47/(B44)</f>
        <v>-1.6353645891516245E-4</v>
      </c>
      <c r="C75" s="68">
        <f t="shared" ref="C75:AC75" si="74">((1+C35)^C42)*C35/(((1+C35)^C42)-1)*(C32)/C47/(C44)</f>
        <v>-1.6353645891516245E-4</v>
      </c>
      <c r="D75" s="68">
        <f t="shared" si="74"/>
        <v>-1.6353645891516245E-4</v>
      </c>
      <c r="E75" s="68">
        <f t="shared" si="74"/>
        <v>-1.6353645891516245E-4</v>
      </c>
      <c r="F75" s="68">
        <f t="shared" si="74"/>
        <v>-1.6353645891516245E-4</v>
      </c>
      <c r="G75" s="68">
        <f t="shared" si="74"/>
        <v>-1.6353645891516245E-4</v>
      </c>
      <c r="H75" s="68">
        <f t="shared" si="74"/>
        <v>-1.6353645891516245E-4</v>
      </c>
      <c r="I75" s="68">
        <f t="shared" si="74"/>
        <v>-1.6353645891516245E-4</v>
      </c>
      <c r="J75" s="68">
        <f t="shared" si="74"/>
        <v>-1.6353645891516245E-4</v>
      </c>
      <c r="K75" s="68">
        <f t="shared" si="74"/>
        <v>-1.6353645891516245E-4</v>
      </c>
      <c r="L75" s="68">
        <f t="shared" si="74"/>
        <v>-1.6353645891516245E-4</v>
      </c>
      <c r="M75" s="68">
        <f t="shared" si="74"/>
        <v>-1.6353645891516245E-4</v>
      </c>
      <c r="N75" s="68">
        <f t="shared" si="74"/>
        <v>-1.6353645891516245E-4</v>
      </c>
      <c r="O75" s="68">
        <f t="shared" si="74"/>
        <v>-1.6353645891516245E-4</v>
      </c>
      <c r="P75" s="68">
        <f t="shared" si="74"/>
        <v>-1.6353645891516245E-4</v>
      </c>
      <c r="Q75" s="68">
        <f t="shared" si="74"/>
        <v>-1.6353645891516245E-4</v>
      </c>
      <c r="R75" s="68">
        <f t="shared" si="74"/>
        <v>-1.6353645891516245E-4</v>
      </c>
      <c r="S75" s="68">
        <f t="shared" si="74"/>
        <v>-1.6353645891516245E-4</v>
      </c>
      <c r="T75" s="68">
        <f t="shared" si="74"/>
        <v>-1.6353645891516245E-4</v>
      </c>
      <c r="U75" s="68">
        <f t="shared" si="74"/>
        <v>-1.6353645891516245E-4</v>
      </c>
      <c r="V75" s="68">
        <f t="shared" si="74"/>
        <v>-1.6353645891516245E-4</v>
      </c>
      <c r="W75" s="68">
        <f t="shared" si="74"/>
        <v>-1.6353645891516245E-4</v>
      </c>
      <c r="X75" s="68">
        <f t="shared" si="74"/>
        <v>-1.6353645891516245E-4</v>
      </c>
      <c r="Y75" s="68">
        <f t="shared" si="74"/>
        <v>-1.6353645891516245E-4</v>
      </c>
      <c r="Z75" s="68">
        <f t="shared" si="74"/>
        <v>-1.6353645891516245E-4</v>
      </c>
      <c r="AA75" s="68">
        <f t="shared" si="74"/>
        <v>-1.6353645891516245E-4</v>
      </c>
      <c r="AB75" s="68">
        <f t="shared" si="74"/>
        <v>-1.6353645891516245E-4</v>
      </c>
      <c r="AC75" s="68">
        <f t="shared" si="74"/>
        <v>-1.6353645891516245E-4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1.6256502601040416E-3</v>
      </c>
      <c r="C79" s="66">
        <f t="shared" ref="C79:AC79" si="78">C37/C47/(C44)</f>
        <v>1.6256502601040416E-3</v>
      </c>
      <c r="D79" s="66">
        <f t="shared" si="78"/>
        <v>1.6256502601040416E-3</v>
      </c>
      <c r="E79" s="66">
        <f t="shared" si="78"/>
        <v>1.6256502601040416E-3</v>
      </c>
      <c r="F79" s="66">
        <f t="shared" si="78"/>
        <v>1.6256502601040416E-3</v>
      </c>
      <c r="G79" s="66">
        <f t="shared" si="78"/>
        <v>1.6256502601040416E-3</v>
      </c>
      <c r="H79" s="66">
        <f t="shared" si="78"/>
        <v>1.6256502601040416E-3</v>
      </c>
      <c r="I79" s="66">
        <f t="shared" si="78"/>
        <v>1.6256502601040416E-3</v>
      </c>
      <c r="J79" s="66">
        <f t="shared" si="78"/>
        <v>1.6256502601040416E-3</v>
      </c>
      <c r="K79" s="66">
        <f t="shared" si="78"/>
        <v>1.6256502601040416E-3</v>
      </c>
      <c r="L79" s="66">
        <f t="shared" si="78"/>
        <v>1.6256502601040416E-3</v>
      </c>
      <c r="M79" s="66">
        <f t="shared" si="78"/>
        <v>1.6256502601040416E-3</v>
      </c>
      <c r="N79" s="66">
        <f t="shared" si="78"/>
        <v>1.6256502601040416E-3</v>
      </c>
      <c r="O79" s="66">
        <f t="shared" si="78"/>
        <v>1.6256502601040416E-3</v>
      </c>
      <c r="P79" s="66">
        <f t="shared" si="78"/>
        <v>1.6256502601040416E-3</v>
      </c>
      <c r="Q79" s="66">
        <f t="shared" si="78"/>
        <v>1.6256502601040416E-3</v>
      </c>
      <c r="R79" s="66">
        <f t="shared" si="78"/>
        <v>1.6256502601040416E-3</v>
      </c>
      <c r="S79" s="66">
        <f t="shared" si="78"/>
        <v>1.6256502601040416E-3</v>
      </c>
      <c r="T79" s="66">
        <f t="shared" si="78"/>
        <v>1.6256502601040416E-3</v>
      </c>
      <c r="U79" s="66">
        <f t="shared" si="78"/>
        <v>1.6256502601040416E-3</v>
      </c>
      <c r="V79" s="66">
        <f t="shared" si="78"/>
        <v>1.6256502601040416E-3</v>
      </c>
      <c r="W79" s="66">
        <f t="shared" si="78"/>
        <v>1.6256502601040416E-3</v>
      </c>
      <c r="X79" s="66">
        <f t="shared" si="78"/>
        <v>1.6256502601040416E-3</v>
      </c>
      <c r="Y79" s="66">
        <f t="shared" si="78"/>
        <v>1.6256502601040416E-3</v>
      </c>
      <c r="Z79" s="66">
        <f t="shared" si="78"/>
        <v>1.6256502601040416E-3</v>
      </c>
      <c r="AA79" s="66">
        <f t="shared" si="78"/>
        <v>1.6256502601040416E-3</v>
      </c>
      <c r="AB79" s="66">
        <f t="shared" si="78"/>
        <v>1.6256502601040416E-3</v>
      </c>
      <c r="AC79" s="66">
        <f t="shared" si="78"/>
        <v>1.6256502601040416E-3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1.1431958244874703E-3</v>
      </c>
      <c r="C81" s="66">
        <f t="shared" ref="C81:AC81" si="80">C39*C40*C47/C47/(C44)</f>
        <v>1.1431958244874703E-3</v>
      </c>
      <c r="D81" s="66">
        <f t="shared" si="80"/>
        <v>1.1431958244874703E-3</v>
      </c>
      <c r="E81" s="66">
        <f t="shared" si="80"/>
        <v>1.1431958244874703E-3</v>
      </c>
      <c r="F81" s="66">
        <f t="shared" si="80"/>
        <v>1.1431958244874703E-3</v>
      </c>
      <c r="G81" s="66">
        <f t="shared" si="80"/>
        <v>1.1431958244874703E-3</v>
      </c>
      <c r="H81" s="66">
        <f t="shared" si="80"/>
        <v>1.1431958244874703E-3</v>
      </c>
      <c r="I81" s="66">
        <f t="shared" si="80"/>
        <v>1.1431958244874703E-3</v>
      </c>
      <c r="J81" s="66">
        <f t="shared" si="80"/>
        <v>1.1723637823549879E-3</v>
      </c>
      <c r="K81" s="66">
        <f t="shared" si="80"/>
        <v>1.2015317402225059E-3</v>
      </c>
      <c r="L81" s="66">
        <f t="shared" si="80"/>
        <v>1.2306996980900235E-3</v>
      </c>
      <c r="M81" s="66">
        <f t="shared" si="80"/>
        <v>1.2598676559575413E-3</v>
      </c>
      <c r="N81" s="66">
        <f t="shared" si="80"/>
        <v>1.2890356138250585E-3</v>
      </c>
      <c r="O81" s="66">
        <f t="shared" si="80"/>
        <v>1.2768038895580351E-3</v>
      </c>
      <c r="P81" s="66">
        <f t="shared" si="80"/>
        <v>1.2645721652910116E-3</v>
      </c>
      <c r="Q81" s="66">
        <f t="shared" si="80"/>
        <v>1.2523404410239877E-3</v>
      </c>
      <c r="R81" s="66">
        <f t="shared" si="80"/>
        <v>1.2401087167569641E-3</v>
      </c>
      <c r="S81" s="66">
        <f t="shared" si="80"/>
        <v>1.2278769924899411E-3</v>
      </c>
      <c r="T81" s="66">
        <f t="shared" si="80"/>
        <v>1.2156452682229172E-3</v>
      </c>
      <c r="U81" s="66">
        <f t="shared" si="80"/>
        <v>1.2034135439558937E-3</v>
      </c>
      <c r="V81" s="66">
        <f t="shared" si="80"/>
        <v>1.1911818196888703E-3</v>
      </c>
      <c r="W81" s="66">
        <f t="shared" si="80"/>
        <v>1.1789500954218464E-3</v>
      </c>
      <c r="X81" s="66">
        <f t="shared" si="80"/>
        <v>1.1667183711548232E-3</v>
      </c>
      <c r="Y81" s="66">
        <f t="shared" si="80"/>
        <v>1.1544866468877998E-3</v>
      </c>
      <c r="Z81" s="66">
        <f t="shared" si="80"/>
        <v>1.1422549226207761E-3</v>
      </c>
      <c r="AA81" s="66">
        <f t="shared" si="80"/>
        <v>1.1300231983537524E-3</v>
      </c>
      <c r="AB81" s="66">
        <f t="shared" si="80"/>
        <v>1.1177914740867292E-3</v>
      </c>
      <c r="AC81" s="66">
        <f t="shared" si="80"/>
        <v>1.1055597498197058E-3</v>
      </c>
    </row>
    <row r="82" spans="1:29" x14ac:dyDescent="0.25">
      <c r="A82" s="59" t="str">
        <f>A45</f>
        <v>Market failure (av. utilization)</v>
      </c>
      <c r="B82" s="66">
        <f t="shared" ref="B82:AC82" si="81">B71/B45-B71/B44</f>
        <v>4.4286626162296418E-3</v>
      </c>
      <c r="C82" s="66">
        <f t="shared" si="81"/>
        <v>4.4286626162296418E-3</v>
      </c>
      <c r="D82" s="66">
        <f t="shared" si="81"/>
        <v>4.4286626162296418E-3</v>
      </c>
      <c r="E82" s="66">
        <f t="shared" si="81"/>
        <v>4.4286626162296418E-3</v>
      </c>
      <c r="F82" s="66">
        <f t="shared" si="81"/>
        <v>4.4286626162296418E-3</v>
      </c>
      <c r="G82" s="66">
        <f t="shared" si="81"/>
        <v>4.4286626162296418E-3</v>
      </c>
      <c r="H82" s="66">
        <f t="shared" si="81"/>
        <v>4.4286626162296418E-3</v>
      </c>
      <c r="I82" s="66">
        <f t="shared" si="81"/>
        <v>4.4286626162296418E-3</v>
      </c>
      <c r="J82" s="66">
        <f t="shared" si="81"/>
        <v>4.4450695925301216E-3</v>
      </c>
      <c r="K82" s="66">
        <f t="shared" si="81"/>
        <v>4.4614765688305996E-3</v>
      </c>
      <c r="L82" s="66">
        <f t="shared" si="81"/>
        <v>4.4778835451310794E-3</v>
      </c>
      <c r="M82" s="66">
        <f t="shared" si="81"/>
        <v>4.4942905214315574E-3</v>
      </c>
      <c r="N82" s="66">
        <f t="shared" si="81"/>
        <v>4.5106974977320354E-3</v>
      </c>
      <c r="O82" s="66">
        <f t="shared" si="81"/>
        <v>4.5038171528318342E-3</v>
      </c>
      <c r="P82" s="66">
        <f t="shared" si="81"/>
        <v>4.496936807931633E-3</v>
      </c>
      <c r="Q82" s="66">
        <f t="shared" si="81"/>
        <v>4.4900564630314336E-3</v>
      </c>
      <c r="R82" s="66">
        <f t="shared" si="81"/>
        <v>4.4831761181312324E-3</v>
      </c>
      <c r="S82" s="66">
        <f t="shared" si="81"/>
        <v>4.4762957732310312E-3</v>
      </c>
      <c r="T82" s="66">
        <f t="shared" si="81"/>
        <v>4.4694154283308318E-3</v>
      </c>
      <c r="U82" s="66">
        <f t="shared" si="81"/>
        <v>4.4625350834306288E-3</v>
      </c>
      <c r="V82" s="66">
        <f t="shared" si="81"/>
        <v>4.4556547385304294E-3</v>
      </c>
      <c r="W82" s="66">
        <f t="shared" si="81"/>
        <v>4.4487743936302299E-3</v>
      </c>
      <c r="X82" s="66">
        <f t="shared" si="81"/>
        <v>4.4418940487300287E-3</v>
      </c>
      <c r="Y82" s="66">
        <f t="shared" si="81"/>
        <v>4.4350137038298276E-3</v>
      </c>
      <c r="Z82" s="66">
        <f t="shared" si="81"/>
        <v>4.4281333589296264E-3</v>
      </c>
      <c r="AA82" s="66">
        <f t="shared" si="81"/>
        <v>4.4212530140294269E-3</v>
      </c>
      <c r="AB82" s="66">
        <f t="shared" si="81"/>
        <v>4.4143726691292257E-3</v>
      </c>
      <c r="AC82" s="66">
        <f t="shared" si="81"/>
        <v>4.4074923242290245E-3</v>
      </c>
    </row>
    <row r="83" spans="1:29" x14ac:dyDescent="0.25">
      <c r="A83" s="59" t="str">
        <f>A46</f>
        <v>Payload loss (fuel)</v>
      </c>
      <c r="B83" s="66">
        <f>B71/(B44-B46)-B71/B44</f>
        <v>0</v>
      </c>
      <c r="C83" s="66">
        <f t="shared" ref="C83:AC83" si="82">C71/(C44-C46)-C71/C44</f>
        <v>0</v>
      </c>
      <c r="D83" s="66">
        <f t="shared" si="82"/>
        <v>0</v>
      </c>
      <c r="E83" s="66">
        <f t="shared" si="82"/>
        <v>0</v>
      </c>
      <c r="F83" s="66">
        <f t="shared" si="82"/>
        <v>0</v>
      </c>
      <c r="G83" s="66">
        <f t="shared" si="82"/>
        <v>0</v>
      </c>
      <c r="H83" s="66">
        <f t="shared" si="82"/>
        <v>0</v>
      </c>
      <c r="I83" s="66">
        <f t="shared" si="82"/>
        <v>0</v>
      </c>
      <c r="J83" s="66">
        <f t="shared" si="82"/>
        <v>0</v>
      </c>
      <c r="K83" s="66">
        <f t="shared" si="82"/>
        <v>0</v>
      </c>
      <c r="L83" s="66">
        <f t="shared" si="82"/>
        <v>0</v>
      </c>
      <c r="M83" s="66">
        <f t="shared" si="82"/>
        <v>0</v>
      </c>
      <c r="N83" s="66">
        <f t="shared" si="82"/>
        <v>0</v>
      </c>
      <c r="O83" s="66">
        <f t="shared" si="82"/>
        <v>0</v>
      </c>
      <c r="P83" s="66">
        <f t="shared" si="82"/>
        <v>0</v>
      </c>
      <c r="Q83" s="66">
        <f t="shared" si="82"/>
        <v>0</v>
      </c>
      <c r="R83" s="66">
        <f t="shared" si="82"/>
        <v>0</v>
      </c>
      <c r="S83" s="66">
        <f t="shared" si="82"/>
        <v>0</v>
      </c>
      <c r="T83" s="66">
        <f t="shared" si="82"/>
        <v>0</v>
      </c>
      <c r="U83" s="66">
        <f t="shared" si="82"/>
        <v>0</v>
      </c>
      <c r="V83" s="66">
        <f t="shared" si="82"/>
        <v>0</v>
      </c>
      <c r="W83" s="66">
        <f t="shared" si="82"/>
        <v>0</v>
      </c>
      <c r="X83" s="66">
        <f t="shared" si="82"/>
        <v>0</v>
      </c>
      <c r="Y83" s="66">
        <f t="shared" si="82"/>
        <v>0</v>
      </c>
      <c r="Z83" s="66">
        <f t="shared" si="82"/>
        <v>0</v>
      </c>
      <c r="AA83" s="66">
        <f t="shared" si="82"/>
        <v>0</v>
      </c>
      <c r="AB83" s="66">
        <f t="shared" si="82"/>
        <v>0</v>
      </c>
      <c r="AC83" s="66">
        <f t="shared" si="82"/>
        <v>0</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210</v>
      </c>
      <c r="B85" s="76">
        <f>B74+B75+B76+B77+B78+B79+B80+B81+B82+B83+B84</f>
        <v>1.222552871882062E-2</v>
      </c>
      <c r="C85" s="76">
        <f t="shared" ref="C85:AC85" si="84">C74+C75+C76+C77+C78+C79+C80+C81+C82+C83+C84</f>
        <v>1.222552871882062E-2</v>
      </c>
      <c r="D85" s="76">
        <f t="shared" si="84"/>
        <v>1.222552871882062E-2</v>
      </c>
      <c r="E85" s="76">
        <f t="shared" si="84"/>
        <v>1.222552871882062E-2</v>
      </c>
      <c r="F85" s="76">
        <f t="shared" si="84"/>
        <v>1.222552871882062E-2</v>
      </c>
      <c r="G85" s="76">
        <f t="shared" si="84"/>
        <v>1.222552871882062E-2</v>
      </c>
      <c r="H85" s="76">
        <f t="shared" si="84"/>
        <v>1.222552871882062E-2</v>
      </c>
      <c r="I85" s="76">
        <f t="shared" si="84"/>
        <v>1.222552871882062E-2</v>
      </c>
      <c r="J85" s="76">
        <f t="shared" si="84"/>
        <v>1.2271103652988618E-2</v>
      </c>
      <c r="K85" s="76">
        <f t="shared" si="84"/>
        <v>1.2316678587156614E-2</v>
      </c>
      <c r="L85" s="76">
        <f t="shared" si="84"/>
        <v>1.2362253521324612E-2</v>
      </c>
      <c r="M85" s="76">
        <f t="shared" si="84"/>
        <v>1.2407828455492606E-2</v>
      </c>
      <c r="N85" s="76">
        <f t="shared" si="84"/>
        <v>1.2453403389660602E-2</v>
      </c>
      <c r="O85" s="76">
        <f t="shared" si="84"/>
        <v>1.2434291320493378E-2</v>
      </c>
      <c r="P85" s="76">
        <f t="shared" si="84"/>
        <v>1.2415179251326153E-2</v>
      </c>
      <c r="Q85" s="76">
        <f t="shared" si="84"/>
        <v>1.239606718215893E-2</v>
      </c>
      <c r="R85" s="76">
        <f t="shared" si="84"/>
        <v>1.2376955112991705E-2</v>
      </c>
      <c r="S85" s="76">
        <f t="shared" si="84"/>
        <v>1.2357843043824481E-2</v>
      </c>
      <c r="T85" s="76">
        <f t="shared" si="84"/>
        <v>1.2338730974657257E-2</v>
      </c>
      <c r="U85" s="76">
        <f t="shared" si="84"/>
        <v>1.2319618905490031E-2</v>
      </c>
      <c r="V85" s="76">
        <f t="shared" si="84"/>
        <v>1.2300506836322809E-2</v>
      </c>
      <c r="W85" s="76">
        <f t="shared" si="84"/>
        <v>1.2281394767155585E-2</v>
      </c>
      <c r="X85" s="76">
        <f t="shared" si="84"/>
        <v>1.2262282697988361E-2</v>
      </c>
      <c r="Y85" s="76">
        <f t="shared" si="84"/>
        <v>1.2243170628821135E-2</v>
      </c>
      <c r="Z85" s="76">
        <f t="shared" si="84"/>
        <v>1.2224058559653911E-2</v>
      </c>
      <c r="AA85" s="76">
        <f t="shared" si="84"/>
        <v>1.2204946490486687E-2</v>
      </c>
      <c r="AB85" s="76">
        <f t="shared" si="84"/>
        <v>1.2185834421319463E-2</v>
      </c>
      <c r="AC85" s="76">
        <f t="shared" si="84"/>
        <v>1.2166722352152239E-2</v>
      </c>
    </row>
    <row r="87" spans="1:29" x14ac:dyDescent="0.25">
      <c r="B87" s="40"/>
    </row>
    <row r="107" spans="1:2" s="3" customFormat="1" ht="21" x14ac:dyDescent="0.35">
      <c r="A107" s="2" t="str">
        <f>'Parameter Input'!A158</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Input'!$L$159</f>
        <v>5000000</v>
      </c>
      <c r="C117" s="42">
        <f>'Parameter Input'!$M$159</f>
        <v>5000000</v>
      </c>
      <c r="D117" s="1" t="s">
        <v>15</v>
      </c>
      <c r="L117" s="51">
        <f>'Parameter Input'!$O$159</f>
        <v>12</v>
      </c>
      <c r="M117" s="52">
        <v>0</v>
      </c>
      <c r="N117" s="52">
        <v>1</v>
      </c>
      <c r="O117" s="52">
        <f>'Parameter Input'!$P$159</f>
        <v>0.9</v>
      </c>
      <c r="P117" s="53">
        <f>'Parameter Input'!$Q$159</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28</v>
      </c>
      <c r="B118" s="60">
        <f>'Parameter Input'!$L$160</f>
        <v>-750000</v>
      </c>
      <c r="C118" s="61">
        <f>'Parameter Input'!$M$160</f>
        <v>-750000</v>
      </c>
      <c r="D118" s="1" t="s">
        <v>15</v>
      </c>
      <c r="L118" s="54">
        <f>'Parameter Input'!$O$160</f>
        <v>12</v>
      </c>
      <c r="M118" s="37">
        <v>0</v>
      </c>
      <c r="N118" s="37">
        <v>1</v>
      </c>
      <c r="O118" s="37">
        <f>'Parameter Input'!$P$160</f>
        <v>0.9</v>
      </c>
      <c r="P118" s="55">
        <f>'Parameter Input'!$Q$160</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79</v>
      </c>
      <c r="B121" s="45">
        <f>'Parameter Input'!$L$166</f>
        <v>0.06</v>
      </c>
      <c r="C121" s="46">
        <f>'Parameter Input'!$M$166</f>
        <v>0.06</v>
      </c>
      <c r="D121" s="1" t="s">
        <v>57</v>
      </c>
      <c r="L121" s="54">
        <f>'Parameter Input'!$O$166</f>
        <v>12</v>
      </c>
      <c r="M121" s="37">
        <v>0</v>
      </c>
      <c r="N121" s="37">
        <v>1</v>
      </c>
      <c r="O121" s="37">
        <f>'Parameter Input'!$P$166</f>
        <v>0.9</v>
      </c>
      <c r="P121" s="55">
        <f>'Parameter Input'!$Q$166</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52</v>
      </c>
      <c r="B123" s="43">
        <f>'Parameter Input'!$L$162</f>
        <v>650000</v>
      </c>
      <c r="C123" s="44">
        <f>'Parameter Input'!$M$162</f>
        <v>650000</v>
      </c>
      <c r="D123" s="1" t="s">
        <v>38</v>
      </c>
      <c r="L123" s="54">
        <f>'Parameter Input'!$O$162</f>
        <v>12</v>
      </c>
      <c r="M123" s="37">
        <v>0</v>
      </c>
      <c r="N123" s="37">
        <v>1</v>
      </c>
      <c r="O123" s="37">
        <f>'Parameter Input'!$P$162</f>
        <v>0.9</v>
      </c>
      <c r="P123" s="55">
        <f>'Parameter Input'!$Q$162</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59</v>
      </c>
      <c r="B125" s="47">
        <f>'Parameter Input'!$L$163</f>
        <v>31.614305882352937</v>
      </c>
      <c r="C125" s="48">
        <f>'Parameter Input'!$M$163</f>
        <v>31.614305882352937</v>
      </c>
      <c r="D125" s="1" t="s">
        <v>60</v>
      </c>
      <c r="L125" s="54">
        <f>'Parameter Input'!$O$163</f>
        <v>12</v>
      </c>
      <c r="M125" s="37">
        <v>0</v>
      </c>
      <c r="N125" s="37">
        <v>1</v>
      </c>
      <c r="O125" s="37">
        <f>'Parameter Input'!$P$163</f>
        <v>0.9</v>
      </c>
      <c r="P125" s="55">
        <f>'Parameter Input'!$Q$163</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67</v>
      </c>
      <c r="B126" s="45">
        <f>'Parameter Input'!$L$164</f>
        <v>0.13371034051801745</v>
      </c>
      <c r="C126" s="46">
        <f>'Parameter Input'!$M$164</f>
        <v>8.7585019329602734E-2</v>
      </c>
      <c r="D126" s="1" t="s">
        <v>68</v>
      </c>
      <c r="L126" s="54">
        <f>'Parameter Input'!$O$164</f>
        <v>12</v>
      </c>
      <c r="M126" s="37">
        <v>0</v>
      </c>
      <c r="N126" s="37">
        <v>1</v>
      </c>
      <c r="O126" s="37">
        <f>'Parameter Input'!$P$164</f>
        <v>0.9</v>
      </c>
      <c r="P126" s="55">
        <f>'Parameter Input'!$Q$164</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206</v>
      </c>
      <c r="B127" s="115">
        <f>'Parameter Input'!$L$167</f>
        <v>0</v>
      </c>
      <c r="C127" s="116">
        <f>'Parameter Input'!$M$167</f>
        <v>0</v>
      </c>
      <c r="D127" s="1" t="s">
        <v>76</v>
      </c>
      <c r="L127" s="54">
        <f>'Parameter Input'!$O$167</f>
        <v>17</v>
      </c>
      <c r="M127" s="37">
        <v>0</v>
      </c>
      <c r="N127" s="37">
        <v>1</v>
      </c>
      <c r="O127" s="37">
        <f>'Parameter Input'!$P$167</f>
        <v>0.9</v>
      </c>
      <c r="P127" s="55">
        <f>'Parameter Input'!$Q$167</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41</v>
      </c>
      <c r="B128" s="43">
        <f>'Parameter Input'!$L$161</f>
        <v>20</v>
      </c>
      <c r="C128" s="44">
        <f>'Parameter Input'!$M$161</f>
        <v>20</v>
      </c>
      <c r="D128" s="1" t="s">
        <v>42</v>
      </c>
      <c r="L128" s="54">
        <f>'Parameter Input'!$O$161</f>
        <v>12</v>
      </c>
      <c r="M128" s="37">
        <v>0</v>
      </c>
      <c r="N128" s="37">
        <v>1</v>
      </c>
      <c r="O128" s="37">
        <f>'Parameter Input'!$P$161</f>
        <v>0.9</v>
      </c>
      <c r="P128" s="55">
        <f>'Parameter Input'!$Q$161</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73</v>
      </c>
      <c r="B132" s="72">
        <f>'Parameter Input'!$L$165</f>
        <v>0</v>
      </c>
      <c r="C132" s="73">
        <f>'Parameter Input'!$M$165</f>
        <v>0</v>
      </c>
      <c r="D132" s="1" t="s">
        <v>57</v>
      </c>
      <c r="L132" s="54">
        <f>'Parameter Input'!$O$165</f>
        <v>12</v>
      </c>
      <c r="M132" s="37">
        <v>0</v>
      </c>
      <c r="N132" s="37">
        <v>1</v>
      </c>
      <c r="O132" s="37">
        <f>'Parameter Input'!$P$165</f>
        <v>0.9</v>
      </c>
      <c r="P132" s="55">
        <f>'Parameter Input'!$Q$165</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5000000</v>
      </c>
      <c r="C137" s="62">
        <f t="shared" ref="C137:C145" si="92">$B117+($C117-$B117)*(1-R117)</f>
        <v>5000000</v>
      </c>
      <c r="D137" s="62">
        <f t="shared" ref="D137:D145" si="93">$B117+($C117-$B117)*(1-S117)</f>
        <v>5000000</v>
      </c>
      <c r="E137" s="62">
        <f t="shared" ref="E137:E145" si="94">$B117+($C117-$B117)*(1-T117)</f>
        <v>5000000</v>
      </c>
      <c r="F137" s="62">
        <f t="shared" ref="F137:F145" si="95">$B117+($C117-$B117)*(1-U117)</f>
        <v>5000000</v>
      </c>
      <c r="G137" s="62">
        <f t="shared" ref="G137:G145" si="96">$B117+($C117-$B117)*(1-V117)</f>
        <v>5000000</v>
      </c>
      <c r="H137" s="62">
        <f t="shared" ref="H137:H145" si="97">$B117+($C117-$B117)*(1-W117)</f>
        <v>5000000</v>
      </c>
      <c r="I137" s="62">
        <f t="shared" ref="I137:I145" si="98">$B117+($C117-$B117)*(1-X117)</f>
        <v>5000000</v>
      </c>
      <c r="J137" s="62">
        <f t="shared" ref="J137:J145" si="99">$B117+($C117-$B117)*(1-Y117)</f>
        <v>5000000</v>
      </c>
      <c r="K137" s="62">
        <f t="shared" ref="K137:K145" si="100">$B117+($C117-$B117)*(1-Z117)</f>
        <v>5000000</v>
      </c>
      <c r="L137" s="62">
        <f t="shared" ref="L137:L145" si="101">$B117+($C117-$B117)*(1-AA117)</f>
        <v>5000000</v>
      </c>
      <c r="M137" s="62">
        <f t="shared" ref="M137:M145" si="102">$B117+($C117-$B117)*(1-AB117)</f>
        <v>5000000</v>
      </c>
      <c r="N137" s="62">
        <f t="shared" ref="N137:N145" si="103">$B117+($C117-$B117)*(1-AC117)</f>
        <v>5000000</v>
      </c>
      <c r="O137" s="62">
        <f t="shared" ref="O137:O145" si="104">$B117+($C117-$B117)*(1-AD117)</f>
        <v>5000000</v>
      </c>
      <c r="P137" s="62">
        <f t="shared" ref="P137:P145" si="105">$B117+($C117-$B117)*(1-AE117)</f>
        <v>5000000</v>
      </c>
      <c r="Q137" s="62">
        <f t="shared" ref="Q137:Q145" si="106">$B117+($C117-$B117)*(1-AF117)</f>
        <v>5000000</v>
      </c>
      <c r="R137" s="62">
        <f t="shared" ref="R137:R145" si="107">$B117+($C117-$B117)*(1-AG117)</f>
        <v>5000000</v>
      </c>
      <c r="S137" s="62">
        <f t="shared" ref="S137:S145" si="108">$B117+($C117-$B117)*(1-AH117)</f>
        <v>5000000</v>
      </c>
      <c r="T137" s="62">
        <f t="shared" ref="T137:T145" si="109">$B117+($C117-$B117)*(1-AI117)</f>
        <v>5000000</v>
      </c>
      <c r="U137" s="62">
        <f t="shared" ref="U137:U145" si="110">$B117+($C117-$B117)*(1-AJ117)</f>
        <v>5000000</v>
      </c>
      <c r="V137" s="62">
        <f t="shared" ref="V137:V145" si="111">$B117+($C117-$B117)*(1-AK117)</f>
        <v>5000000</v>
      </c>
      <c r="W137" s="62">
        <f t="shared" ref="W137:W145" si="112">$B117+($C117-$B117)*(1-AL117)</f>
        <v>5000000</v>
      </c>
      <c r="X137" s="62">
        <f t="shared" ref="X137:X145" si="113">$B117+($C117-$B117)*(1-AM117)</f>
        <v>5000000</v>
      </c>
      <c r="Y137" s="62">
        <f t="shared" ref="Y137:Y145" si="114">$B117+($C117-$B117)*(1-AN117)</f>
        <v>5000000</v>
      </c>
      <c r="Z137" s="62">
        <f t="shared" ref="Z137:Z145" si="115">$B117+($C117-$B117)*(1-AO117)</f>
        <v>5000000</v>
      </c>
      <c r="AA137" s="62">
        <f t="shared" ref="AA137:AA145" si="116">$B117+($C117-$B117)*(1-AP117)</f>
        <v>5000000</v>
      </c>
      <c r="AB137" s="62">
        <f t="shared" ref="AB137:AB145" si="117">$B117+($C117-$B117)*(1-AQ117)</f>
        <v>5000000</v>
      </c>
      <c r="AC137" s="62">
        <f t="shared" ref="AC137:AC145" si="118">$B117+($C117-$B117)*(1-AR117)</f>
        <v>5000000</v>
      </c>
    </row>
    <row r="138" spans="1:44" x14ac:dyDescent="0.25">
      <c r="A138" s="30" t="str">
        <f t="shared" si="90"/>
        <v>Residual value (vehicle)</v>
      </c>
      <c r="B138" s="62">
        <f t="shared" si="91"/>
        <v>-750000</v>
      </c>
      <c r="C138" s="62">
        <f t="shared" si="92"/>
        <v>-750000</v>
      </c>
      <c r="D138" s="62">
        <f t="shared" si="93"/>
        <v>-750000</v>
      </c>
      <c r="E138" s="62">
        <f t="shared" si="94"/>
        <v>-750000</v>
      </c>
      <c r="F138" s="62">
        <f t="shared" si="95"/>
        <v>-750000</v>
      </c>
      <c r="G138" s="62">
        <f t="shared" si="96"/>
        <v>-750000</v>
      </c>
      <c r="H138" s="62">
        <f t="shared" si="97"/>
        <v>-750000</v>
      </c>
      <c r="I138" s="62">
        <f t="shared" si="98"/>
        <v>-750000</v>
      </c>
      <c r="J138" s="62">
        <f t="shared" si="99"/>
        <v>-750000</v>
      </c>
      <c r="K138" s="62">
        <f t="shared" si="100"/>
        <v>-750000</v>
      </c>
      <c r="L138" s="62">
        <f t="shared" si="101"/>
        <v>-750000</v>
      </c>
      <c r="M138" s="62">
        <f t="shared" si="102"/>
        <v>-750000</v>
      </c>
      <c r="N138" s="62">
        <f t="shared" si="103"/>
        <v>-750000</v>
      </c>
      <c r="O138" s="62">
        <f t="shared" si="104"/>
        <v>-750000</v>
      </c>
      <c r="P138" s="62">
        <f t="shared" si="105"/>
        <v>-750000</v>
      </c>
      <c r="Q138" s="62">
        <f t="shared" si="106"/>
        <v>-750000</v>
      </c>
      <c r="R138" s="62">
        <f t="shared" si="107"/>
        <v>-750000</v>
      </c>
      <c r="S138" s="62">
        <f t="shared" si="108"/>
        <v>-750000</v>
      </c>
      <c r="T138" s="62">
        <f t="shared" si="109"/>
        <v>-750000</v>
      </c>
      <c r="U138" s="62">
        <f t="shared" si="110"/>
        <v>-750000</v>
      </c>
      <c r="V138" s="62">
        <f t="shared" si="111"/>
        <v>-750000</v>
      </c>
      <c r="W138" s="62">
        <f t="shared" si="112"/>
        <v>-750000</v>
      </c>
      <c r="X138" s="62">
        <f t="shared" si="113"/>
        <v>-750000</v>
      </c>
      <c r="Y138" s="62">
        <f t="shared" si="114"/>
        <v>-750000</v>
      </c>
      <c r="Z138" s="62">
        <f t="shared" si="115"/>
        <v>-750000</v>
      </c>
      <c r="AA138" s="62">
        <f t="shared" si="116"/>
        <v>-750000</v>
      </c>
      <c r="AB138" s="62">
        <f t="shared" si="117"/>
        <v>-750000</v>
      </c>
      <c r="AC138" s="62">
        <f t="shared" si="118"/>
        <v>-750000</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650000</v>
      </c>
      <c r="C143" s="62">
        <f t="shared" si="92"/>
        <v>650000</v>
      </c>
      <c r="D143" s="62">
        <f t="shared" si="93"/>
        <v>650000</v>
      </c>
      <c r="E143" s="62">
        <f t="shared" si="94"/>
        <v>650000</v>
      </c>
      <c r="F143" s="62">
        <f t="shared" si="95"/>
        <v>650000</v>
      </c>
      <c r="G143" s="62">
        <f t="shared" si="96"/>
        <v>650000</v>
      </c>
      <c r="H143" s="62">
        <f t="shared" si="97"/>
        <v>650000</v>
      </c>
      <c r="I143" s="62">
        <f t="shared" si="98"/>
        <v>650000</v>
      </c>
      <c r="J143" s="62">
        <f t="shared" si="99"/>
        <v>650000</v>
      </c>
      <c r="K143" s="62">
        <f t="shared" si="100"/>
        <v>650000</v>
      </c>
      <c r="L143" s="62">
        <f t="shared" si="101"/>
        <v>650000</v>
      </c>
      <c r="M143" s="62">
        <f t="shared" si="102"/>
        <v>650000</v>
      </c>
      <c r="N143" s="62">
        <f t="shared" si="103"/>
        <v>650000</v>
      </c>
      <c r="O143" s="62">
        <f t="shared" si="104"/>
        <v>650000</v>
      </c>
      <c r="P143" s="62">
        <f t="shared" si="105"/>
        <v>650000</v>
      </c>
      <c r="Q143" s="62">
        <f t="shared" si="106"/>
        <v>650000</v>
      </c>
      <c r="R143" s="62">
        <f t="shared" si="107"/>
        <v>650000</v>
      </c>
      <c r="S143" s="62">
        <f t="shared" si="108"/>
        <v>650000</v>
      </c>
      <c r="T143" s="62">
        <f t="shared" si="109"/>
        <v>650000</v>
      </c>
      <c r="U143" s="62">
        <f t="shared" si="110"/>
        <v>650000</v>
      </c>
      <c r="V143" s="62">
        <f t="shared" si="111"/>
        <v>650000</v>
      </c>
      <c r="W143" s="62">
        <f t="shared" si="112"/>
        <v>650000</v>
      </c>
      <c r="X143" s="62">
        <f t="shared" si="113"/>
        <v>650000</v>
      </c>
      <c r="Y143" s="62">
        <f t="shared" si="114"/>
        <v>650000</v>
      </c>
      <c r="Z143" s="62">
        <f t="shared" si="115"/>
        <v>650000</v>
      </c>
      <c r="AA143" s="62">
        <f t="shared" si="116"/>
        <v>650000</v>
      </c>
      <c r="AB143" s="62">
        <f t="shared" si="117"/>
        <v>650000</v>
      </c>
      <c r="AC143" s="62">
        <f t="shared" si="118"/>
        <v>650000</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31.614305882352937</v>
      </c>
      <c r="C145" s="62">
        <f t="shared" si="92"/>
        <v>31.614305882352937</v>
      </c>
      <c r="D145" s="62">
        <f t="shared" si="93"/>
        <v>31.614305882352937</v>
      </c>
      <c r="E145" s="62">
        <f t="shared" si="94"/>
        <v>31.614305882352937</v>
      </c>
      <c r="F145" s="62">
        <f t="shared" si="95"/>
        <v>31.614305882352937</v>
      </c>
      <c r="G145" s="62">
        <f t="shared" si="96"/>
        <v>31.614305882352937</v>
      </c>
      <c r="H145" s="62">
        <f t="shared" si="97"/>
        <v>31.614305882352937</v>
      </c>
      <c r="I145" s="62">
        <f t="shared" si="98"/>
        <v>31.614305882352937</v>
      </c>
      <c r="J145" s="62">
        <f t="shared" si="99"/>
        <v>31.614305882352937</v>
      </c>
      <c r="K145" s="62">
        <f t="shared" si="100"/>
        <v>31.614305882352937</v>
      </c>
      <c r="L145" s="62">
        <f t="shared" si="101"/>
        <v>31.614305882352937</v>
      </c>
      <c r="M145" s="62">
        <f t="shared" si="102"/>
        <v>31.614305882352937</v>
      </c>
      <c r="N145" s="62">
        <f t="shared" si="103"/>
        <v>31.614305882352937</v>
      </c>
      <c r="O145" s="62">
        <f t="shared" si="104"/>
        <v>31.614305882352937</v>
      </c>
      <c r="P145" s="62">
        <f t="shared" si="105"/>
        <v>31.614305882352937</v>
      </c>
      <c r="Q145" s="62">
        <f t="shared" si="106"/>
        <v>31.614305882352937</v>
      </c>
      <c r="R145" s="62">
        <f t="shared" si="107"/>
        <v>31.614305882352937</v>
      </c>
      <c r="S145" s="62">
        <f t="shared" si="108"/>
        <v>31.614305882352937</v>
      </c>
      <c r="T145" s="62">
        <f t="shared" si="109"/>
        <v>31.614305882352937</v>
      </c>
      <c r="U145" s="62">
        <f t="shared" si="110"/>
        <v>31.614305882352937</v>
      </c>
      <c r="V145" s="62">
        <f t="shared" si="111"/>
        <v>31.614305882352937</v>
      </c>
      <c r="W145" s="62">
        <f t="shared" si="112"/>
        <v>31.614305882352937</v>
      </c>
      <c r="X145" s="62">
        <f t="shared" si="113"/>
        <v>31.614305882352937</v>
      </c>
      <c r="Y145" s="62">
        <f t="shared" si="114"/>
        <v>31.614305882352937</v>
      </c>
      <c r="Z145" s="62">
        <f t="shared" si="115"/>
        <v>31.614305882352937</v>
      </c>
      <c r="AA145" s="62">
        <f t="shared" si="116"/>
        <v>31.614305882352937</v>
      </c>
      <c r="AB145" s="62">
        <f t="shared" si="117"/>
        <v>31.614305882352937</v>
      </c>
      <c r="AC145" s="62">
        <f t="shared" si="118"/>
        <v>31.614305882352937</v>
      </c>
    </row>
    <row r="146" spans="1:29" x14ac:dyDescent="0.25">
      <c r="A146" s="30" t="str">
        <f t="shared" si="90"/>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9">A127</f>
        <v>Emission Cost</v>
      </c>
      <c r="B147" s="66">
        <f>$B127+($C127-$B127)*(1-Q127)</f>
        <v>0</v>
      </c>
      <c r="C147" s="66">
        <f t="shared" ref="C147" si="120">$B127+($C127-$B127)*(1-R127)</f>
        <v>0</v>
      </c>
      <c r="D147" s="66">
        <f t="shared" ref="D147" si="121">$B127+($C127-$B127)*(1-S127)</f>
        <v>0</v>
      </c>
      <c r="E147" s="66">
        <f t="shared" ref="E147" si="122">$B127+($C127-$B127)*(1-T127)</f>
        <v>0</v>
      </c>
      <c r="F147" s="66">
        <f t="shared" ref="F147" si="123">$B127+($C127-$B127)*(1-U127)</f>
        <v>0</v>
      </c>
      <c r="G147" s="66">
        <f t="shared" ref="G147" si="124">$B127+($C127-$B127)*(1-V127)</f>
        <v>0</v>
      </c>
      <c r="H147" s="66">
        <f t="shared" ref="H147" si="125">$B127+($C127-$B127)*(1-W127)</f>
        <v>0</v>
      </c>
      <c r="I147" s="66">
        <f t="shared" ref="I147" si="126">$B127+($C127-$B127)*(1-X127)</f>
        <v>0</v>
      </c>
      <c r="J147" s="66">
        <f t="shared" ref="J147" si="127">$B127+($C127-$B127)*(1-Y127)</f>
        <v>0</v>
      </c>
      <c r="K147" s="66">
        <f t="shared" ref="K147" si="128">$B127+($C127-$B127)*(1-Z127)</f>
        <v>0</v>
      </c>
      <c r="L147" s="66">
        <f t="shared" ref="L147" si="129">$B127+($C127-$B127)*(1-AA127)</f>
        <v>0</v>
      </c>
      <c r="M147" s="66">
        <f t="shared" ref="M147" si="130">$B127+($C127-$B127)*(1-AB127)</f>
        <v>0</v>
      </c>
      <c r="N147" s="66">
        <f t="shared" ref="N147" si="131">$B127+($C127-$B127)*(1-AC127)</f>
        <v>0</v>
      </c>
      <c r="O147" s="66">
        <f t="shared" ref="O147" si="132">$B127+($C127-$B127)*(1-AD127)</f>
        <v>0</v>
      </c>
      <c r="P147" s="66">
        <f t="shared" ref="P147" si="133">$B127+($C127-$B127)*(1-AE127)</f>
        <v>0</v>
      </c>
      <c r="Q147" s="66">
        <f t="shared" ref="Q147" si="134">$B127+($C127-$B127)*(1-AF127)</f>
        <v>0</v>
      </c>
      <c r="R147" s="66">
        <f t="shared" ref="R147" si="135">$B127+($C127-$B127)*(1-AG127)</f>
        <v>0</v>
      </c>
      <c r="S147" s="66">
        <f t="shared" ref="S147" si="136">$B127+($C127-$B127)*(1-AH127)</f>
        <v>0</v>
      </c>
      <c r="T147" s="66">
        <f t="shared" ref="T147" si="137">$B127+($C127-$B127)*(1-AI127)</f>
        <v>0</v>
      </c>
      <c r="U147" s="66">
        <f t="shared" ref="U147" si="138">$B127+($C127-$B127)*(1-AJ127)</f>
        <v>0</v>
      </c>
      <c r="V147" s="66">
        <f t="shared" ref="V147" si="139">$B127+($C127-$B127)*(1-AK127)</f>
        <v>0</v>
      </c>
      <c r="W147" s="66">
        <f t="shared" ref="W147" si="140">$B127+($C127-$B127)*(1-AL127)</f>
        <v>0</v>
      </c>
      <c r="X147" s="66">
        <f t="shared" ref="X147" si="141">$B127+($C127-$B127)*(1-AM127)</f>
        <v>0</v>
      </c>
      <c r="Y147" s="66">
        <f t="shared" ref="Y147" si="142">$B127+($C127-$B127)*(1-AN127)</f>
        <v>0</v>
      </c>
      <c r="Z147" s="66">
        <f t="shared" ref="Z147" si="143">$B127+($C127-$B127)*(1-AO127)</f>
        <v>0</v>
      </c>
      <c r="AA147" s="66">
        <f t="shared" ref="AA147" si="144">$B127+($C127-$B127)*(1-AP127)</f>
        <v>0</v>
      </c>
      <c r="AB147" s="66">
        <f t="shared" ref="AB147" si="145">$B127+($C127-$B127)*(1-AQ127)</f>
        <v>0</v>
      </c>
      <c r="AC147" s="66">
        <f t="shared" ref="AC147" si="146">$B127+($C127-$B127)*(1-AR127)</f>
        <v>0</v>
      </c>
    </row>
    <row r="148" spans="1:29" x14ac:dyDescent="0.25">
      <c r="A148" s="30" t="str">
        <f>A128</f>
        <v>Lifetime vehicle</v>
      </c>
      <c r="B148" s="62">
        <f>$B128+($C128-$B128)*(1-Q128)</f>
        <v>20</v>
      </c>
      <c r="C148" s="62">
        <f t="shared" ref="C148:L150" si="147">$B128+($C128-$B128)*(1-R128)</f>
        <v>20</v>
      </c>
      <c r="D148" s="62">
        <f t="shared" si="147"/>
        <v>20</v>
      </c>
      <c r="E148" s="62">
        <f t="shared" si="147"/>
        <v>20</v>
      </c>
      <c r="F148" s="62">
        <f t="shared" si="147"/>
        <v>20</v>
      </c>
      <c r="G148" s="62">
        <f t="shared" si="147"/>
        <v>20</v>
      </c>
      <c r="H148" s="62">
        <f t="shared" si="147"/>
        <v>20</v>
      </c>
      <c r="I148" s="62">
        <f t="shared" si="147"/>
        <v>20</v>
      </c>
      <c r="J148" s="62">
        <f t="shared" si="147"/>
        <v>20</v>
      </c>
      <c r="K148" s="62">
        <f t="shared" si="147"/>
        <v>20</v>
      </c>
      <c r="L148" s="62">
        <f t="shared" si="147"/>
        <v>20</v>
      </c>
      <c r="M148" s="62">
        <f t="shared" ref="M148:V150" si="148">$B128+($C128-$B128)*(1-AB128)</f>
        <v>20</v>
      </c>
      <c r="N148" s="62">
        <f t="shared" si="148"/>
        <v>20</v>
      </c>
      <c r="O148" s="62">
        <f t="shared" si="148"/>
        <v>20</v>
      </c>
      <c r="P148" s="62">
        <f t="shared" si="148"/>
        <v>20</v>
      </c>
      <c r="Q148" s="62">
        <f t="shared" si="148"/>
        <v>20</v>
      </c>
      <c r="R148" s="62">
        <f t="shared" si="148"/>
        <v>20</v>
      </c>
      <c r="S148" s="62">
        <f t="shared" si="148"/>
        <v>20</v>
      </c>
      <c r="T148" s="62">
        <f t="shared" si="148"/>
        <v>20</v>
      </c>
      <c r="U148" s="62">
        <f t="shared" si="148"/>
        <v>20</v>
      </c>
      <c r="V148" s="62">
        <f t="shared" si="148"/>
        <v>20</v>
      </c>
      <c r="W148" s="62">
        <f t="shared" ref="W148:AC150" si="149">$B128+($C128-$B128)*(1-AL128)</f>
        <v>20</v>
      </c>
      <c r="X148" s="62">
        <f t="shared" si="149"/>
        <v>20</v>
      </c>
      <c r="Y148" s="62">
        <f t="shared" si="149"/>
        <v>20</v>
      </c>
      <c r="Z148" s="62">
        <f t="shared" si="149"/>
        <v>20</v>
      </c>
      <c r="AA148" s="62">
        <f t="shared" si="149"/>
        <v>20</v>
      </c>
      <c r="AB148" s="62">
        <f t="shared" si="149"/>
        <v>20</v>
      </c>
      <c r="AC148" s="62">
        <f t="shared" si="149"/>
        <v>20</v>
      </c>
    </row>
    <row r="149" spans="1:29" x14ac:dyDescent="0.25">
      <c r="A149" s="30" t="str">
        <f>A129</f>
        <v>Lifetime costumization</v>
      </c>
      <c r="B149" s="62">
        <f>$B129+($C129-$B129)*(1-Q129)</f>
        <v>30</v>
      </c>
      <c r="C149" s="62">
        <f t="shared" si="147"/>
        <v>30</v>
      </c>
      <c r="D149" s="62">
        <f t="shared" si="147"/>
        <v>30</v>
      </c>
      <c r="E149" s="62">
        <f t="shared" si="147"/>
        <v>30</v>
      </c>
      <c r="F149" s="62">
        <f t="shared" si="147"/>
        <v>30</v>
      </c>
      <c r="G149" s="62">
        <f t="shared" si="147"/>
        <v>30</v>
      </c>
      <c r="H149" s="62">
        <f t="shared" si="147"/>
        <v>30</v>
      </c>
      <c r="I149" s="62">
        <f t="shared" si="147"/>
        <v>30</v>
      </c>
      <c r="J149" s="62">
        <f t="shared" si="147"/>
        <v>30</v>
      </c>
      <c r="K149" s="62">
        <f t="shared" si="147"/>
        <v>30</v>
      </c>
      <c r="L149" s="62">
        <f t="shared" si="147"/>
        <v>30</v>
      </c>
      <c r="M149" s="62">
        <f t="shared" si="148"/>
        <v>30</v>
      </c>
      <c r="N149" s="62">
        <f t="shared" si="148"/>
        <v>30</v>
      </c>
      <c r="O149" s="62">
        <f t="shared" si="148"/>
        <v>30</v>
      </c>
      <c r="P149" s="62">
        <f t="shared" si="148"/>
        <v>30</v>
      </c>
      <c r="Q149" s="62">
        <f t="shared" si="148"/>
        <v>30</v>
      </c>
      <c r="R149" s="62">
        <f t="shared" si="148"/>
        <v>30</v>
      </c>
      <c r="S149" s="62">
        <f t="shared" si="148"/>
        <v>30</v>
      </c>
      <c r="T149" s="62">
        <f t="shared" si="148"/>
        <v>30</v>
      </c>
      <c r="U149" s="62">
        <f t="shared" si="148"/>
        <v>30</v>
      </c>
      <c r="V149" s="62">
        <f t="shared" si="148"/>
        <v>30</v>
      </c>
      <c r="W149" s="62">
        <f t="shared" si="149"/>
        <v>30</v>
      </c>
      <c r="X149" s="62">
        <f t="shared" si="149"/>
        <v>30</v>
      </c>
      <c r="Y149" s="62">
        <f t="shared" si="149"/>
        <v>30</v>
      </c>
      <c r="Z149" s="62">
        <f t="shared" si="149"/>
        <v>30</v>
      </c>
      <c r="AA149" s="62">
        <f t="shared" si="149"/>
        <v>30</v>
      </c>
      <c r="AB149" s="62">
        <f t="shared" si="149"/>
        <v>30</v>
      </c>
      <c r="AC149" s="62">
        <f t="shared" si="149"/>
        <v>30</v>
      </c>
    </row>
    <row r="150" spans="1:29" x14ac:dyDescent="0.25">
      <c r="A150" s="30" t="str">
        <f>A130</f>
        <v>Tonnage .</v>
      </c>
      <c r="B150" s="62">
        <f>$B130+($C130-$B130)*(1-Q130)</f>
        <v>2240</v>
      </c>
      <c r="C150" s="62">
        <f t="shared" si="147"/>
        <v>2240</v>
      </c>
      <c r="D150" s="62">
        <f t="shared" si="147"/>
        <v>2240</v>
      </c>
      <c r="E150" s="62">
        <f t="shared" si="147"/>
        <v>2240</v>
      </c>
      <c r="F150" s="62">
        <f t="shared" si="147"/>
        <v>2240</v>
      </c>
      <c r="G150" s="62">
        <f t="shared" si="147"/>
        <v>2240</v>
      </c>
      <c r="H150" s="62">
        <f t="shared" si="147"/>
        <v>2240</v>
      </c>
      <c r="I150" s="62">
        <f t="shared" si="147"/>
        <v>2240</v>
      </c>
      <c r="J150" s="62">
        <f t="shared" si="147"/>
        <v>2240</v>
      </c>
      <c r="K150" s="62">
        <f t="shared" si="147"/>
        <v>2240</v>
      </c>
      <c r="L150" s="62">
        <f t="shared" si="147"/>
        <v>2240</v>
      </c>
      <c r="M150" s="62">
        <f t="shared" si="148"/>
        <v>2240</v>
      </c>
      <c r="N150" s="62">
        <f t="shared" si="148"/>
        <v>2240</v>
      </c>
      <c r="O150" s="62">
        <f t="shared" si="148"/>
        <v>2240</v>
      </c>
      <c r="P150" s="62">
        <f t="shared" si="148"/>
        <v>2240</v>
      </c>
      <c r="Q150" s="62">
        <f t="shared" si="148"/>
        <v>2240</v>
      </c>
      <c r="R150" s="62">
        <f t="shared" si="148"/>
        <v>2240</v>
      </c>
      <c r="S150" s="62">
        <f t="shared" si="148"/>
        <v>2240</v>
      </c>
      <c r="T150" s="62">
        <f t="shared" si="148"/>
        <v>2240</v>
      </c>
      <c r="U150" s="62">
        <f t="shared" si="148"/>
        <v>2240</v>
      </c>
      <c r="V150" s="62">
        <f t="shared" si="148"/>
        <v>2240</v>
      </c>
      <c r="W150" s="62">
        <f t="shared" si="149"/>
        <v>2240</v>
      </c>
      <c r="X150" s="62">
        <f t="shared" si="149"/>
        <v>2240</v>
      </c>
      <c r="Y150" s="62">
        <f t="shared" si="149"/>
        <v>2240</v>
      </c>
      <c r="Z150" s="62">
        <f t="shared" si="149"/>
        <v>2240</v>
      </c>
      <c r="AA150" s="62">
        <f t="shared" si="149"/>
        <v>2240</v>
      </c>
      <c r="AB150" s="62">
        <f t="shared" si="149"/>
        <v>2240</v>
      </c>
      <c r="AC150" s="62">
        <f t="shared" si="149"/>
        <v>2240</v>
      </c>
    </row>
    <row r="151" spans="1:29" x14ac:dyDescent="0.25">
      <c r="A151" s="30" t="str">
        <f>A131</f>
        <v>Market failure (av. utilization)</v>
      </c>
      <c r="B151" s="62">
        <f t="shared" ref="B151:K152" si="150">($B131+($C131-$B131)*(1-Q131))*B$44</f>
        <v>955.73333333333335</v>
      </c>
      <c r="C151" s="62">
        <f t="shared" si="150"/>
        <v>955.73333333333335</v>
      </c>
      <c r="D151" s="62">
        <f t="shared" si="150"/>
        <v>955.73333333333335</v>
      </c>
      <c r="E151" s="62">
        <f t="shared" si="150"/>
        <v>955.73333333333335</v>
      </c>
      <c r="F151" s="62">
        <f t="shared" si="150"/>
        <v>955.73333333333335</v>
      </c>
      <c r="G151" s="62">
        <f t="shared" si="150"/>
        <v>955.73333333333335</v>
      </c>
      <c r="H151" s="62">
        <f t="shared" si="150"/>
        <v>955.73333333333335</v>
      </c>
      <c r="I151" s="62">
        <f t="shared" si="150"/>
        <v>955.73333333333335</v>
      </c>
      <c r="J151" s="62">
        <f t="shared" si="150"/>
        <v>955.73333333333335</v>
      </c>
      <c r="K151" s="62">
        <f t="shared" si="150"/>
        <v>955.73333333333335</v>
      </c>
      <c r="L151" s="62">
        <f t="shared" ref="L151:U152" si="151">($B131+($C131-$B131)*(1-AA131))*L$44</f>
        <v>955.73333333333335</v>
      </c>
      <c r="M151" s="62">
        <f t="shared" si="151"/>
        <v>955.73333333333335</v>
      </c>
      <c r="N151" s="62">
        <f t="shared" si="151"/>
        <v>955.73333333333335</v>
      </c>
      <c r="O151" s="62">
        <f t="shared" si="151"/>
        <v>955.73333333333335</v>
      </c>
      <c r="P151" s="62">
        <f t="shared" si="151"/>
        <v>955.73333333333335</v>
      </c>
      <c r="Q151" s="62">
        <f t="shared" si="151"/>
        <v>955.73333333333335</v>
      </c>
      <c r="R151" s="62">
        <f t="shared" si="151"/>
        <v>955.73333333333335</v>
      </c>
      <c r="S151" s="62">
        <f t="shared" si="151"/>
        <v>955.73333333333335</v>
      </c>
      <c r="T151" s="62">
        <f t="shared" si="151"/>
        <v>955.73333333333335</v>
      </c>
      <c r="U151" s="62">
        <f t="shared" si="151"/>
        <v>955.73333333333335</v>
      </c>
      <c r="V151" s="62">
        <f t="shared" ref="V151:AC152" si="152">($B131+($C131-$B131)*(1-AK131))*V$44</f>
        <v>955.73333333333335</v>
      </c>
      <c r="W151" s="62">
        <f t="shared" si="152"/>
        <v>955.73333333333335</v>
      </c>
      <c r="X151" s="62">
        <f t="shared" si="152"/>
        <v>955.73333333333335</v>
      </c>
      <c r="Y151" s="62">
        <f t="shared" si="152"/>
        <v>955.73333333333335</v>
      </c>
      <c r="Z151" s="62">
        <f t="shared" si="152"/>
        <v>955.73333333333335</v>
      </c>
      <c r="AA151" s="62">
        <f t="shared" si="152"/>
        <v>955.73333333333335</v>
      </c>
      <c r="AB151" s="62">
        <f t="shared" si="152"/>
        <v>955.73333333333335</v>
      </c>
      <c r="AC151" s="62">
        <f t="shared" si="152"/>
        <v>955.73333333333335</v>
      </c>
    </row>
    <row r="152" spans="1:29" x14ac:dyDescent="0.25">
      <c r="A152" s="30" t="s">
        <v>73</v>
      </c>
      <c r="B152" s="62">
        <f t="shared" si="150"/>
        <v>0</v>
      </c>
      <c r="C152" s="62">
        <f t="shared" si="150"/>
        <v>0</v>
      </c>
      <c r="D152" s="62">
        <f t="shared" si="150"/>
        <v>0</v>
      </c>
      <c r="E152" s="62">
        <f t="shared" si="150"/>
        <v>0</v>
      </c>
      <c r="F152" s="62">
        <f t="shared" si="150"/>
        <v>0</v>
      </c>
      <c r="G152" s="62">
        <f t="shared" si="150"/>
        <v>0</v>
      </c>
      <c r="H152" s="62">
        <f t="shared" si="150"/>
        <v>0</v>
      </c>
      <c r="I152" s="62">
        <f t="shared" si="150"/>
        <v>0</v>
      </c>
      <c r="J152" s="62">
        <f t="shared" si="150"/>
        <v>0</v>
      </c>
      <c r="K152" s="62">
        <f t="shared" si="150"/>
        <v>0</v>
      </c>
      <c r="L152" s="62">
        <f t="shared" si="151"/>
        <v>0</v>
      </c>
      <c r="M152" s="62">
        <f t="shared" si="151"/>
        <v>0</v>
      </c>
      <c r="N152" s="62">
        <f t="shared" si="151"/>
        <v>0</v>
      </c>
      <c r="O152" s="62">
        <f t="shared" si="151"/>
        <v>0</v>
      </c>
      <c r="P152" s="62">
        <f t="shared" si="151"/>
        <v>0</v>
      </c>
      <c r="Q152" s="62">
        <f t="shared" si="151"/>
        <v>0</v>
      </c>
      <c r="R152" s="62">
        <f t="shared" si="151"/>
        <v>0</v>
      </c>
      <c r="S152" s="62">
        <f t="shared" si="151"/>
        <v>0</v>
      </c>
      <c r="T152" s="62">
        <f t="shared" si="151"/>
        <v>0</v>
      </c>
      <c r="U152" s="62">
        <f t="shared" si="151"/>
        <v>0</v>
      </c>
      <c r="V152" s="62">
        <f t="shared" si="152"/>
        <v>0</v>
      </c>
      <c r="W152" s="62">
        <f t="shared" si="152"/>
        <v>0</v>
      </c>
      <c r="X152" s="62">
        <f t="shared" si="152"/>
        <v>0</v>
      </c>
      <c r="Y152" s="62">
        <f t="shared" si="152"/>
        <v>0</v>
      </c>
      <c r="Z152" s="62">
        <f t="shared" si="152"/>
        <v>0</v>
      </c>
      <c r="AA152" s="62">
        <f t="shared" si="152"/>
        <v>0</v>
      </c>
      <c r="AB152" s="62">
        <f t="shared" si="152"/>
        <v>0</v>
      </c>
      <c r="AC152" s="62">
        <f t="shared" si="152"/>
        <v>0</v>
      </c>
    </row>
    <row r="153" spans="1:29" x14ac:dyDescent="0.25">
      <c r="A153" s="30" t="str">
        <f>A133</f>
        <v>Annual Mileage</v>
      </c>
      <c r="B153" s="62">
        <f t="shared" ref="B153:AC153" si="153">$B133+($C133-$B133)*(1-Q133)</f>
        <v>178500</v>
      </c>
      <c r="C153" s="62">
        <f t="shared" si="153"/>
        <v>178500</v>
      </c>
      <c r="D153" s="62">
        <f t="shared" si="153"/>
        <v>178500</v>
      </c>
      <c r="E153" s="62">
        <f t="shared" si="153"/>
        <v>178500</v>
      </c>
      <c r="F153" s="62">
        <f t="shared" si="153"/>
        <v>178500</v>
      </c>
      <c r="G153" s="62">
        <f t="shared" si="153"/>
        <v>178500</v>
      </c>
      <c r="H153" s="62">
        <f t="shared" si="153"/>
        <v>178500</v>
      </c>
      <c r="I153" s="62">
        <f t="shared" si="153"/>
        <v>178500</v>
      </c>
      <c r="J153" s="62">
        <f t="shared" si="153"/>
        <v>178500</v>
      </c>
      <c r="K153" s="62">
        <f t="shared" si="153"/>
        <v>178500</v>
      </c>
      <c r="L153" s="62">
        <f t="shared" si="153"/>
        <v>178500</v>
      </c>
      <c r="M153" s="62">
        <f t="shared" si="153"/>
        <v>178500</v>
      </c>
      <c r="N153" s="62">
        <f t="shared" si="153"/>
        <v>178500</v>
      </c>
      <c r="O153" s="62">
        <f t="shared" si="153"/>
        <v>178500</v>
      </c>
      <c r="P153" s="62">
        <f t="shared" si="153"/>
        <v>178500</v>
      </c>
      <c r="Q153" s="62">
        <f t="shared" si="153"/>
        <v>178500</v>
      </c>
      <c r="R153" s="62">
        <f t="shared" si="153"/>
        <v>178500</v>
      </c>
      <c r="S153" s="62">
        <f t="shared" si="153"/>
        <v>178500</v>
      </c>
      <c r="T153" s="62">
        <f t="shared" si="153"/>
        <v>178500</v>
      </c>
      <c r="U153" s="62">
        <f t="shared" si="153"/>
        <v>178500</v>
      </c>
      <c r="V153" s="62">
        <f t="shared" si="153"/>
        <v>178500</v>
      </c>
      <c r="W153" s="62">
        <f t="shared" si="153"/>
        <v>178500</v>
      </c>
      <c r="X153" s="62">
        <f t="shared" si="153"/>
        <v>178500</v>
      </c>
      <c r="Y153" s="62">
        <f t="shared" si="153"/>
        <v>178500</v>
      </c>
      <c r="Z153" s="62">
        <f t="shared" si="153"/>
        <v>178500</v>
      </c>
      <c r="AA153" s="62">
        <f t="shared" si="153"/>
        <v>178500</v>
      </c>
      <c r="AB153" s="62">
        <f t="shared" si="153"/>
        <v>178500</v>
      </c>
      <c r="AC153" s="62">
        <f t="shared" si="153"/>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4">((1+C141)^C148)*C141/(((1+C141)^C148)-1)*(C137)</f>
        <v>435922.78488425701</v>
      </c>
      <c r="D156" s="63">
        <f t="shared" si="154"/>
        <v>435922.78488425701</v>
      </c>
      <c r="E156" s="63">
        <f t="shared" si="154"/>
        <v>435922.78488425701</v>
      </c>
      <c r="F156" s="63">
        <f t="shared" si="154"/>
        <v>435922.78488425701</v>
      </c>
      <c r="G156" s="63">
        <f t="shared" si="154"/>
        <v>435922.78488425701</v>
      </c>
      <c r="H156" s="63">
        <f t="shared" si="154"/>
        <v>435922.78488425701</v>
      </c>
      <c r="I156" s="63">
        <f t="shared" si="154"/>
        <v>435922.78488425701</v>
      </c>
      <c r="J156" s="63">
        <f t="shared" si="154"/>
        <v>435922.78488425701</v>
      </c>
      <c r="K156" s="63">
        <f t="shared" si="154"/>
        <v>435922.78488425701</v>
      </c>
      <c r="L156" s="63">
        <f t="shared" si="154"/>
        <v>435922.78488425701</v>
      </c>
      <c r="M156" s="63">
        <f t="shared" si="154"/>
        <v>435922.78488425701</v>
      </c>
      <c r="N156" s="63">
        <f t="shared" si="154"/>
        <v>435922.78488425701</v>
      </c>
      <c r="O156" s="63">
        <f t="shared" si="154"/>
        <v>435922.78488425701</v>
      </c>
      <c r="P156" s="63">
        <f t="shared" si="154"/>
        <v>435922.78488425701</v>
      </c>
      <c r="Q156" s="63">
        <f t="shared" si="154"/>
        <v>435922.78488425701</v>
      </c>
      <c r="R156" s="63">
        <f t="shared" si="154"/>
        <v>435922.78488425701</v>
      </c>
      <c r="S156" s="63">
        <f t="shared" si="154"/>
        <v>435922.78488425701</v>
      </c>
      <c r="T156" s="63">
        <f t="shared" si="154"/>
        <v>435922.78488425701</v>
      </c>
      <c r="U156" s="63">
        <f t="shared" si="154"/>
        <v>435922.78488425701</v>
      </c>
      <c r="V156" s="63">
        <f t="shared" si="154"/>
        <v>435922.78488425701</v>
      </c>
      <c r="W156" s="63">
        <f t="shared" si="154"/>
        <v>435922.78488425701</v>
      </c>
      <c r="X156" s="63">
        <f t="shared" si="154"/>
        <v>435922.78488425701</v>
      </c>
      <c r="Y156" s="63">
        <f t="shared" si="154"/>
        <v>435922.78488425701</v>
      </c>
      <c r="Z156" s="63">
        <f t="shared" si="154"/>
        <v>435922.78488425701</v>
      </c>
      <c r="AA156" s="63">
        <f t="shared" si="154"/>
        <v>435922.78488425701</v>
      </c>
      <c r="AB156" s="63">
        <f t="shared" si="154"/>
        <v>435922.78488425701</v>
      </c>
      <c r="AC156" s="63">
        <f t="shared" si="154"/>
        <v>435922.78488425701</v>
      </c>
    </row>
    <row r="157" spans="1:29" x14ac:dyDescent="0.25">
      <c r="A157" s="30" t="str">
        <f>A138</f>
        <v>Residual value (vehicle)</v>
      </c>
      <c r="B157" s="62">
        <f>((1+B141)^B148)*B141/(((1+B141)^B148)-1)*(B138)</f>
        <v>-65388.417732638554</v>
      </c>
      <c r="C157" s="62">
        <f t="shared" ref="C157:AC157" si="155">((1+C141)^C148)*C141/(((1+C141)^C148)-1)*(C138)</f>
        <v>-65388.417732638554</v>
      </c>
      <c r="D157" s="62">
        <f t="shared" si="155"/>
        <v>-65388.417732638554</v>
      </c>
      <c r="E157" s="62">
        <f t="shared" si="155"/>
        <v>-65388.417732638554</v>
      </c>
      <c r="F157" s="62">
        <f t="shared" si="155"/>
        <v>-65388.417732638554</v>
      </c>
      <c r="G157" s="62">
        <f t="shared" si="155"/>
        <v>-65388.417732638554</v>
      </c>
      <c r="H157" s="62">
        <f t="shared" si="155"/>
        <v>-65388.417732638554</v>
      </c>
      <c r="I157" s="62">
        <f t="shared" si="155"/>
        <v>-65388.417732638554</v>
      </c>
      <c r="J157" s="62">
        <f t="shared" si="155"/>
        <v>-65388.417732638554</v>
      </c>
      <c r="K157" s="62">
        <f t="shared" si="155"/>
        <v>-65388.417732638554</v>
      </c>
      <c r="L157" s="62">
        <f t="shared" si="155"/>
        <v>-65388.417732638554</v>
      </c>
      <c r="M157" s="62">
        <f t="shared" si="155"/>
        <v>-65388.417732638554</v>
      </c>
      <c r="N157" s="62">
        <f t="shared" si="155"/>
        <v>-65388.417732638554</v>
      </c>
      <c r="O157" s="62">
        <f t="shared" si="155"/>
        <v>-65388.417732638554</v>
      </c>
      <c r="P157" s="62">
        <f t="shared" si="155"/>
        <v>-65388.417732638554</v>
      </c>
      <c r="Q157" s="62">
        <f t="shared" si="155"/>
        <v>-65388.417732638554</v>
      </c>
      <c r="R157" s="62">
        <f t="shared" si="155"/>
        <v>-65388.417732638554</v>
      </c>
      <c r="S157" s="62">
        <f t="shared" si="155"/>
        <v>-65388.417732638554</v>
      </c>
      <c r="T157" s="62">
        <f t="shared" si="155"/>
        <v>-65388.417732638554</v>
      </c>
      <c r="U157" s="62">
        <f t="shared" si="155"/>
        <v>-65388.417732638554</v>
      </c>
      <c r="V157" s="62">
        <f t="shared" si="155"/>
        <v>-65388.417732638554</v>
      </c>
      <c r="W157" s="62">
        <f t="shared" si="155"/>
        <v>-65388.417732638554</v>
      </c>
      <c r="X157" s="62">
        <f t="shared" si="155"/>
        <v>-65388.417732638554</v>
      </c>
      <c r="Y157" s="62">
        <f t="shared" si="155"/>
        <v>-65388.417732638554</v>
      </c>
      <c r="Z157" s="62">
        <f t="shared" si="155"/>
        <v>-65388.417732638554</v>
      </c>
      <c r="AA157" s="62">
        <f t="shared" si="155"/>
        <v>-65388.417732638554</v>
      </c>
      <c r="AB157" s="62">
        <f t="shared" si="155"/>
        <v>-65388.417732638554</v>
      </c>
      <c r="AC157" s="62">
        <f t="shared" si="155"/>
        <v>-65388.417732638554</v>
      </c>
    </row>
    <row r="158" spans="1:29" x14ac:dyDescent="0.25">
      <c r="A158" s="30" t="str">
        <f>A139</f>
        <v>Capex costumization</v>
      </c>
      <c r="B158" s="62">
        <f>((1+B141)^B149)*B141/(((1+B141)^B149)-1)*(B139)</f>
        <v>406833.9043442643</v>
      </c>
      <c r="C158" s="62">
        <f t="shared" ref="C158:AC158" si="156">((1+C141)^C149)*C141/(((1+C141)^C149)-1)*(C139)</f>
        <v>406833.9043442643</v>
      </c>
      <c r="D158" s="62">
        <f t="shared" si="156"/>
        <v>406833.9043442643</v>
      </c>
      <c r="E158" s="62">
        <f t="shared" si="156"/>
        <v>406833.9043442643</v>
      </c>
      <c r="F158" s="62">
        <f t="shared" si="156"/>
        <v>406833.9043442643</v>
      </c>
      <c r="G158" s="62">
        <f t="shared" si="156"/>
        <v>406833.9043442643</v>
      </c>
      <c r="H158" s="62">
        <f t="shared" si="156"/>
        <v>406833.9043442643</v>
      </c>
      <c r="I158" s="62">
        <f t="shared" si="156"/>
        <v>406833.9043442643</v>
      </c>
      <c r="J158" s="62">
        <f t="shared" si="156"/>
        <v>406833.9043442643</v>
      </c>
      <c r="K158" s="62">
        <f t="shared" si="156"/>
        <v>406833.9043442643</v>
      </c>
      <c r="L158" s="62">
        <f t="shared" si="156"/>
        <v>406833.9043442643</v>
      </c>
      <c r="M158" s="62">
        <f t="shared" si="156"/>
        <v>406833.9043442643</v>
      </c>
      <c r="N158" s="62">
        <f t="shared" si="156"/>
        <v>406833.9043442643</v>
      </c>
      <c r="O158" s="62">
        <f t="shared" si="156"/>
        <v>406833.9043442643</v>
      </c>
      <c r="P158" s="62">
        <f t="shared" si="156"/>
        <v>406833.9043442643</v>
      </c>
      <c r="Q158" s="62">
        <f t="shared" si="156"/>
        <v>406833.9043442643</v>
      </c>
      <c r="R158" s="62">
        <f t="shared" si="156"/>
        <v>406833.9043442643</v>
      </c>
      <c r="S158" s="62">
        <f t="shared" si="156"/>
        <v>406833.9043442643</v>
      </c>
      <c r="T158" s="62">
        <f t="shared" si="156"/>
        <v>406833.9043442643</v>
      </c>
      <c r="U158" s="62">
        <f t="shared" si="156"/>
        <v>406833.9043442643</v>
      </c>
      <c r="V158" s="62">
        <f t="shared" si="156"/>
        <v>406833.9043442643</v>
      </c>
      <c r="W158" s="62">
        <f t="shared" si="156"/>
        <v>406833.9043442643</v>
      </c>
      <c r="X158" s="62">
        <f t="shared" si="156"/>
        <v>406833.9043442643</v>
      </c>
      <c r="Y158" s="62">
        <f t="shared" si="156"/>
        <v>406833.9043442643</v>
      </c>
      <c r="Z158" s="62">
        <f t="shared" si="156"/>
        <v>406833.9043442643</v>
      </c>
      <c r="AA158" s="62">
        <f t="shared" si="156"/>
        <v>406833.9043442643</v>
      </c>
      <c r="AB158" s="62">
        <f t="shared" si="156"/>
        <v>406833.9043442643</v>
      </c>
      <c r="AC158" s="62">
        <f t="shared" si="156"/>
        <v>406833.9043442643</v>
      </c>
    </row>
    <row r="159" spans="1:29" x14ac:dyDescent="0.25">
      <c r="A159" s="30" t="str">
        <f>A140</f>
        <v>Residual value (costumization)</v>
      </c>
      <c r="B159" s="62">
        <f>((1+B141)^B149)*B141/(((1+B141)^B149)-1)*(B140)</f>
        <v>-20341.695217213215</v>
      </c>
      <c r="C159" s="62">
        <f t="shared" ref="C159:AC159" si="157">((1+C141)^C149)*C141/(((1+C141)^C149)-1)*(C140)</f>
        <v>-20341.695217213215</v>
      </c>
      <c r="D159" s="62">
        <f t="shared" si="157"/>
        <v>-20341.695217213215</v>
      </c>
      <c r="E159" s="62">
        <f t="shared" si="157"/>
        <v>-20341.695217213215</v>
      </c>
      <c r="F159" s="62">
        <f t="shared" si="157"/>
        <v>-20341.695217213215</v>
      </c>
      <c r="G159" s="62">
        <f t="shared" si="157"/>
        <v>-20341.695217213215</v>
      </c>
      <c r="H159" s="62">
        <f t="shared" si="157"/>
        <v>-20341.695217213215</v>
      </c>
      <c r="I159" s="62">
        <f t="shared" si="157"/>
        <v>-20341.695217213215</v>
      </c>
      <c r="J159" s="62">
        <f t="shared" si="157"/>
        <v>-20341.695217213215</v>
      </c>
      <c r="K159" s="62">
        <f t="shared" si="157"/>
        <v>-20341.695217213215</v>
      </c>
      <c r="L159" s="62">
        <f t="shared" si="157"/>
        <v>-20341.695217213215</v>
      </c>
      <c r="M159" s="62">
        <f t="shared" si="157"/>
        <v>-20341.695217213215</v>
      </c>
      <c r="N159" s="62">
        <f t="shared" si="157"/>
        <v>-20341.695217213215</v>
      </c>
      <c r="O159" s="62">
        <f t="shared" si="157"/>
        <v>-20341.695217213215</v>
      </c>
      <c r="P159" s="62">
        <f t="shared" si="157"/>
        <v>-20341.695217213215</v>
      </c>
      <c r="Q159" s="62">
        <f t="shared" si="157"/>
        <v>-20341.695217213215</v>
      </c>
      <c r="R159" s="62">
        <f t="shared" si="157"/>
        <v>-20341.695217213215</v>
      </c>
      <c r="S159" s="62">
        <f t="shared" si="157"/>
        <v>-20341.695217213215</v>
      </c>
      <c r="T159" s="62">
        <f t="shared" si="157"/>
        <v>-20341.695217213215</v>
      </c>
      <c r="U159" s="62">
        <f t="shared" si="157"/>
        <v>-20341.695217213215</v>
      </c>
      <c r="V159" s="62">
        <f t="shared" si="157"/>
        <v>-20341.695217213215</v>
      </c>
      <c r="W159" s="62">
        <f t="shared" si="157"/>
        <v>-20341.695217213215</v>
      </c>
      <c r="X159" s="62">
        <f t="shared" si="157"/>
        <v>-20341.695217213215</v>
      </c>
      <c r="Y159" s="62">
        <f t="shared" si="157"/>
        <v>-20341.695217213215</v>
      </c>
      <c r="Z159" s="62">
        <f t="shared" si="157"/>
        <v>-20341.695217213215</v>
      </c>
      <c r="AA159" s="62">
        <f t="shared" si="157"/>
        <v>-20341.695217213215</v>
      </c>
      <c r="AB159" s="62">
        <f t="shared" si="157"/>
        <v>-20341.695217213215</v>
      </c>
      <c r="AC159" s="62">
        <f t="shared" si="157"/>
        <v>-20341.695217213215</v>
      </c>
    </row>
    <row r="160" spans="1:29" x14ac:dyDescent="0.25">
      <c r="A160" s="30" t="str">
        <f t="shared" ref="A160:AC160" si="158">A142</f>
        <v>Opex fix (admin, crew, insurance)</v>
      </c>
      <c r="B160" s="62">
        <f t="shared" si="158"/>
        <v>620000</v>
      </c>
      <c r="C160" s="62">
        <f t="shared" si="158"/>
        <v>620000</v>
      </c>
      <c r="D160" s="62">
        <f t="shared" si="158"/>
        <v>620000</v>
      </c>
      <c r="E160" s="62">
        <f t="shared" si="158"/>
        <v>620000</v>
      </c>
      <c r="F160" s="62">
        <f t="shared" si="158"/>
        <v>620000</v>
      </c>
      <c r="G160" s="62">
        <f t="shared" si="158"/>
        <v>620000</v>
      </c>
      <c r="H160" s="62">
        <f t="shared" si="158"/>
        <v>620000</v>
      </c>
      <c r="I160" s="62">
        <f t="shared" si="158"/>
        <v>620000</v>
      </c>
      <c r="J160" s="62">
        <f t="shared" si="158"/>
        <v>620000</v>
      </c>
      <c r="K160" s="62">
        <f t="shared" si="158"/>
        <v>620000</v>
      </c>
      <c r="L160" s="62">
        <f t="shared" si="158"/>
        <v>620000</v>
      </c>
      <c r="M160" s="62">
        <f t="shared" si="158"/>
        <v>620000</v>
      </c>
      <c r="N160" s="62">
        <f t="shared" si="158"/>
        <v>620000</v>
      </c>
      <c r="O160" s="62">
        <f t="shared" si="158"/>
        <v>620000</v>
      </c>
      <c r="P160" s="62">
        <f t="shared" si="158"/>
        <v>620000</v>
      </c>
      <c r="Q160" s="62">
        <f t="shared" si="158"/>
        <v>620000</v>
      </c>
      <c r="R160" s="62">
        <f t="shared" si="158"/>
        <v>620000</v>
      </c>
      <c r="S160" s="62">
        <f t="shared" si="158"/>
        <v>620000</v>
      </c>
      <c r="T160" s="62">
        <f t="shared" si="158"/>
        <v>620000</v>
      </c>
      <c r="U160" s="62">
        <f t="shared" si="158"/>
        <v>620000</v>
      </c>
      <c r="V160" s="62">
        <f t="shared" si="158"/>
        <v>620000</v>
      </c>
      <c r="W160" s="62">
        <f t="shared" si="158"/>
        <v>620000</v>
      </c>
      <c r="X160" s="62">
        <f t="shared" si="158"/>
        <v>620000</v>
      </c>
      <c r="Y160" s="62">
        <f t="shared" si="158"/>
        <v>620000</v>
      </c>
      <c r="Z160" s="62">
        <f t="shared" si="158"/>
        <v>620000</v>
      </c>
      <c r="AA160" s="62">
        <f t="shared" si="158"/>
        <v>620000</v>
      </c>
      <c r="AB160" s="62">
        <f t="shared" si="158"/>
        <v>620000</v>
      </c>
      <c r="AC160" s="62">
        <f t="shared" si="158"/>
        <v>620000</v>
      </c>
    </row>
    <row r="161" spans="1:29" x14ac:dyDescent="0.25">
      <c r="A161" s="30" t="str">
        <f t="shared" ref="A161:AC161" si="159">A143</f>
        <v>Opex maintenance &amp; repair</v>
      </c>
      <c r="B161" s="62">
        <f t="shared" si="159"/>
        <v>650000</v>
      </c>
      <c r="C161" s="62">
        <f t="shared" si="159"/>
        <v>650000</v>
      </c>
      <c r="D161" s="62">
        <f t="shared" si="159"/>
        <v>650000</v>
      </c>
      <c r="E161" s="62">
        <f t="shared" si="159"/>
        <v>650000</v>
      </c>
      <c r="F161" s="62">
        <f t="shared" si="159"/>
        <v>650000</v>
      </c>
      <c r="G161" s="62">
        <f t="shared" si="159"/>
        <v>650000</v>
      </c>
      <c r="H161" s="62">
        <f t="shared" si="159"/>
        <v>650000</v>
      </c>
      <c r="I161" s="62">
        <f t="shared" si="159"/>
        <v>650000</v>
      </c>
      <c r="J161" s="62">
        <f t="shared" si="159"/>
        <v>650000</v>
      </c>
      <c r="K161" s="62">
        <f t="shared" si="159"/>
        <v>650000</v>
      </c>
      <c r="L161" s="62">
        <f t="shared" si="159"/>
        <v>650000</v>
      </c>
      <c r="M161" s="62">
        <f t="shared" si="159"/>
        <v>650000</v>
      </c>
      <c r="N161" s="62">
        <f t="shared" si="159"/>
        <v>650000</v>
      </c>
      <c r="O161" s="62">
        <f t="shared" si="159"/>
        <v>650000</v>
      </c>
      <c r="P161" s="62">
        <f t="shared" si="159"/>
        <v>650000</v>
      </c>
      <c r="Q161" s="62">
        <f t="shared" si="159"/>
        <v>650000</v>
      </c>
      <c r="R161" s="62">
        <f t="shared" si="159"/>
        <v>650000</v>
      </c>
      <c r="S161" s="62">
        <f t="shared" si="159"/>
        <v>650000</v>
      </c>
      <c r="T161" s="62">
        <f t="shared" si="159"/>
        <v>650000</v>
      </c>
      <c r="U161" s="62">
        <f t="shared" si="159"/>
        <v>650000</v>
      </c>
      <c r="V161" s="62">
        <f t="shared" si="159"/>
        <v>650000</v>
      </c>
      <c r="W161" s="62">
        <f t="shared" si="159"/>
        <v>650000</v>
      </c>
      <c r="X161" s="62">
        <f t="shared" si="159"/>
        <v>650000</v>
      </c>
      <c r="Y161" s="62">
        <f t="shared" si="159"/>
        <v>650000</v>
      </c>
      <c r="Z161" s="62">
        <f t="shared" si="159"/>
        <v>650000</v>
      </c>
      <c r="AA161" s="62">
        <f t="shared" si="159"/>
        <v>650000</v>
      </c>
      <c r="AB161" s="62">
        <f t="shared" si="159"/>
        <v>650000</v>
      </c>
      <c r="AC161" s="62">
        <f t="shared" si="159"/>
        <v>650000</v>
      </c>
    </row>
    <row r="162" spans="1:29" x14ac:dyDescent="0.25">
      <c r="A162" s="30" t="str">
        <f>A144</f>
        <v>Opex var (mode-fees, shunting)</v>
      </c>
      <c r="B162" s="62">
        <f>B144*B153</f>
        <v>650000</v>
      </c>
      <c r="C162" s="62">
        <f t="shared" ref="C162:AC162" si="160">C144*C153</f>
        <v>650000</v>
      </c>
      <c r="D162" s="62">
        <f t="shared" si="160"/>
        <v>650000</v>
      </c>
      <c r="E162" s="62">
        <f t="shared" si="160"/>
        <v>650000</v>
      </c>
      <c r="F162" s="62">
        <f t="shared" si="160"/>
        <v>650000</v>
      </c>
      <c r="G162" s="62">
        <f t="shared" si="160"/>
        <v>650000</v>
      </c>
      <c r="H162" s="62">
        <f t="shared" si="160"/>
        <v>650000</v>
      </c>
      <c r="I162" s="62">
        <f t="shared" si="160"/>
        <v>650000</v>
      </c>
      <c r="J162" s="62">
        <f t="shared" si="160"/>
        <v>650000</v>
      </c>
      <c r="K162" s="62">
        <f t="shared" si="160"/>
        <v>650000</v>
      </c>
      <c r="L162" s="62">
        <f t="shared" si="160"/>
        <v>650000</v>
      </c>
      <c r="M162" s="62">
        <f t="shared" si="160"/>
        <v>650000</v>
      </c>
      <c r="N162" s="62">
        <f t="shared" si="160"/>
        <v>650000</v>
      </c>
      <c r="O162" s="62">
        <f t="shared" si="160"/>
        <v>650000</v>
      </c>
      <c r="P162" s="62">
        <f t="shared" si="160"/>
        <v>650000</v>
      </c>
      <c r="Q162" s="62">
        <f t="shared" si="160"/>
        <v>650000</v>
      </c>
      <c r="R162" s="62">
        <f t="shared" si="160"/>
        <v>650000</v>
      </c>
      <c r="S162" s="62">
        <f t="shared" si="160"/>
        <v>650000</v>
      </c>
      <c r="T162" s="62">
        <f t="shared" si="160"/>
        <v>650000</v>
      </c>
      <c r="U162" s="62">
        <f t="shared" si="160"/>
        <v>650000</v>
      </c>
      <c r="V162" s="62">
        <f t="shared" si="160"/>
        <v>650000</v>
      </c>
      <c r="W162" s="62">
        <f t="shared" si="160"/>
        <v>650000</v>
      </c>
      <c r="X162" s="62">
        <f t="shared" si="160"/>
        <v>650000</v>
      </c>
      <c r="Y162" s="62">
        <f t="shared" si="160"/>
        <v>650000</v>
      </c>
      <c r="Z162" s="62">
        <f t="shared" si="160"/>
        <v>650000</v>
      </c>
      <c r="AA162" s="62">
        <f t="shared" si="160"/>
        <v>650000</v>
      </c>
      <c r="AB162" s="62">
        <f t="shared" si="160"/>
        <v>650000</v>
      </c>
      <c r="AC162" s="62">
        <f t="shared" si="160"/>
        <v>650000</v>
      </c>
    </row>
    <row r="163" spans="1:29" x14ac:dyDescent="0.25">
      <c r="A163" s="30" t="str">
        <f>A146</f>
        <v>Fuel Cost</v>
      </c>
      <c r="B163" s="62">
        <f>B145*B146*B153</f>
        <v>457095.41846307018</v>
      </c>
      <c r="C163" s="62">
        <f t="shared" ref="C163:AC163" si="161">C145*C146*C153</f>
        <v>457095.41846307018</v>
      </c>
      <c r="D163" s="62">
        <f t="shared" si="161"/>
        <v>457095.41846307018</v>
      </c>
      <c r="E163" s="62">
        <f t="shared" si="161"/>
        <v>457095.41846307018</v>
      </c>
      <c r="F163" s="62">
        <f t="shared" si="161"/>
        <v>457095.41846307018</v>
      </c>
      <c r="G163" s="62">
        <f t="shared" si="161"/>
        <v>457095.41846307018</v>
      </c>
      <c r="H163" s="62">
        <f t="shared" si="161"/>
        <v>457095.41846307018</v>
      </c>
      <c r="I163" s="62">
        <f t="shared" si="161"/>
        <v>457095.41846307018</v>
      </c>
      <c r="J163" s="62">
        <f t="shared" si="161"/>
        <v>468757.93473681842</v>
      </c>
      <c r="K163" s="62">
        <f t="shared" si="161"/>
        <v>480420.45101056673</v>
      </c>
      <c r="L163" s="62">
        <f t="shared" si="161"/>
        <v>492082.96728431497</v>
      </c>
      <c r="M163" s="62">
        <f t="shared" si="161"/>
        <v>503745.48355806334</v>
      </c>
      <c r="N163" s="62">
        <f t="shared" si="161"/>
        <v>515407.99983181141</v>
      </c>
      <c r="O163" s="62">
        <f t="shared" si="161"/>
        <v>510517.26720088476</v>
      </c>
      <c r="P163" s="62">
        <f t="shared" si="161"/>
        <v>505626.53456995805</v>
      </c>
      <c r="Q163" s="62">
        <f t="shared" si="161"/>
        <v>500735.80193903128</v>
      </c>
      <c r="R163" s="62">
        <f t="shared" si="161"/>
        <v>495845.06930810458</v>
      </c>
      <c r="S163" s="62">
        <f t="shared" si="161"/>
        <v>490954.33667717798</v>
      </c>
      <c r="T163" s="62">
        <f t="shared" si="161"/>
        <v>486063.60404625122</v>
      </c>
      <c r="U163" s="62">
        <f t="shared" si="161"/>
        <v>481172.87141532457</v>
      </c>
      <c r="V163" s="62">
        <f t="shared" si="161"/>
        <v>476282.13878439786</v>
      </c>
      <c r="W163" s="62">
        <f t="shared" si="161"/>
        <v>471391.40615347109</v>
      </c>
      <c r="X163" s="62">
        <f t="shared" si="161"/>
        <v>466500.67352254456</v>
      </c>
      <c r="Y163" s="62">
        <f t="shared" si="161"/>
        <v>461609.94089161785</v>
      </c>
      <c r="Z163" s="62">
        <f t="shared" si="161"/>
        <v>456719.20826069114</v>
      </c>
      <c r="AA163" s="62">
        <f t="shared" si="161"/>
        <v>451828.47562976438</v>
      </c>
      <c r="AB163" s="62">
        <f t="shared" si="161"/>
        <v>446937.74299883778</v>
      </c>
      <c r="AC163" s="62">
        <f t="shared" si="161"/>
        <v>442047.01036791113</v>
      </c>
    </row>
    <row r="164" spans="1:29" ht="15.75" thickBot="1" x14ac:dyDescent="0.3">
      <c r="A164" s="59" t="str">
        <f>A127</f>
        <v>Emission Cost</v>
      </c>
      <c r="B164" s="62">
        <f>B147*B153</f>
        <v>0</v>
      </c>
      <c r="C164" s="62">
        <f t="shared" ref="C164:AC164" si="162">C147*C153</f>
        <v>0</v>
      </c>
      <c r="D164" s="62">
        <f t="shared" si="162"/>
        <v>0</v>
      </c>
      <c r="E164" s="62">
        <f t="shared" si="162"/>
        <v>0</v>
      </c>
      <c r="F164" s="62">
        <f t="shared" si="162"/>
        <v>0</v>
      </c>
      <c r="G164" s="62">
        <f t="shared" si="162"/>
        <v>0</v>
      </c>
      <c r="H164" s="62">
        <f t="shared" si="162"/>
        <v>0</v>
      </c>
      <c r="I164" s="62">
        <f t="shared" si="162"/>
        <v>0</v>
      </c>
      <c r="J164" s="62">
        <f t="shared" si="162"/>
        <v>0</v>
      </c>
      <c r="K164" s="62">
        <f t="shared" si="162"/>
        <v>0</v>
      </c>
      <c r="L164" s="62">
        <f t="shared" si="162"/>
        <v>0</v>
      </c>
      <c r="M164" s="62">
        <f t="shared" si="162"/>
        <v>0</v>
      </c>
      <c r="N164" s="62">
        <f t="shared" si="162"/>
        <v>0</v>
      </c>
      <c r="O164" s="62">
        <f t="shared" si="162"/>
        <v>0</v>
      </c>
      <c r="P164" s="62">
        <f t="shared" si="162"/>
        <v>0</v>
      </c>
      <c r="Q164" s="62">
        <f t="shared" si="162"/>
        <v>0</v>
      </c>
      <c r="R164" s="62">
        <f t="shared" si="162"/>
        <v>0</v>
      </c>
      <c r="S164" s="62">
        <f t="shared" si="162"/>
        <v>0</v>
      </c>
      <c r="T164" s="62">
        <f t="shared" si="162"/>
        <v>0</v>
      </c>
      <c r="U164" s="62">
        <f t="shared" si="162"/>
        <v>0</v>
      </c>
      <c r="V164" s="62">
        <f t="shared" si="162"/>
        <v>0</v>
      </c>
      <c r="W164" s="62">
        <f t="shared" si="162"/>
        <v>0</v>
      </c>
      <c r="X164" s="62">
        <f t="shared" si="162"/>
        <v>0</v>
      </c>
      <c r="Y164" s="62">
        <f t="shared" si="162"/>
        <v>0</v>
      </c>
      <c r="Z164" s="62">
        <f t="shared" si="162"/>
        <v>0</v>
      </c>
      <c r="AA164" s="62">
        <f t="shared" si="162"/>
        <v>0</v>
      </c>
      <c r="AB164" s="62">
        <f t="shared" si="162"/>
        <v>0</v>
      </c>
      <c r="AC164" s="62">
        <f t="shared" si="162"/>
        <v>0</v>
      </c>
    </row>
    <row r="165" spans="1:29" ht="15.75" thickBot="1" x14ac:dyDescent="0.3">
      <c r="A165" s="31" t="s">
        <v>209</v>
      </c>
      <c r="B165" s="64">
        <f>B156+B157+B158+B159+B160+B161+B162+B163+B164</f>
        <v>3134121.9947417397</v>
      </c>
      <c r="C165" s="64">
        <f t="shared" ref="C165:AC165" si="163">C156+C157+C158+C159+C160+C161+C162+C163+C164</f>
        <v>3134121.9947417397</v>
      </c>
      <c r="D165" s="64">
        <f t="shared" si="163"/>
        <v>3134121.9947417397</v>
      </c>
      <c r="E165" s="64">
        <f t="shared" si="163"/>
        <v>3134121.9947417397</v>
      </c>
      <c r="F165" s="64">
        <f t="shared" si="163"/>
        <v>3134121.9947417397</v>
      </c>
      <c r="G165" s="64">
        <f t="shared" si="163"/>
        <v>3134121.9947417397</v>
      </c>
      <c r="H165" s="64">
        <f t="shared" si="163"/>
        <v>3134121.9947417397</v>
      </c>
      <c r="I165" s="64">
        <f t="shared" si="163"/>
        <v>3134121.9947417397</v>
      </c>
      <c r="J165" s="64">
        <f t="shared" si="163"/>
        <v>3145784.5110154883</v>
      </c>
      <c r="K165" s="64">
        <f t="shared" si="163"/>
        <v>3157447.0272892364</v>
      </c>
      <c r="L165" s="64">
        <f t="shared" si="163"/>
        <v>3169109.5435629846</v>
      </c>
      <c r="M165" s="64">
        <f t="shared" si="163"/>
        <v>3180772.0598367332</v>
      </c>
      <c r="N165" s="64">
        <f t="shared" si="163"/>
        <v>3192434.5761104813</v>
      </c>
      <c r="O165" s="64">
        <f t="shared" si="163"/>
        <v>3187543.8434795546</v>
      </c>
      <c r="P165" s="64">
        <f t="shared" si="163"/>
        <v>3182653.110848628</v>
      </c>
      <c r="Q165" s="64">
        <f t="shared" si="163"/>
        <v>3177762.3782177009</v>
      </c>
      <c r="R165" s="64">
        <f t="shared" si="163"/>
        <v>3172871.6455867742</v>
      </c>
      <c r="S165" s="64">
        <f t="shared" si="163"/>
        <v>3167980.9129558476</v>
      </c>
      <c r="T165" s="64">
        <f t="shared" si="163"/>
        <v>3163090.1803249209</v>
      </c>
      <c r="U165" s="64">
        <f t="shared" si="163"/>
        <v>3158199.4476939943</v>
      </c>
      <c r="V165" s="64">
        <f t="shared" si="163"/>
        <v>3153308.7150630676</v>
      </c>
      <c r="W165" s="64">
        <f t="shared" si="163"/>
        <v>3148417.982432141</v>
      </c>
      <c r="X165" s="64">
        <f t="shared" si="163"/>
        <v>3143527.2498012143</v>
      </c>
      <c r="Y165" s="64">
        <f t="shared" si="163"/>
        <v>3138636.5171702877</v>
      </c>
      <c r="Z165" s="64">
        <f t="shared" si="163"/>
        <v>3133745.784539361</v>
      </c>
      <c r="AA165" s="64">
        <f t="shared" si="163"/>
        <v>3128855.0519084344</v>
      </c>
      <c r="AB165" s="64">
        <f t="shared" si="163"/>
        <v>3123964.3192775077</v>
      </c>
      <c r="AC165" s="64">
        <f t="shared" si="163"/>
        <v>3119073.5866465811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4">A156</f>
        <v>Capex vehicle</v>
      </c>
      <c r="B168" s="65">
        <f>((1+B141)^B148)*B141/(((1+B141)^B148)-1)*(B137)/B153</f>
        <v>2.4421444531330927</v>
      </c>
      <c r="C168" s="65">
        <f t="shared" ref="C168:AC168" si="165">((1+C141)^C148)*C141/(((1+C141)^C148)-1)*(C137)/C153</f>
        <v>2.4421444531330927</v>
      </c>
      <c r="D168" s="65">
        <f t="shared" si="165"/>
        <v>2.4421444531330927</v>
      </c>
      <c r="E168" s="65">
        <f t="shared" si="165"/>
        <v>2.4421444531330927</v>
      </c>
      <c r="F168" s="65">
        <f t="shared" si="165"/>
        <v>2.4421444531330927</v>
      </c>
      <c r="G168" s="65">
        <f t="shared" si="165"/>
        <v>2.4421444531330927</v>
      </c>
      <c r="H168" s="65">
        <f t="shared" si="165"/>
        <v>2.4421444531330927</v>
      </c>
      <c r="I168" s="65">
        <f t="shared" si="165"/>
        <v>2.4421444531330927</v>
      </c>
      <c r="J168" s="65">
        <f t="shared" si="165"/>
        <v>2.4421444531330927</v>
      </c>
      <c r="K168" s="65">
        <f t="shared" si="165"/>
        <v>2.4421444531330927</v>
      </c>
      <c r="L168" s="65">
        <f t="shared" si="165"/>
        <v>2.4421444531330927</v>
      </c>
      <c r="M168" s="65">
        <f t="shared" si="165"/>
        <v>2.4421444531330927</v>
      </c>
      <c r="N168" s="65">
        <f t="shared" si="165"/>
        <v>2.4421444531330927</v>
      </c>
      <c r="O168" s="65">
        <f t="shared" si="165"/>
        <v>2.4421444531330927</v>
      </c>
      <c r="P168" s="65">
        <f t="shared" si="165"/>
        <v>2.4421444531330927</v>
      </c>
      <c r="Q168" s="65">
        <f t="shared" si="165"/>
        <v>2.4421444531330927</v>
      </c>
      <c r="R168" s="65">
        <f t="shared" si="165"/>
        <v>2.4421444531330927</v>
      </c>
      <c r="S168" s="65">
        <f t="shared" si="165"/>
        <v>2.4421444531330927</v>
      </c>
      <c r="T168" s="65">
        <f t="shared" si="165"/>
        <v>2.4421444531330927</v>
      </c>
      <c r="U168" s="65">
        <f t="shared" si="165"/>
        <v>2.4421444531330927</v>
      </c>
      <c r="V168" s="65">
        <f t="shared" si="165"/>
        <v>2.4421444531330927</v>
      </c>
      <c r="W168" s="65">
        <f t="shared" si="165"/>
        <v>2.4421444531330927</v>
      </c>
      <c r="X168" s="65">
        <f t="shared" si="165"/>
        <v>2.4421444531330927</v>
      </c>
      <c r="Y168" s="65">
        <f t="shared" si="165"/>
        <v>2.4421444531330927</v>
      </c>
      <c r="Z168" s="65">
        <f t="shared" si="165"/>
        <v>2.4421444531330927</v>
      </c>
      <c r="AA168" s="65">
        <f t="shared" si="165"/>
        <v>2.4421444531330927</v>
      </c>
      <c r="AB168" s="65">
        <f t="shared" si="165"/>
        <v>2.4421444531330927</v>
      </c>
      <c r="AC168" s="65">
        <f t="shared" si="165"/>
        <v>2.4421444531330927</v>
      </c>
    </row>
    <row r="169" spans="1:29" x14ac:dyDescent="0.25">
      <c r="A169" s="30" t="str">
        <f t="shared" si="164"/>
        <v>Residual value (vehicle)</v>
      </c>
      <c r="B169" s="66">
        <f>((1+B141)^B148)*B141/(((1+B141)^B148)-1)*(B138)/B153</f>
        <v>-0.3663216679699639</v>
      </c>
      <c r="C169" s="66">
        <f t="shared" ref="C169:AC169" si="166">((1+C141)^C148)*C141/(((1+C141)^C148)-1)*(C138)/C153</f>
        <v>-0.3663216679699639</v>
      </c>
      <c r="D169" s="66">
        <f t="shared" si="166"/>
        <v>-0.3663216679699639</v>
      </c>
      <c r="E169" s="66">
        <f t="shared" si="166"/>
        <v>-0.3663216679699639</v>
      </c>
      <c r="F169" s="66">
        <f t="shared" si="166"/>
        <v>-0.3663216679699639</v>
      </c>
      <c r="G169" s="66">
        <f t="shared" si="166"/>
        <v>-0.3663216679699639</v>
      </c>
      <c r="H169" s="66">
        <f t="shared" si="166"/>
        <v>-0.3663216679699639</v>
      </c>
      <c r="I169" s="66">
        <f t="shared" si="166"/>
        <v>-0.3663216679699639</v>
      </c>
      <c r="J169" s="66">
        <f t="shared" si="166"/>
        <v>-0.3663216679699639</v>
      </c>
      <c r="K169" s="66">
        <f t="shared" si="166"/>
        <v>-0.3663216679699639</v>
      </c>
      <c r="L169" s="66">
        <f t="shared" si="166"/>
        <v>-0.3663216679699639</v>
      </c>
      <c r="M169" s="66">
        <f t="shared" si="166"/>
        <v>-0.3663216679699639</v>
      </c>
      <c r="N169" s="66">
        <f t="shared" si="166"/>
        <v>-0.3663216679699639</v>
      </c>
      <c r="O169" s="66">
        <f t="shared" si="166"/>
        <v>-0.3663216679699639</v>
      </c>
      <c r="P169" s="66">
        <f t="shared" si="166"/>
        <v>-0.3663216679699639</v>
      </c>
      <c r="Q169" s="66">
        <f t="shared" si="166"/>
        <v>-0.3663216679699639</v>
      </c>
      <c r="R169" s="66">
        <f t="shared" si="166"/>
        <v>-0.3663216679699639</v>
      </c>
      <c r="S169" s="66">
        <f t="shared" si="166"/>
        <v>-0.3663216679699639</v>
      </c>
      <c r="T169" s="66">
        <f t="shared" si="166"/>
        <v>-0.3663216679699639</v>
      </c>
      <c r="U169" s="66">
        <f t="shared" si="166"/>
        <v>-0.3663216679699639</v>
      </c>
      <c r="V169" s="66">
        <f t="shared" si="166"/>
        <v>-0.3663216679699639</v>
      </c>
      <c r="W169" s="66">
        <f t="shared" si="166"/>
        <v>-0.3663216679699639</v>
      </c>
      <c r="X169" s="66">
        <f t="shared" si="166"/>
        <v>-0.3663216679699639</v>
      </c>
      <c r="Y169" s="66">
        <f t="shared" si="166"/>
        <v>-0.3663216679699639</v>
      </c>
      <c r="Z169" s="66">
        <f t="shared" si="166"/>
        <v>-0.3663216679699639</v>
      </c>
      <c r="AA169" s="66">
        <f t="shared" si="166"/>
        <v>-0.3663216679699639</v>
      </c>
      <c r="AB169" s="66">
        <f t="shared" si="166"/>
        <v>-0.3663216679699639</v>
      </c>
      <c r="AC169" s="66">
        <f t="shared" si="166"/>
        <v>-0.3663216679699639</v>
      </c>
    </row>
    <row r="170" spans="1:29" x14ac:dyDescent="0.25">
      <c r="A170" s="30" t="str">
        <f t="shared" si="164"/>
        <v>Capex costumization</v>
      </c>
      <c r="B170" s="66">
        <f>((1+B141)^B149)*B141/(((1+B141)^B149)-1)*(B139)/B153</f>
        <v>2.2791815369426573</v>
      </c>
      <c r="C170" s="66">
        <f t="shared" ref="C170:AC170" si="167">((1+C141)^C149)*C141/(((1+C141)^C149)-1)*(C139)/C153</f>
        <v>2.2791815369426573</v>
      </c>
      <c r="D170" s="66">
        <f t="shared" si="167"/>
        <v>2.2791815369426573</v>
      </c>
      <c r="E170" s="66">
        <f t="shared" si="167"/>
        <v>2.2791815369426573</v>
      </c>
      <c r="F170" s="66">
        <f t="shared" si="167"/>
        <v>2.2791815369426573</v>
      </c>
      <c r="G170" s="66">
        <f t="shared" si="167"/>
        <v>2.2791815369426573</v>
      </c>
      <c r="H170" s="66">
        <f t="shared" si="167"/>
        <v>2.2791815369426573</v>
      </c>
      <c r="I170" s="66">
        <f t="shared" si="167"/>
        <v>2.2791815369426573</v>
      </c>
      <c r="J170" s="66">
        <f t="shared" si="167"/>
        <v>2.2791815369426573</v>
      </c>
      <c r="K170" s="66">
        <f t="shared" si="167"/>
        <v>2.2791815369426573</v>
      </c>
      <c r="L170" s="66">
        <f t="shared" si="167"/>
        <v>2.2791815369426573</v>
      </c>
      <c r="M170" s="66">
        <f t="shared" si="167"/>
        <v>2.2791815369426573</v>
      </c>
      <c r="N170" s="66">
        <f t="shared" si="167"/>
        <v>2.2791815369426573</v>
      </c>
      <c r="O170" s="66">
        <f t="shared" si="167"/>
        <v>2.2791815369426573</v>
      </c>
      <c r="P170" s="66">
        <f t="shared" si="167"/>
        <v>2.2791815369426573</v>
      </c>
      <c r="Q170" s="66">
        <f t="shared" si="167"/>
        <v>2.2791815369426573</v>
      </c>
      <c r="R170" s="66">
        <f t="shared" si="167"/>
        <v>2.2791815369426573</v>
      </c>
      <c r="S170" s="66">
        <f t="shared" si="167"/>
        <v>2.2791815369426573</v>
      </c>
      <c r="T170" s="66">
        <f t="shared" si="167"/>
        <v>2.2791815369426573</v>
      </c>
      <c r="U170" s="66">
        <f t="shared" si="167"/>
        <v>2.2791815369426573</v>
      </c>
      <c r="V170" s="66">
        <f t="shared" si="167"/>
        <v>2.2791815369426573</v>
      </c>
      <c r="W170" s="66">
        <f t="shared" si="167"/>
        <v>2.2791815369426573</v>
      </c>
      <c r="X170" s="66">
        <f t="shared" si="167"/>
        <v>2.2791815369426573</v>
      </c>
      <c r="Y170" s="66">
        <f t="shared" si="167"/>
        <v>2.2791815369426573</v>
      </c>
      <c r="Z170" s="66">
        <f t="shared" si="167"/>
        <v>2.2791815369426573</v>
      </c>
      <c r="AA170" s="66">
        <f t="shared" si="167"/>
        <v>2.2791815369426573</v>
      </c>
      <c r="AB170" s="66">
        <f t="shared" si="167"/>
        <v>2.2791815369426573</v>
      </c>
      <c r="AC170" s="66">
        <f t="shared" si="167"/>
        <v>2.2791815369426573</v>
      </c>
    </row>
    <row r="171" spans="1:29" x14ac:dyDescent="0.25">
      <c r="A171" s="30" t="str">
        <f t="shared" si="164"/>
        <v>Residual value (costumization)</v>
      </c>
      <c r="B171" s="66">
        <f>((1+B141)^B149)*B141/(((1+B141)^B149)-1)*(B140)/B153</f>
        <v>-0.11395907684713286</v>
      </c>
      <c r="C171" s="66">
        <f t="shared" ref="C171:AC171" si="168">((1+C141)^C149)*C141/(((1+C141)^C149)-1)*(C140)/C153</f>
        <v>-0.11395907684713286</v>
      </c>
      <c r="D171" s="66">
        <f t="shared" si="168"/>
        <v>-0.11395907684713286</v>
      </c>
      <c r="E171" s="66">
        <f t="shared" si="168"/>
        <v>-0.11395907684713286</v>
      </c>
      <c r="F171" s="66">
        <f t="shared" si="168"/>
        <v>-0.11395907684713286</v>
      </c>
      <c r="G171" s="66">
        <f t="shared" si="168"/>
        <v>-0.11395907684713286</v>
      </c>
      <c r="H171" s="66">
        <f t="shared" si="168"/>
        <v>-0.11395907684713286</v>
      </c>
      <c r="I171" s="66">
        <f t="shared" si="168"/>
        <v>-0.11395907684713286</v>
      </c>
      <c r="J171" s="66">
        <f t="shared" si="168"/>
        <v>-0.11395907684713286</v>
      </c>
      <c r="K171" s="66">
        <f t="shared" si="168"/>
        <v>-0.11395907684713286</v>
      </c>
      <c r="L171" s="66">
        <f t="shared" si="168"/>
        <v>-0.11395907684713286</v>
      </c>
      <c r="M171" s="66">
        <f t="shared" si="168"/>
        <v>-0.11395907684713286</v>
      </c>
      <c r="N171" s="66">
        <f t="shared" si="168"/>
        <v>-0.11395907684713286</v>
      </c>
      <c r="O171" s="66">
        <f t="shared" si="168"/>
        <v>-0.11395907684713286</v>
      </c>
      <c r="P171" s="66">
        <f t="shared" si="168"/>
        <v>-0.11395907684713286</v>
      </c>
      <c r="Q171" s="66">
        <f t="shared" si="168"/>
        <v>-0.11395907684713286</v>
      </c>
      <c r="R171" s="66">
        <f t="shared" si="168"/>
        <v>-0.11395907684713286</v>
      </c>
      <c r="S171" s="66">
        <f t="shared" si="168"/>
        <v>-0.11395907684713286</v>
      </c>
      <c r="T171" s="66">
        <f t="shared" si="168"/>
        <v>-0.11395907684713286</v>
      </c>
      <c r="U171" s="66">
        <f t="shared" si="168"/>
        <v>-0.11395907684713286</v>
      </c>
      <c r="V171" s="66">
        <f t="shared" si="168"/>
        <v>-0.11395907684713286</v>
      </c>
      <c r="W171" s="66">
        <f t="shared" si="168"/>
        <v>-0.11395907684713286</v>
      </c>
      <c r="X171" s="66">
        <f t="shared" si="168"/>
        <v>-0.11395907684713286</v>
      </c>
      <c r="Y171" s="66">
        <f t="shared" si="168"/>
        <v>-0.11395907684713286</v>
      </c>
      <c r="Z171" s="66">
        <f t="shared" si="168"/>
        <v>-0.11395907684713286</v>
      </c>
      <c r="AA171" s="66">
        <f t="shared" si="168"/>
        <v>-0.11395907684713286</v>
      </c>
      <c r="AB171" s="66">
        <f t="shared" si="168"/>
        <v>-0.11395907684713286</v>
      </c>
      <c r="AC171" s="66">
        <f t="shared" si="168"/>
        <v>-0.11395907684713286</v>
      </c>
    </row>
    <row r="172" spans="1:29" x14ac:dyDescent="0.25">
      <c r="A172" s="30" t="str">
        <f t="shared" si="164"/>
        <v>Opex fix (admin, crew, insurance)</v>
      </c>
      <c r="B172" s="66">
        <f>B142/B153</f>
        <v>3.473389355742297</v>
      </c>
      <c r="C172" s="66">
        <f t="shared" ref="C172:AC172" si="169">C142/C153</f>
        <v>3.473389355742297</v>
      </c>
      <c r="D172" s="66">
        <f t="shared" si="169"/>
        <v>3.473389355742297</v>
      </c>
      <c r="E172" s="66">
        <f t="shared" si="169"/>
        <v>3.473389355742297</v>
      </c>
      <c r="F172" s="66">
        <f t="shared" si="169"/>
        <v>3.473389355742297</v>
      </c>
      <c r="G172" s="66">
        <f t="shared" si="169"/>
        <v>3.473389355742297</v>
      </c>
      <c r="H172" s="66">
        <f t="shared" si="169"/>
        <v>3.473389355742297</v>
      </c>
      <c r="I172" s="66">
        <f t="shared" si="169"/>
        <v>3.473389355742297</v>
      </c>
      <c r="J172" s="66">
        <f t="shared" si="169"/>
        <v>3.473389355742297</v>
      </c>
      <c r="K172" s="66">
        <f t="shared" si="169"/>
        <v>3.473389355742297</v>
      </c>
      <c r="L172" s="66">
        <f t="shared" si="169"/>
        <v>3.473389355742297</v>
      </c>
      <c r="M172" s="66">
        <f t="shared" si="169"/>
        <v>3.473389355742297</v>
      </c>
      <c r="N172" s="66">
        <f t="shared" si="169"/>
        <v>3.473389355742297</v>
      </c>
      <c r="O172" s="66">
        <f t="shared" si="169"/>
        <v>3.473389355742297</v>
      </c>
      <c r="P172" s="66">
        <f t="shared" si="169"/>
        <v>3.473389355742297</v>
      </c>
      <c r="Q172" s="66">
        <f t="shared" si="169"/>
        <v>3.473389355742297</v>
      </c>
      <c r="R172" s="66">
        <f t="shared" si="169"/>
        <v>3.473389355742297</v>
      </c>
      <c r="S172" s="66">
        <f t="shared" si="169"/>
        <v>3.473389355742297</v>
      </c>
      <c r="T172" s="66">
        <f t="shared" si="169"/>
        <v>3.473389355742297</v>
      </c>
      <c r="U172" s="66">
        <f t="shared" si="169"/>
        <v>3.473389355742297</v>
      </c>
      <c r="V172" s="66">
        <f t="shared" si="169"/>
        <v>3.473389355742297</v>
      </c>
      <c r="W172" s="66">
        <f t="shared" si="169"/>
        <v>3.473389355742297</v>
      </c>
      <c r="X172" s="66">
        <f t="shared" si="169"/>
        <v>3.473389355742297</v>
      </c>
      <c r="Y172" s="66">
        <f t="shared" si="169"/>
        <v>3.473389355742297</v>
      </c>
      <c r="Z172" s="66">
        <f t="shared" si="169"/>
        <v>3.473389355742297</v>
      </c>
      <c r="AA172" s="66">
        <f t="shared" si="169"/>
        <v>3.473389355742297</v>
      </c>
      <c r="AB172" s="66">
        <f t="shared" si="169"/>
        <v>3.473389355742297</v>
      </c>
      <c r="AC172" s="66">
        <f t="shared" si="169"/>
        <v>3.473389355742297</v>
      </c>
    </row>
    <row r="173" spans="1:29" x14ac:dyDescent="0.25">
      <c r="A173" s="30" t="str">
        <f t="shared" si="164"/>
        <v>Opex maintenance &amp; repair</v>
      </c>
      <c r="B173" s="66">
        <f>B143/B153</f>
        <v>3.6414565826330532</v>
      </c>
      <c r="C173" s="66">
        <f t="shared" ref="C173:AC173" si="170">C143/C153</f>
        <v>3.6414565826330532</v>
      </c>
      <c r="D173" s="66">
        <f t="shared" si="170"/>
        <v>3.6414565826330532</v>
      </c>
      <c r="E173" s="66">
        <f t="shared" si="170"/>
        <v>3.6414565826330532</v>
      </c>
      <c r="F173" s="66">
        <f t="shared" si="170"/>
        <v>3.6414565826330532</v>
      </c>
      <c r="G173" s="66">
        <f t="shared" si="170"/>
        <v>3.6414565826330532</v>
      </c>
      <c r="H173" s="66">
        <f t="shared" si="170"/>
        <v>3.6414565826330532</v>
      </c>
      <c r="I173" s="66">
        <f t="shared" si="170"/>
        <v>3.6414565826330532</v>
      </c>
      <c r="J173" s="66">
        <f t="shared" si="170"/>
        <v>3.6414565826330532</v>
      </c>
      <c r="K173" s="66">
        <f t="shared" si="170"/>
        <v>3.6414565826330532</v>
      </c>
      <c r="L173" s="66">
        <f t="shared" si="170"/>
        <v>3.6414565826330532</v>
      </c>
      <c r="M173" s="66">
        <f t="shared" si="170"/>
        <v>3.6414565826330532</v>
      </c>
      <c r="N173" s="66">
        <f t="shared" si="170"/>
        <v>3.6414565826330532</v>
      </c>
      <c r="O173" s="66">
        <f t="shared" si="170"/>
        <v>3.6414565826330532</v>
      </c>
      <c r="P173" s="66">
        <f t="shared" si="170"/>
        <v>3.6414565826330532</v>
      </c>
      <c r="Q173" s="66">
        <f t="shared" si="170"/>
        <v>3.6414565826330532</v>
      </c>
      <c r="R173" s="66">
        <f t="shared" si="170"/>
        <v>3.6414565826330532</v>
      </c>
      <c r="S173" s="66">
        <f t="shared" si="170"/>
        <v>3.6414565826330532</v>
      </c>
      <c r="T173" s="66">
        <f t="shared" si="170"/>
        <v>3.6414565826330532</v>
      </c>
      <c r="U173" s="66">
        <f t="shared" si="170"/>
        <v>3.6414565826330532</v>
      </c>
      <c r="V173" s="66">
        <f t="shared" si="170"/>
        <v>3.6414565826330532</v>
      </c>
      <c r="W173" s="66">
        <f t="shared" si="170"/>
        <v>3.6414565826330532</v>
      </c>
      <c r="X173" s="66">
        <f t="shared" si="170"/>
        <v>3.6414565826330532</v>
      </c>
      <c r="Y173" s="66">
        <f t="shared" si="170"/>
        <v>3.6414565826330532</v>
      </c>
      <c r="Z173" s="66">
        <f t="shared" si="170"/>
        <v>3.6414565826330532</v>
      </c>
      <c r="AA173" s="66">
        <f t="shared" si="170"/>
        <v>3.6414565826330532</v>
      </c>
      <c r="AB173" s="66">
        <f t="shared" si="170"/>
        <v>3.6414565826330532</v>
      </c>
      <c r="AC173" s="66">
        <f t="shared" si="170"/>
        <v>3.6414565826330532</v>
      </c>
    </row>
    <row r="174" spans="1:29" x14ac:dyDescent="0.25">
      <c r="A174" s="30" t="str">
        <f t="shared" si="164"/>
        <v>Opex var (mode-fees, shunting)</v>
      </c>
      <c r="B174" s="66">
        <f>B144*B153/B153</f>
        <v>3.6414565826330532</v>
      </c>
      <c r="C174" s="66">
        <f t="shared" ref="C174:AC174" si="171">C144*C153/C153</f>
        <v>3.6414565826330532</v>
      </c>
      <c r="D174" s="66">
        <f t="shared" si="171"/>
        <v>3.6414565826330532</v>
      </c>
      <c r="E174" s="66">
        <f t="shared" si="171"/>
        <v>3.6414565826330532</v>
      </c>
      <c r="F174" s="66">
        <f t="shared" si="171"/>
        <v>3.6414565826330532</v>
      </c>
      <c r="G174" s="66">
        <f t="shared" si="171"/>
        <v>3.6414565826330532</v>
      </c>
      <c r="H174" s="66">
        <f t="shared" si="171"/>
        <v>3.6414565826330532</v>
      </c>
      <c r="I174" s="66">
        <f t="shared" si="171"/>
        <v>3.6414565826330532</v>
      </c>
      <c r="J174" s="66">
        <f t="shared" si="171"/>
        <v>3.6414565826330532</v>
      </c>
      <c r="K174" s="66">
        <f t="shared" si="171"/>
        <v>3.6414565826330532</v>
      </c>
      <c r="L174" s="66">
        <f t="shared" si="171"/>
        <v>3.6414565826330532</v>
      </c>
      <c r="M174" s="66">
        <f t="shared" si="171"/>
        <v>3.6414565826330532</v>
      </c>
      <c r="N174" s="66">
        <f t="shared" si="171"/>
        <v>3.6414565826330532</v>
      </c>
      <c r="O174" s="66">
        <f t="shared" si="171"/>
        <v>3.6414565826330532</v>
      </c>
      <c r="P174" s="66">
        <f t="shared" si="171"/>
        <v>3.6414565826330532</v>
      </c>
      <c r="Q174" s="66">
        <f t="shared" si="171"/>
        <v>3.6414565826330532</v>
      </c>
      <c r="R174" s="66">
        <f t="shared" si="171"/>
        <v>3.6414565826330532</v>
      </c>
      <c r="S174" s="66">
        <f t="shared" si="171"/>
        <v>3.6414565826330532</v>
      </c>
      <c r="T174" s="66">
        <f t="shared" si="171"/>
        <v>3.6414565826330532</v>
      </c>
      <c r="U174" s="66">
        <f t="shared" si="171"/>
        <v>3.6414565826330532</v>
      </c>
      <c r="V174" s="66">
        <f t="shared" si="171"/>
        <v>3.6414565826330532</v>
      </c>
      <c r="W174" s="66">
        <f t="shared" si="171"/>
        <v>3.6414565826330532</v>
      </c>
      <c r="X174" s="66">
        <f t="shared" si="171"/>
        <v>3.6414565826330532</v>
      </c>
      <c r="Y174" s="66">
        <f t="shared" si="171"/>
        <v>3.6414565826330532</v>
      </c>
      <c r="Z174" s="66">
        <f t="shared" si="171"/>
        <v>3.6414565826330532</v>
      </c>
      <c r="AA174" s="66">
        <f t="shared" si="171"/>
        <v>3.6414565826330532</v>
      </c>
      <c r="AB174" s="66">
        <f t="shared" si="171"/>
        <v>3.6414565826330532</v>
      </c>
      <c r="AC174" s="66">
        <f t="shared" si="171"/>
        <v>3.6414565826330532</v>
      </c>
    </row>
    <row r="175" spans="1:29" x14ac:dyDescent="0.25">
      <c r="A175" s="30" t="str">
        <f t="shared" si="164"/>
        <v>Fuel Cost</v>
      </c>
      <c r="B175" s="66">
        <f>B145*B146*B153/B153</f>
        <v>2.5607586468519337</v>
      </c>
      <c r="C175" s="66">
        <f t="shared" ref="C175:AC175" si="172">C145*C146*C153/C153</f>
        <v>2.5607586468519337</v>
      </c>
      <c r="D175" s="66">
        <f t="shared" si="172"/>
        <v>2.5607586468519337</v>
      </c>
      <c r="E175" s="66">
        <f t="shared" si="172"/>
        <v>2.5607586468519337</v>
      </c>
      <c r="F175" s="66">
        <f t="shared" si="172"/>
        <v>2.5607586468519337</v>
      </c>
      <c r="G175" s="66">
        <f t="shared" si="172"/>
        <v>2.5607586468519337</v>
      </c>
      <c r="H175" s="66">
        <f t="shared" si="172"/>
        <v>2.5607586468519337</v>
      </c>
      <c r="I175" s="66">
        <f t="shared" si="172"/>
        <v>2.5607586468519337</v>
      </c>
      <c r="J175" s="66">
        <f t="shared" si="172"/>
        <v>2.6260948724751731</v>
      </c>
      <c r="K175" s="66">
        <f t="shared" si="172"/>
        <v>2.6914310980984131</v>
      </c>
      <c r="L175" s="66">
        <f t="shared" si="172"/>
        <v>2.7567673237216526</v>
      </c>
      <c r="M175" s="66">
        <f t="shared" si="172"/>
        <v>2.8221035493448925</v>
      </c>
      <c r="N175" s="66">
        <f t="shared" si="172"/>
        <v>2.8874397749681311</v>
      </c>
      <c r="O175" s="66">
        <f t="shared" si="172"/>
        <v>2.8600407126099987</v>
      </c>
      <c r="P175" s="66">
        <f t="shared" si="172"/>
        <v>2.8326416502518659</v>
      </c>
      <c r="Q175" s="66">
        <f t="shared" si="172"/>
        <v>2.8052425878937326</v>
      </c>
      <c r="R175" s="66">
        <f t="shared" si="172"/>
        <v>2.7778435255355998</v>
      </c>
      <c r="S175" s="66">
        <f t="shared" si="172"/>
        <v>2.7504444631774678</v>
      </c>
      <c r="T175" s="66">
        <f t="shared" si="172"/>
        <v>2.7230454008193345</v>
      </c>
      <c r="U175" s="66">
        <f t="shared" si="172"/>
        <v>2.6956463384612022</v>
      </c>
      <c r="V175" s="66">
        <f t="shared" si="172"/>
        <v>2.6682472761030693</v>
      </c>
      <c r="W175" s="66">
        <f t="shared" si="172"/>
        <v>2.6408482137449361</v>
      </c>
      <c r="X175" s="66">
        <f t="shared" si="172"/>
        <v>2.6134491513868041</v>
      </c>
      <c r="Y175" s="66">
        <f t="shared" si="172"/>
        <v>2.5860500890286713</v>
      </c>
      <c r="Z175" s="66">
        <f t="shared" si="172"/>
        <v>2.5586510266705385</v>
      </c>
      <c r="AA175" s="66">
        <f t="shared" si="172"/>
        <v>2.5312519643124056</v>
      </c>
      <c r="AB175" s="66">
        <f t="shared" si="172"/>
        <v>2.5038529019542732</v>
      </c>
      <c r="AC175" s="66">
        <f t="shared" si="172"/>
        <v>2.4764538395961408</v>
      </c>
    </row>
    <row r="176" spans="1:29" ht="15.75" thickBot="1" x14ac:dyDescent="0.3">
      <c r="A176" s="59" t="str">
        <f t="shared" ref="A176" si="173">A164</f>
        <v>Emission Cost</v>
      </c>
      <c r="B176" s="66">
        <f>B147</f>
        <v>0</v>
      </c>
      <c r="C176" s="66">
        <f t="shared" ref="C176:AC176" si="174">C147</f>
        <v>0</v>
      </c>
      <c r="D176" s="66">
        <f t="shared" si="174"/>
        <v>0</v>
      </c>
      <c r="E176" s="66">
        <f t="shared" si="174"/>
        <v>0</v>
      </c>
      <c r="F176" s="66">
        <f t="shared" si="174"/>
        <v>0</v>
      </c>
      <c r="G176" s="66">
        <f t="shared" si="174"/>
        <v>0</v>
      </c>
      <c r="H176" s="66">
        <f t="shared" si="174"/>
        <v>0</v>
      </c>
      <c r="I176" s="66">
        <f t="shared" si="174"/>
        <v>0</v>
      </c>
      <c r="J176" s="66">
        <f t="shared" si="174"/>
        <v>0</v>
      </c>
      <c r="K176" s="66">
        <f t="shared" si="174"/>
        <v>0</v>
      </c>
      <c r="L176" s="66">
        <f t="shared" si="174"/>
        <v>0</v>
      </c>
      <c r="M176" s="66">
        <f t="shared" si="174"/>
        <v>0</v>
      </c>
      <c r="N176" s="66">
        <f t="shared" si="174"/>
        <v>0</v>
      </c>
      <c r="O176" s="66">
        <f t="shared" si="174"/>
        <v>0</v>
      </c>
      <c r="P176" s="66">
        <f t="shared" si="174"/>
        <v>0</v>
      </c>
      <c r="Q176" s="66">
        <f t="shared" si="174"/>
        <v>0</v>
      </c>
      <c r="R176" s="66">
        <f t="shared" si="174"/>
        <v>0</v>
      </c>
      <c r="S176" s="66">
        <f t="shared" si="174"/>
        <v>0</v>
      </c>
      <c r="T176" s="66">
        <f t="shared" si="174"/>
        <v>0</v>
      </c>
      <c r="U176" s="66">
        <f t="shared" si="174"/>
        <v>0</v>
      </c>
      <c r="V176" s="66">
        <f t="shared" si="174"/>
        <v>0</v>
      </c>
      <c r="W176" s="66">
        <f t="shared" si="174"/>
        <v>0</v>
      </c>
      <c r="X176" s="66">
        <f t="shared" si="174"/>
        <v>0</v>
      </c>
      <c r="Y176" s="66">
        <f t="shared" si="174"/>
        <v>0</v>
      </c>
      <c r="Z176" s="66">
        <f t="shared" si="174"/>
        <v>0</v>
      </c>
      <c r="AA176" s="66">
        <f t="shared" si="174"/>
        <v>0</v>
      </c>
      <c r="AB176" s="66">
        <f t="shared" si="174"/>
        <v>0</v>
      </c>
      <c r="AC176" s="66">
        <f t="shared" si="174"/>
        <v>0</v>
      </c>
    </row>
    <row r="177" spans="1:29" ht="15.75" thickBot="1" x14ac:dyDescent="0.3">
      <c r="A177" s="31" t="s">
        <v>63</v>
      </c>
      <c r="B177" s="76">
        <f>B168+B169+B170-B171+B172+B173+B174+B175+B176</f>
        <v>17.786024566813254</v>
      </c>
      <c r="C177" s="76">
        <f t="shared" ref="C177:AC177" si="175">C168+C169+C170-C171+C172+C173+C174+C175+C176</f>
        <v>17.786024566813254</v>
      </c>
      <c r="D177" s="76">
        <f t="shared" si="175"/>
        <v>17.786024566813254</v>
      </c>
      <c r="E177" s="76">
        <f t="shared" si="175"/>
        <v>17.786024566813254</v>
      </c>
      <c r="F177" s="76">
        <f t="shared" si="175"/>
        <v>17.786024566813254</v>
      </c>
      <c r="G177" s="76">
        <f t="shared" si="175"/>
        <v>17.786024566813254</v>
      </c>
      <c r="H177" s="76">
        <f t="shared" si="175"/>
        <v>17.786024566813254</v>
      </c>
      <c r="I177" s="76">
        <f t="shared" si="175"/>
        <v>17.786024566813254</v>
      </c>
      <c r="J177" s="76">
        <f t="shared" si="175"/>
        <v>17.851360792436495</v>
      </c>
      <c r="K177" s="76">
        <f t="shared" si="175"/>
        <v>17.916697018059736</v>
      </c>
      <c r="L177" s="76">
        <f t="shared" si="175"/>
        <v>17.982033243682974</v>
      </c>
      <c r="M177" s="76">
        <f t="shared" si="175"/>
        <v>18.047369469306215</v>
      </c>
      <c r="N177" s="76">
        <f t="shared" si="175"/>
        <v>18.112705694929453</v>
      </c>
      <c r="O177" s="76">
        <f t="shared" si="175"/>
        <v>18.085306632571321</v>
      </c>
      <c r="P177" s="76">
        <f t="shared" si="175"/>
        <v>18.057907570213189</v>
      </c>
      <c r="Q177" s="76">
        <f t="shared" si="175"/>
        <v>18.030508507855053</v>
      </c>
      <c r="R177" s="76">
        <f t="shared" si="175"/>
        <v>18.003109445496921</v>
      </c>
      <c r="S177" s="76">
        <f t="shared" si="175"/>
        <v>17.975710383138789</v>
      </c>
      <c r="T177" s="76">
        <f t="shared" si="175"/>
        <v>17.948311320780657</v>
      </c>
      <c r="U177" s="76">
        <f t="shared" si="175"/>
        <v>17.920912258422526</v>
      </c>
      <c r="V177" s="76">
        <f t="shared" si="175"/>
        <v>17.89351319606439</v>
      </c>
      <c r="W177" s="76">
        <f t="shared" si="175"/>
        <v>17.866114133706258</v>
      </c>
      <c r="X177" s="76">
        <f t="shared" si="175"/>
        <v>17.838715071348126</v>
      </c>
      <c r="Y177" s="76">
        <f t="shared" si="175"/>
        <v>17.811316008989994</v>
      </c>
      <c r="Z177" s="76">
        <f t="shared" si="175"/>
        <v>17.783916946631859</v>
      </c>
      <c r="AA177" s="76">
        <f t="shared" si="175"/>
        <v>17.756517884273727</v>
      </c>
      <c r="AB177" s="76">
        <f t="shared" si="175"/>
        <v>17.729118821915595</v>
      </c>
      <c r="AC177" s="76">
        <f t="shared" si="175"/>
        <v>17.701719759557463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6">A156</f>
        <v>Capex vehicle</v>
      </c>
      <c r="B180" s="65">
        <f>((1+B141)^B148)*B141/(((1+B141)^B148)-1)*(B137)/B153/(B150)</f>
        <v>1.0902430594344164E-3</v>
      </c>
      <c r="C180" s="65">
        <f t="shared" ref="C180:AC180" si="177">((1+C141)^C148)*C141/(((1+C141)^C148)-1)*(C137)/C153/(C150)</f>
        <v>1.0902430594344164E-3</v>
      </c>
      <c r="D180" s="65">
        <f t="shared" si="177"/>
        <v>1.0902430594344164E-3</v>
      </c>
      <c r="E180" s="65">
        <f t="shared" si="177"/>
        <v>1.0902430594344164E-3</v>
      </c>
      <c r="F180" s="65">
        <f t="shared" si="177"/>
        <v>1.0902430594344164E-3</v>
      </c>
      <c r="G180" s="65">
        <f t="shared" si="177"/>
        <v>1.0902430594344164E-3</v>
      </c>
      <c r="H180" s="65">
        <f t="shared" si="177"/>
        <v>1.0902430594344164E-3</v>
      </c>
      <c r="I180" s="65">
        <f t="shared" si="177"/>
        <v>1.0902430594344164E-3</v>
      </c>
      <c r="J180" s="65">
        <f t="shared" si="177"/>
        <v>1.0902430594344164E-3</v>
      </c>
      <c r="K180" s="65">
        <f t="shared" si="177"/>
        <v>1.0902430594344164E-3</v>
      </c>
      <c r="L180" s="65">
        <f t="shared" si="177"/>
        <v>1.0902430594344164E-3</v>
      </c>
      <c r="M180" s="65">
        <f t="shared" si="177"/>
        <v>1.0902430594344164E-3</v>
      </c>
      <c r="N180" s="65">
        <f t="shared" si="177"/>
        <v>1.0902430594344164E-3</v>
      </c>
      <c r="O180" s="65">
        <f t="shared" si="177"/>
        <v>1.0902430594344164E-3</v>
      </c>
      <c r="P180" s="65">
        <f t="shared" si="177"/>
        <v>1.0902430594344164E-3</v>
      </c>
      <c r="Q180" s="65">
        <f t="shared" si="177"/>
        <v>1.0902430594344164E-3</v>
      </c>
      <c r="R180" s="65">
        <f t="shared" si="177"/>
        <v>1.0902430594344164E-3</v>
      </c>
      <c r="S180" s="65">
        <f t="shared" si="177"/>
        <v>1.0902430594344164E-3</v>
      </c>
      <c r="T180" s="65">
        <f t="shared" si="177"/>
        <v>1.0902430594344164E-3</v>
      </c>
      <c r="U180" s="65">
        <f t="shared" si="177"/>
        <v>1.0902430594344164E-3</v>
      </c>
      <c r="V180" s="65">
        <f t="shared" si="177"/>
        <v>1.0902430594344164E-3</v>
      </c>
      <c r="W180" s="65">
        <f t="shared" si="177"/>
        <v>1.0902430594344164E-3</v>
      </c>
      <c r="X180" s="65">
        <f t="shared" si="177"/>
        <v>1.0902430594344164E-3</v>
      </c>
      <c r="Y180" s="65">
        <f t="shared" si="177"/>
        <v>1.0902430594344164E-3</v>
      </c>
      <c r="Z180" s="65">
        <f t="shared" si="177"/>
        <v>1.0902430594344164E-3</v>
      </c>
      <c r="AA180" s="65">
        <f t="shared" si="177"/>
        <v>1.0902430594344164E-3</v>
      </c>
      <c r="AB180" s="65">
        <f t="shared" si="177"/>
        <v>1.0902430594344164E-3</v>
      </c>
      <c r="AC180" s="65">
        <f t="shared" si="177"/>
        <v>1.0902430594344164E-3</v>
      </c>
    </row>
    <row r="181" spans="1:29" x14ac:dyDescent="0.25">
      <c r="A181" s="30" t="str">
        <f t="shared" si="176"/>
        <v>Residual value (vehicle)</v>
      </c>
      <c r="B181" s="68">
        <f>((1+B141)^B148)*B141/(((1+B141)^B148)-1)*(B138)/B153/(B150)</f>
        <v>-1.6353645891516245E-4</v>
      </c>
      <c r="C181" s="68">
        <f t="shared" ref="C181:AC181" si="178">((1+C141)^C148)*C141/(((1+C141)^C148)-1)*(C138)/C153/(C150)</f>
        <v>-1.6353645891516245E-4</v>
      </c>
      <c r="D181" s="68">
        <f t="shared" si="178"/>
        <v>-1.6353645891516245E-4</v>
      </c>
      <c r="E181" s="68">
        <f t="shared" si="178"/>
        <v>-1.6353645891516245E-4</v>
      </c>
      <c r="F181" s="68">
        <f t="shared" si="178"/>
        <v>-1.6353645891516245E-4</v>
      </c>
      <c r="G181" s="68">
        <f t="shared" si="178"/>
        <v>-1.6353645891516245E-4</v>
      </c>
      <c r="H181" s="68">
        <f t="shared" si="178"/>
        <v>-1.6353645891516245E-4</v>
      </c>
      <c r="I181" s="68">
        <f t="shared" si="178"/>
        <v>-1.6353645891516245E-4</v>
      </c>
      <c r="J181" s="68">
        <f t="shared" si="178"/>
        <v>-1.6353645891516245E-4</v>
      </c>
      <c r="K181" s="68">
        <f t="shared" si="178"/>
        <v>-1.6353645891516245E-4</v>
      </c>
      <c r="L181" s="68">
        <f t="shared" si="178"/>
        <v>-1.6353645891516245E-4</v>
      </c>
      <c r="M181" s="68">
        <f t="shared" si="178"/>
        <v>-1.6353645891516245E-4</v>
      </c>
      <c r="N181" s="68">
        <f t="shared" si="178"/>
        <v>-1.6353645891516245E-4</v>
      </c>
      <c r="O181" s="68">
        <f t="shared" si="178"/>
        <v>-1.6353645891516245E-4</v>
      </c>
      <c r="P181" s="68">
        <f t="shared" si="178"/>
        <v>-1.6353645891516245E-4</v>
      </c>
      <c r="Q181" s="68">
        <f t="shared" si="178"/>
        <v>-1.6353645891516245E-4</v>
      </c>
      <c r="R181" s="68">
        <f t="shared" si="178"/>
        <v>-1.6353645891516245E-4</v>
      </c>
      <c r="S181" s="68">
        <f t="shared" si="178"/>
        <v>-1.6353645891516245E-4</v>
      </c>
      <c r="T181" s="68">
        <f t="shared" si="178"/>
        <v>-1.6353645891516245E-4</v>
      </c>
      <c r="U181" s="68">
        <f t="shared" si="178"/>
        <v>-1.6353645891516245E-4</v>
      </c>
      <c r="V181" s="68">
        <f t="shared" si="178"/>
        <v>-1.6353645891516245E-4</v>
      </c>
      <c r="W181" s="68">
        <f t="shared" si="178"/>
        <v>-1.6353645891516245E-4</v>
      </c>
      <c r="X181" s="68">
        <f t="shared" si="178"/>
        <v>-1.6353645891516245E-4</v>
      </c>
      <c r="Y181" s="68">
        <f t="shared" si="178"/>
        <v>-1.6353645891516245E-4</v>
      </c>
      <c r="Z181" s="68">
        <f t="shared" si="178"/>
        <v>-1.6353645891516245E-4</v>
      </c>
      <c r="AA181" s="68">
        <f t="shared" si="178"/>
        <v>-1.6353645891516245E-4</v>
      </c>
      <c r="AB181" s="68">
        <f t="shared" si="178"/>
        <v>-1.6353645891516245E-4</v>
      </c>
      <c r="AC181" s="68">
        <f t="shared" si="178"/>
        <v>-1.6353645891516245E-4</v>
      </c>
    </row>
    <row r="182" spans="1:29" x14ac:dyDescent="0.25">
      <c r="A182" s="30" t="str">
        <f t="shared" si="176"/>
        <v>Capex costumization</v>
      </c>
      <c r="B182" s="66">
        <f>((1+B141)^B149)*B141/(((1+B141)^B149)-1)*(B139)/B153/(B150)</f>
        <v>1.0174917575636864E-3</v>
      </c>
      <c r="C182" s="66">
        <f t="shared" ref="C182:AC182" si="179">((1+C141)^C149)*C141/(((1+C141)^C149)-1)*(C139)/C153/(C150)</f>
        <v>1.0174917575636864E-3</v>
      </c>
      <c r="D182" s="66">
        <f t="shared" si="179"/>
        <v>1.0174917575636864E-3</v>
      </c>
      <c r="E182" s="66">
        <f t="shared" si="179"/>
        <v>1.0174917575636864E-3</v>
      </c>
      <c r="F182" s="66">
        <f t="shared" si="179"/>
        <v>1.0174917575636864E-3</v>
      </c>
      <c r="G182" s="66">
        <f t="shared" si="179"/>
        <v>1.0174917575636864E-3</v>
      </c>
      <c r="H182" s="66">
        <f t="shared" si="179"/>
        <v>1.0174917575636864E-3</v>
      </c>
      <c r="I182" s="66">
        <f t="shared" si="179"/>
        <v>1.0174917575636864E-3</v>
      </c>
      <c r="J182" s="66">
        <f t="shared" si="179"/>
        <v>1.0174917575636864E-3</v>
      </c>
      <c r="K182" s="66">
        <f t="shared" si="179"/>
        <v>1.0174917575636864E-3</v>
      </c>
      <c r="L182" s="66">
        <f t="shared" si="179"/>
        <v>1.0174917575636864E-3</v>
      </c>
      <c r="M182" s="66">
        <f t="shared" si="179"/>
        <v>1.0174917575636864E-3</v>
      </c>
      <c r="N182" s="66">
        <f t="shared" si="179"/>
        <v>1.0174917575636864E-3</v>
      </c>
      <c r="O182" s="66">
        <f t="shared" si="179"/>
        <v>1.0174917575636864E-3</v>
      </c>
      <c r="P182" s="66">
        <f t="shared" si="179"/>
        <v>1.0174917575636864E-3</v>
      </c>
      <c r="Q182" s="66">
        <f t="shared" si="179"/>
        <v>1.0174917575636864E-3</v>
      </c>
      <c r="R182" s="66">
        <f t="shared" si="179"/>
        <v>1.0174917575636864E-3</v>
      </c>
      <c r="S182" s="66">
        <f t="shared" si="179"/>
        <v>1.0174917575636864E-3</v>
      </c>
      <c r="T182" s="66">
        <f t="shared" si="179"/>
        <v>1.0174917575636864E-3</v>
      </c>
      <c r="U182" s="66">
        <f t="shared" si="179"/>
        <v>1.0174917575636864E-3</v>
      </c>
      <c r="V182" s="66">
        <f t="shared" si="179"/>
        <v>1.0174917575636864E-3</v>
      </c>
      <c r="W182" s="66">
        <f t="shared" si="179"/>
        <v>1.0174917575636864E-3</v>
      </c>
      <c r="X182" s="66">
        <f t="shared" si="179"/>
        <v>1.0174917575636864E-3</v>
      </c>
      <c r="Y182" s="66">
        <f t="shared" si="179"/>
        <v>1.0174917575636864E-3</v>
      </c>
      <c r="Z182" s="66">
        <f t="shared" si="179"/>
        <v>1.0174917575636864E-3</v>
      </c>
      <c r="AA182" s="66">
        <f t="shared" si="179"/>
        <v>1.0174917575636864E-3</v>
      </c>
      <c r="AB182" s="66">
        <f t="shared" si="179"/>
        <v>1.0174917575636864E-3</v>
      </c>
      <c r="AC182" s="66">
        <f t="shared" si="179"/>
        <v>1.0174917575636864E-3</v>
      </c>
    </row>
    <row r="183" spans="1:29" x14ac:dyDescent="0.25">
      <c r="A183" s="30" t="str">
        <f t="shared" si="176"/>
        <v>Residual value (costumization)</v>
      </c>
      <c r="B183" s="69">
        <f>((1+B141)^B149)*B141/(((1+B141)^B149)-1)*(B140)/B153/(B150)</f>
        <v>-5.0874587878184312E-5</v>
      </c>
      <c r="C183" s="69">
        <f t="shared" ref="C183:AC183" si="180">((1+C141)^C149)*C141/(((1+C141)^C149)-1)*(C140)/C153/(C150)</f>
        <v>-5.0874587878184312E-5</v>
      </c>
      <c r="D183" s="69">
        <f t="shared" si="180"/>
        <v>-5.0874587878184312E-5</v>
      </c>
      <c r="E183" s="69">
        <f t="shared" si="180"/>
        <v>-5.0874587878184312E-5</v>
      </c>
      <c r="F183" s="69">
        <f t="shared" si="180"/>
        <v>-5.0874587878184312E-5</v>
      </c>
      <c r="G183" s="69">
        <f t="shared" si="180"/>
        <v>-5.0874587878184312E-5</v>
      </c>
      <c r="H183" s="69">
        <f t="shared" si="180"/>
        <v>-5.0874587878184312E-5</v>
      </c>
      <c r="I183" s="69">
        <f t="shared" si="180"/>
        <v>-5.0874587878184312E-5</v>
      </c>
      <c r="J183" s="69">
        <f t="shared" si="180"/>
        <v>-5.0874587878184312E-5</v>
      </c>
      <c r="K183" s="69">
        <f t="shared" si="180"/>
        <v>-5.0874587878184312E-5</v>
      </c>
      <c r="L183" s="69">
        <f t="shared" si="180"/>
        <v>-5.0874587878184312E-5</v>
      </c>
      <c r="M183" s="69">
        <f t="shared" si="180"/>
        <v>-5.0874587878184312E-5</v>
      </c>
      <c r="N183" s="69">
        <f t="shared" si="180"/>
        <v>-5.0874587878184312E-5</v>
      </c>
      <c r="O183" s="69">
        <f t="shared" si="180"/>
        <v>-5.0874587878184312E-5</v>
      </c>
      <c r="P183" s="69">
        <f t="shared" si="180"/>
        <v>-5.0874587878184312E-5</v>
      </c>
      <c r="Q183" s="69">
        <f t="shared" si="180"/>
        <v>-5.0874587878184312E-5</v>
      </c>
      <c r="R183" s="69">
        <f t="shared" si="180"/>
        <v>-5.0874587878184312E-5</v>
      </c>
      <c r="S183" s="69">
        <f t="shared" si="180"/>
        <v>-5.0874587878184312E-5</v>
      </c>
      <c r="T183" s="69">
        <f t="shared" si="180"/>
        <v>-5.0874587878184312E-5</v>
      </c>
      <c r="U183" s="69">
        <f t="shared" si="180"/>
        <v>-5.0874587878184312E-5</v>
      </c>
      <c r="V183" s="69">
        <f t="shared" si="180"/>
        <v>-5.0874587878184312E-5</v>
      </c>
      <c r="W183" s="69">
        <f t="shared" si="180"/>
        <v>-5.0874587878184312E-5</v>
      </c>
      <c r="X183" s="69">
        <f t="shared" si="180"/>
        <v>-5.0874587878184312E-5</v>
      </c>
      <c r="Y183" s="69">
        <f t="shared" si="180"/>
        <v>-5.0874587878184312E-5</v>
      </c>
      <c r="Z183" s="69">
        <f t="shared" si="180"/>
        <v>-5.0874587878184312E-5</v>
      </c>
      <c r="AA183" s="69">
        <f t="shared" si="180"/>
        <v>-5.0874587878184312E-5</v>
      </c>
      <c r="AB183" s="69">
        <f t="shared" si="180"/>
        <v>-5.0874587878184312E-5</v>
      </c>
      <c r="AC183" s="69">
        <f t="shared" si="180"/>
        <v>-5.0874587878184312E-5</v>
      </c>
    </row>
    <row r="184" spans="1:29" x14ac:dyDescent="0.25">
      <c r="A184" s="30" t="str">
        <f t="shared" si="176"/>
        <v>Opex fix (admin, crew, insurance)</v>
      </c>
      <c r="B184" s="66">
        <f>B142/B153/(B150)</f>
        <v>1.5506202480992397E-3</v>
      </c>
      <c r="C184" s="66">
        <f t="shared" ref="C184:AC184" si="181">C142/C153/(C150)</f>
        <v>1.5506202480992397E-3</v>
      </c>
      <c r="D184" s="66">
        <f t="shared" si="181"/>
        <v>1.5506202480992397E-3</v>
      </c>
      <c r="E184" s="66">
        <f t="shared" si="181"/>
        <v>1.5506202480992397E-3</v>
      </c>
      <c r="F184" s="66">
        <f t="shared" si="181"/>
        <v>1.5506202480992397E-3</v>
      </c>
      <c r="G184" s="66">
        <f t="shared" si="181"/>
        <v>1.5506202480992397E-3</v>
      </c>
      <c r="H184" s="66">
        <f t="shared" si="181"/>
        <v>1.5506202480992397E-3</v>
      </c>
      <c r="I184" s="66">
        <f t="shared" si="181"/>
        <v>1.5506202480992397E-3</v>
      </c>
      <c r="J184" s="66">
        <f t="shared" si="181"/>
        <v>1.5506202480992397E-3</v>
      </c>
      <c r="K184" s="66">
        <f t="shared" si="181"/>
        <v>1.5506202480992397E-3</v>
      </c>
      <c r="L184" s="66">
        <f t="shared" si="181"/>
        <v>1.5506202480992397E-3</v>
      </c>
      <c r="M184" s="66">
        <f t="shared" si="181"/>
        <v>1.5506202480992397E-3</v>
      </c>
      <c r="N184" s="66">
        <f t="shared" si="181"/>
        <v>1.5506202480992397E-3</v>
      </c>
      <c r="O184" s="66">
        <f t="shared" si="181"/>
        <v>1.5506202480992397E-3</v>
      </c>
      <c r="P184" s="66">
        <f t="shared" si="181"/>
        <v>1.5506202480992397E-3</v>
      </c>
      <c r="Q184" s="66">
        <f t="shared" si="181"/>
        <v>1.5506202480992397E-3</v>
      </c>
      <c r="R184" s="66">
        <f t="shared" si="181"/>
        <v>1.5506202480992397E-3</v>
      </c>
      <c r="S184" s="66">
        <f t="shared" si="181"/>
        <v>1.5506202480992397E-3</v>
      </c>
      <c r="T184" s="66">
        <f t="shared" si="181"/>
        <v>1.5506202480992397E-3</v>
      </c>
      <c r="U184" s="66">
        <f t="shared" si="181"/>
        <v>1.5506202480992397E-3</v>
      </c>
      <c r="V184" s="66">
        <f t="shared" si="181"/>
        <v>1.5506202480992397E-3</v>
      </c>
      <c r="W184" s="66">
        <f t="shared" si="181"/>
        <v>1.5506202480992397E-3</v>
      </c>
      <c r="X184" s="66">
        <f t="shared" si="181"/>
        <v>1.5506202480992397E-3</v>
      </c>
      <c r="Y184" s="66">
        <f t="shared" si="181"/>
        <v>1.5506202480992397E-3</v>
      </c>
      <c r="Z184" s="66">
        <f t="shared" si="181"/>
        <v>1.5506202480992397E-3</v>
      </c>
      <c r="AA184" s="66">
        <f t="shared" si="181"/>
        <v>1.5506202480992397E-3</v>
      </c>
      <c r="AB184" s="66">
        <f t="shared" si="181"/>
        <v>1.5506202480992397E-3</v>
      </c>
      <c r="AC184" s="66">
        <f t="shared" si="181"/>
        <v>1.5506202480992397E-3</v>
      </c>
    </row>
    <row r="185" spans="1:29" x14ac:dyDescent="0.25">
      <c r="A185" s="30" t="str">
        <f t="shared" si="176"/>
        <v>Opex maintenance &amp; repair</v>
      </c>
      <c r="B185" s="66">
        <f>B143/B153/(B150)</f>
        <v>1.6256502601040416E-3</v>
      </c>
      <c r="C185" s="66">
        <f t="shared" ref="C185:AC185" si="182">C143/C153/(C150)</f>
        <v>1.6256502601040416E-3</v>
      </c>
      <c r="D185" s="66">
        <f t="shared" si="182"/>
        <v>1.6256502601040416E-3</v>
      </c>
      <c r="E185" s="66">
        <f t="shared" si="182"/>
        <v>1.6256502601040416E-3</v>
      </c>
      <c r="F185" s="66">
        <f t="shared" si="182"/>
        <v>1.6256502601040416E-3</v>
      </c>
      <c r="G185" s="66">
        <f t="shared" si="182"/>
        <v>1.6256502601040416E-3</v>
      </c>
      <c r="H185" s="66">
        <f t="shared" si="182"/>
        <v>1.6256502601040416E-3</v>
      </c>
      <c r="I185" s="66">
        <f t="shared" si="182"/>
        <v>1.6256502601040416E-3</v>
      </c>
      <c r="J185" s="66">
        <f t="shared" si="182"/>
        <v>1.6256502601040416E-3</v>
      </c>
      <c r="K185" s="66">
        <f t="shared" si="182"/>
        <v>1.6256502601040416E-3</v>
      </c>
      <c r="L185" s="66">
        <f t="shared" si="182"/>
        <v>1.6256502601040416E-3</v>
      </c>
      <c r="M185" s="66">
        <f t="shared" si="182"/>
        <v>1.6256502601040416E-3</v>
      </c>
      <c r="N185" s="66">
        <f t="shared" si="182"/>
        <v>1.6256502601040416E-3</v>
      </c>
      <c r="O185" s="66">
        <f t="shared" si="182"/>
        <v>1.6256502601040416E-3</v>
      </c>
      <c r="P185" s="66">
        <f t="shared" si="182"/>
        <v>1.6256502601040416E-3</v>
      </c>
      <c r="Q185" s="66">
        <f t="shared" si="182"/>
        <v>1.6256502601040416E-3</v>
      </c>
      <c r="R185" s="66">
        <f t="shared" si="182"/>
        <v>1.6256502601040416E-3</v>
      </c>
      <c r="S185" s="66">
        <f t="shared" si="182"/>
        <v>1.6256502601040416E-3</v>
      </c>
      <c r="T185" s="66">
        <f t="shared" si="182"/>
        <v>1.6256502601040416E-3</v>
      </c>
      <c r="U185" s="66">
        <f t="shared" si="182"/>
        <v>1.6256502601040416E-3</v>
      </c>
      <c r="V185" s="66">
        <f t="shared" si="182"/>
        <v>1.6256502601040416E-3</v>
      </c>
      <c r="W185" s="66">
        <f t="shared" si="182"/>
        <v>1.6256502601040416E-3</v>
      </c>
      <c r="X185" s="66">
        <f t="shared" si="182"/>
        <v>1.6256502601040416E-3</v>
      </c>
      <c r="Y185" s="66">
        <f t="shared" si="182"/>
        <v>1.6256502601040416E-3</v>
      </c>
      <c r="Z185" s="66">
        <f t="shared" si="182"/>
        <v>1.6256502601040416E-3</v>
      </c>
      <c r="AA185" s="66">
        <f t="shared" si="182"/>
        <v>1.6256502601040416E-3</v>
      </c>
      <c r="AB185" s="66">
        <f t="shared" si="182"/>
        <v>1.6256502601040416E-3</v>
      </c>
      <c r="AC185" s="66">
        <f t="shared" si="182"/>
        <v>1.6256502601040416E-3</v>
      </c>
    </row>
    <row r="186" spans="1:29" x14ac:dyDescent="0.25">
      <c r="A186" s="30" t="str">
        <f t="shared" si="176"/>
        <v>Opex var (mode-fees, shunting)</v>
      </c>
      <c r="B186" s="66">
        <f>B144*B153/B153/(B150)</f>
        <v>1.6256502601040416E-3</v>
      </c>
      <c r="C186" s="66">
        <f t="shared" ref="C186:AC186" si="183">C144*C153/C153/(C150)</f>
        <v>1.6256502601040416E-3</v>
      </c>
      <c r="D186" s="66">
        <f t="shared" si="183"/>
        <v>1.6256502601040416E-3</v>
      </c>
      <c r="E186" s="66">
        <f t="shared" si="183"/>
        <v>1.6256502601040416E-3</v>
      </c>
      <c r="F186" s="66">
        <f t="shared" si="183"/>
        <v>1.6256502601040416E-3</v>
      </c>
      <c r="G186" s="66">
        <f t="shared" si="183"/>
        <v>1.6256502601040416E-3</v>
      </c>
      <c r="H186" s="66">
        <f t="shared" si="183"/>
        <v>1.6256502601040416E-3</v>
      </c>
      <c r="I186" s="66">
        <f t="shared" si="183"/>
        <v>1.6256502601040416E-3</v>
      </c>
      <c r="J186" s="66">
        <f t="shared" si="183"/>
        <v>1.6256502601040416E-3</v>
      </c>
      <c r="K186" s="66">
        <f t="shared" si="183"/>
        <v>1.6256502601040416E-3</v>
      </c>
      <c r="L186" s="66">
        <f t="shared" si="183"/>
        <v>1.6256502601040416E-3</v>
      </c>
      <c r="M186" s="66">
        <f t="shared" si="183"/>
        <v>1.6256502601040416E-3</v>
      </c>
      <c r="N186" s="66">
        <f t="shared" si="183"/>
        <v>1.6256502601040416E-3</v>
      </c>
      <c r="O186" s="66">
        <f t="shared" si="183"/>
        <v>1.6256502601040416E-3</v>
      </c>
      <c r="P186" s="66">
        <f t="shared" si="183"/>
        <v>1.6256502601040416E-3</v>
      </c>
      <c r="Q186" s="66">
        <f t="shared" si="183"/>
        <v>1.6256502601040416E-3</v>
      </c>
      <c r="R186" s="66">
        <f t="shared" si="183"/>
        <v>1.6256502601040416E-3</v>
      </c>
      <c r="S186" s="66">
        <f t="shared" si="183"/>
        <v>1.6256502601040416E-3</v>
      </c>
      <c r="T186" s="66">
        <f t="shared" si="183"/>
        <v>1.6256502601040416E-3</v>
      </c>
      <c r="U186" s="66">
        <f t="shared" si="183"/>
        <v>1.6256502601040416E-3</v>
      </c>
      <c r="V186" s="66">
        <f t="shared" si="183"/>
        <v>1.6256502601040416E-3</v>
      </c>
      <c r="W186" s="66">
        <f t="shared" si="183"/>
        <v>1.6256502601040416E-3</v>
      </c>
      <c r="X186" s="66">
        <f t="shared" si="183"/>
        <v>1.6256502601040416E-3</v>
      </c>
      <c r="Y186" s="66">
        <f t="shared" si="183"/>
        <v>1.6256502601040416E-3</v>
      </c>
      <c r="Z186" s="66">
        <f t="shared" si="183"/>
        <v>1.6256502601040416E-3</v>
      </c>
      <c r="AA186" s="66">
        <f t="shared" si="183"/>
        <v>1.6256502601040416E-3</v>
      </c>
      <c r="AB186" s="66">
        <f t="shared" si="183"/>
        <v>1.6256502601040416E-3</v>
      </c>
      <c r="AC186" s="66">
        <f t="shared" si="183"/>
        <v>1.6256502601040416E-3</v>
      </c>
    </row>
    <row r="187" spans="1:29" x14ac:dyDescent="0.25">
      <c r="A187" s="30" t="str">
        <f t="shared" si="176"/>
        <v>Fuel Cost</v>
      </c>
      <c r="B187" s="66">
        <f>B145*B146*B153/B153/(B150)</f>
        <v>1.1431958244874703E-3</v>
      </c>
      <c r="C187" s="66">
        <f t="shared" ref="C187:AC187" si="184">C145*C146*C153/C153/(C150)</f>
        <v>1.1431958244874703E-3</v>
      </c>
      <c r="D187" s="66">
        <f t="shared" si="184"/>
        <v>1.1431958244874703E-3</v>
      </c>
      <c r="E187" s="66">
        <f t="shared" si="184"/>
        <v>1.1431958244874703E-3</v>
      </c>
      <c r="F187" s="66">
        <f t="shared" si="184"/>
        <v>1.1431958244874703E-3</v>
      </c>
      <c r="G187" s="66">
        <f t="shared" si="184"/>
        <v>1.1431958244874703E-3</v>
      </c>
      <c r="H187" s="66">
        <f t="shared" si="184"/>
        <v>1.1431958244874703E-3</v>
      </c>
      <c r="I187" s="66">
        <f t="shared" si="184"/>
        <v>1.1431958244874703E-3</v>
      </c>
      <c r="J187" s="66">
        <f t="shared" si="184"/>
        <v>1.1723637823549879E-3</v>
      </c>
      <c r="K187" s="66">
        <f t="shared" si="184"/>
        <v>1.2015317402225059E-3</v>
      </c>
      <c r="L187" s="66">
        <f t="shared" si="184"/>
        <v>1.2306996980900235E-3</v>
      </c>
      <c r="M187" s="66">
        <f t="shared" si="184"/>
        <v>1.2598676559575413E-3</v>
      </c>
      <c r="N187" s="66">
        <f t="shared" si="184"/>
        <v>1.2890356138250585E-3</v>
      </c>
      <c r="O187" s="66">
        <f t="shared" si="184"/>
        <v>1.2768038895580351E-3</v>
      </c>
      <c r="P187" s="66">
        <f t="shared" si="184"/>
        <v>1.2645721652910116E-3</v>
      </c>
      <c r="Q187" s="66">
        <f t="shared" si="184"/>
        <v>1.2523404410239877E-3</v>
      </c>
      <c r="R187" s="66">
        <f t="shared" si="184"/>
        <v>1.2401087167569641E-3</v>
      </c>
      <c r="S187" s="66">
        <f t="shared" si="184"/>
        <v>1.2278769924899411E-3</v>
      </c>
      <c r="T187" s="66">
        <f t="shared" si="184"/>
        <v>1.2156452682229172E-3</v>
      </c>
      <c r="U187" s="66">
        <f t="shared" si="184"/>
        <v>1.2034135439558937E-3</v>
      </c>
      <c r="V187" s="66">
        <f t="shared" si="184"/>
        <v>1.1911818196888703E-3</v>
      </c>
      <c r="W187" s="66">
        <f t="shared" si="184"/>
        <v>1.1789500954218464E-3</v>
      </c>
      <c r="X187" s="66">
        <f t="shared" si="184"/>
        <v>1.1667183711548232E-3</v>
      </c>
      <c r="Y187" s="66">
        <f t="shared" si="184"/>
        <v>1.1544866468877998E-3</v>
      </c>
      <c r="Z187" s="66">
        <f t="shared" si="184"/>
        <v>1.1422549226207761E-3</v>
      </c>
      <c r="AA187" s="66">
        <f t="shared" si="184"/>
        <v>1.1300231983537524E-3</v>
      </c>
      <c r="AB187" s="66">
        <f t="shared" si="184"/>
        <v>1.1177914740867292E-3</v>
      </c>
      <c r="AC187" s="66">
        <f t="shared" si="184"/>
        <v>1.1055597498197058E-3</v>
      </c>
    </row>
    <row r="188" spans="1:29" x14ac:dyDescent="0.25">
      <c r="A188" s="59" t="str">
        <f>A151</f>
        <v>Market failure (av. utilization)</v>
      </c>
      <c r="B188" s="66">
        <f t="shared" ref="B188:AC188" si="185">B177/B151-B177/B150</f>
        <v>1.0669629692703261E-2</v>
      </c>
      <c r="C188" s="66">
        <f t="shared" si="185"/>
        <v>1.0669629692703261E-2</v>
      </c>
      <c r="D188" s="66">
        <f t="shared" si="185"/>
        <v>1.0669629692703261E-2</v>
      </c>
      <c r="E188" s="66">
        <f t="shared" si="185"/>
        <v>1.0669629692703261E-2</v>
      </c>
      <c r="F188" s="66">
        <f t="shared" si="185"/>
        <v>1.0669629692703261E-2</v>
      </c>
      <c r="G188" s="66">
        <f t="shared" si="185"/>
        <v>1.0669629692703261E-2</v>
      </c>
      <c r="H188" s="66">
        <f t="shared" si="185"/>
        <v>1.0669629692703261E-2</v>
      </c>
      <c r="I188" s="66">
        <f t="shared" si="185"/>
        <v>1.0669629692703261E-2</v>
      </c>
      <c r="J188" s="66">
        <f t="shared" si="185"/>
        <v>1.0708824136087742E-2</v>
      </c>
      <c r="K188" s="66">
        <f t="shared" si="185"/>
        <v>1.074801857947222E-2</v>
      </c>
      <c r="L188" s="66">
        <f t="shared" si="185"/>
        <v>1.0787213022856694E-2</v>
      </c>
      <c r="M188" s="66">
        <f t="shared" si="185"/>
        <v>1.0826407466241172E-2</v>
      </c>
      <c r="N188" s="66">
        <f t="shared" si="185"/>
        <v>1.0865601909625648E-2</v>
      </c>
      <c r="O188" s="66">
        <f t="shared" si="185"/>
        <v>1.0849165530141834E-2</v>
      </c>
      <c r="P188" s="66">
        <f t="shared" si="185"/>
        <v>1.0832729150658024E-2</v>
      </c>
      <c r="Q188" s="66">
        <f t="shared" si="185"/>
        <v>1.0816292771174208E-2</v>
      </c>
      <c r="R188" s="66">
        <f t="shared" si="185"/>
        <v>1.0799856391690395E-2</v>
      </c>
      <c r="S188" s="66">
        <f t="shared" si="185"/>
        <v>1.0783420012206585E-2</v>
      </c>
      <c r="T188" s="66">
        <f t="shared" si="185"/>
        <v>1.0766983632722771E-2</v>
      </c>
      <c r="U188" s="66">
        <f t="shared" si="185"/>
        <v>1.0750547253238957E-2</v>
      </c>
      <c r="V188" s="66">
        <f t="shared" si="185"/>
        <v>1.0734110873755144E-2</v>
      </c>
      <c r="W188" s="66">
        <f t="shared" si="185"/>
        <v>1.0717674494271332E-2</v>
      </c>
      <c r="X188" s="66">
        <f t="shared" si="185"/>
        <v>1.0701238114787518E-2</v>
      </c>
      <c r="Y188" s="66">
        <f t="shared" si="185"/>
        <v>1.0684801735303708E-2</v>
      </c>
      <c r="Z188" s="66">
        <f t="shared" si="185"/>
        <v>1.0668365355819892E-2</v>
      </c>
      <c r="AA188" s="66">
        <f t="shared" si="185"/>
        <v>1.0651928976336078E-2</v>
      </c>
      <c r="AB188" s="66">
        <f t="shared" si="185"/>
        <v>1.0635492596852269E-2</v>
      </c>
      <c r="AC188" s="66">
        <f t="shared" si="185"/>
        <v>1.0619056217368455E-2</v>
      </c>
    </row>
    <row r="189" spans="1:29" x14ac:dyDescent="0.25">
      <c r="A189" s="59" t="str">
        <f>A152</f>
        <v>Payload loss (fuel)</v>
      </c>
      <c r="B189" s="66">
        <f>B177/(B150-B152)-B177/B150</f>
        <v>0</v>
      </c>
      <c r="C189" s="66">
        <f t="shared" ref="C189:AC189" si="186">C177/(C150-C152)-C177/C150</f>
        <v>0</v>
      </c>
      <c r="D189" s="66">
        <f t="shared" si="186"/>
        <v>0</v>
      </c>
      <c r="E189" s="66">
        <f t="shared" si="186"/>
        <v>0</v>
      </c>
      <c r="F189" s="66">
        <f t="shared" si="186"/>
        <v>0</v>
      </c>
      <c r="G189" s="66">
        <f t="shared" si="186"/>
        <v>0</v>
      </c>
      <c r="H189" s="66">
        <f t="shared" si="186"/>
        <v>0</v>
      </c>
      <c r="I189" s="66">
        <f t="shared" si="186"/>
        <v>0</v>
      </c>
      <c r="J189" s="66">
        <f t="shared" si="186"/>
        <v>0</v>
      </c>
      <c r="K189" s="66">
        <f t="shared" si="186"/>
        <v>0</v>
      </c>
      <c r="L189" s="66">
        <f t="shared" si="186"/>
        <v>0</v>
      </c>
      <c r="M189" s="66">
        <f t="shared" si="186"/>
        <v>0</v>
      </c>
      <c r="N189" s="66">
        <f t="shared" si="186"/>
        <v>0</v>
      </c>
      <c r="O189" s="66">
        <f t="shared" si="186"/>
        <v>0</v>
      </c>
      <c r="P189" s="66">
        <f t="shared" si="186"/>
        <v>0</v>
      </c>
      <c r="Q189" s="66">
        <f t="shared" si="186"/>
        <v>0</v>
      </c>
      <c r="R189" s="66">
        <f t="shared" si="186"/>
        <v>0</v>
      </c>
      <c r="S189" s="66">
        <f t="shared" si="186"/>
        <v>0</v>
      </c>
      <c r="T189" s="66">
        <f t="shared" si="186"/>
        <v>0</v>
      </c>
      <c r="U189" s="66">
        <f t="shared" si="186"/>
        <v>0</v>
      </c>
      <c r="V189" s="66">
        <f t="shared" si="186"/>
        <v>0</v>
      </c>
      <c r="W189" s="66">
        <f t="shared" si="186"/>
        <v>0</v>
      </c>
      <c r="X189" s="66">
        <f t="shared" si="186"/>
        <v>0</v>
      </c>
      <c r="Y189" s="66">
        <f t="shared" si="186"/>
        <v>0</v>
      </c>
      <c r="Z189" s="66">
        <f t="shared" si="186"/>
        <v>0</v>
      </c>
      <c r="AA189" s="66">
        <f t="shared" si="186"/>
        <v>0</v>
      </c>
      <c r="AB189" s="66">
        <f t="shared" si="186"/>
        <v>0</v>
      </c>
      <c r="AC189" s="66">
        <f t="shared" si="186"/>
        <v>0</v>
      </c>
    </row>
    <row r="190" spans="1:29" ht="15.75" thickBot="1" x14ac:dyDescent="0.3">
      <c r="A190" s="59" t="str">
        <f>A127</f>
        <v>Emission Cost</v>
      </c>
      <c r="B190" s="68">
        <f>B147*B153/B153/(B150)</f>
        <v>0</v>
      </c>
      <c r="C190" s="68">
        <f t="shared" ref="C190:AC190" si="187">C147*C153/C153/(C150)</f>
        <v>0</v>
      </c>
      <c r="D190" s="68">
        <f t="shared" si="187"/>
        <v>0</v>
      </c>
      <c r="E190" s="68">
        <f t="shared" si="187"/>
        <v>0</v>
      </c>
      <c r="F190" s="68">
        <f t="shared" si="187"/>
        <v>0</v>
      </c>
      <c r="G190" s="68">
        <f t="shared" si="187"/>
        <v>0</v>
      </c>
      <c r="H190" s="68">
        <f t="shared" si="187"/>
        <v>0</v>
      </c>
      <c r="I190" s="68">
        <f t="shared" si="187"/>
        <v>0</v>
      </c>
      <c r="J190" s="68">
        <f t="shared" si="187"/>
        <v>0</v>
      </c>
      <c r="K190" s="68">
        <f t="shared" si="187"/>
        <v>0</v>
      </c>
      <c r="L190" s="68">
        <f t="shared" si="187"/>
        <v>0</v>
      </c>
      <c r="M190" s="68">
        <f t="shared" si="187"/>
        <v>0</v>
      </c>
      <c r="N190" s="68">
        <f t="shared" si="187"/>
        <v>0</v>
      </c>
      <c r="O190" s="68">
        <f t="shared" si="187"/>
        <v>0</v>
      </c>
      <c r="P190" s="68">
        <f t="shared" si="187"/>
        <v>0</v>
      </c>
      <c r="Q190" s="68">
        <f t="shared" si="187"/>
        <v>0</v>
      </c>
      <c r="R190" s="68">
        <f t="shared" si="187"/>
        <v>0</v>
      </c>
      <c r="S190" s="68">
        <f t="shared" si="187"/>
        <v>0</v>
      </c>
      <c r="T190" s="68">
        <f t="shared" si="187"/>
        <v>0</v>
      </c>
      <c r="U190" s="68">
        <f t="shared" si="187"/>
        <v>0</v>
      </c>
      <c r="V190" s="68">
        <f t="shared" si="187"/>
        <v>0</v>
      </c>
      <c r="W190" s="68">
        <f t="shared" si="187"/>
        <v>0</v>
      </c>
      <c r="X190" s="68">
        <f t="shared" si="187"/>
        <v>0</v>
      </c>
      <c r="Y190" s="68">
        <f t="shared" si="187"/>
        <v>0</v>
      </c>
      <c r="Z190" s="68">
        <f t="shared" si="187"/>
        <v>0</v>
      </c>
      <c r="AA190" s="68">
        <f t="shared" si="187"/>
        <v>0</v>
      </c>
      <c r="AB190" s="68">
        <f t="shared" si="187"/>
        <v>0</v>
      </c>
      <c r="AC190" s="68">
        <f t="shared" si="187"/>
        <v>0</v>
      </c>
    </row>
    <row r="191" spans="1:29" ht="15.75" thickBot="1" x14ac:dyDescent="0.3">
      <c r="A191" s="31" t="s">
        <v>210</v>
      </c>
      <c r="B191" s="76">
        <f>B180+B181+B182+B183+B184+B185+B186+B187+B188+B189+B190</f>
        <v>1.8508070055702812E-2</v>
      </c>
      <c r="C191" s="67">
        <f t="shared" ref="C191:AC191" si="188">C180+C181+C182+C183+C184+C185+C186+C187+C188+C189+C190</f>
        <v>1.8508070055702812E-2</v>
      </c>
      <c r="D191" s="67">
        <f t="shared" si="188"/>
        <v>1.8508070055702812E-2</v>
      </c>
      <c r="E191" s="67">
        <f t="shared" si="188"/>
        <v>1.8508070055702812E-2</v>
      </c>
      <c r="F191" s="67">
        <f t="shared" si="188"/>
        <v>1.8508070055702812E-2</v>
      </c>
      <c r="G191" s="67">
        <f t="shared" si="188"/>
        <v>1.8508070055702812E-2</v>
      </c>
      <c r="H191" s="67">
        <f t="shared" si="188"/>
        <v>1.8508070055702812E-2</v>
      </c>
      <c r="I191" s="67">
        <f t="shared" si="188"/>
        <v>1.8508070055702812E-2</v>
      </c>
      <c r="J191" s="67">
        <f t="shared" si="188"/>
        <v>1.8576432456954811E-2</v>
      </c>
      <c r="K191" s="67">
        <f t="shared" si="188"/>
        <v>1.8644794858206803E-2</v>
      </c>
      <c r="L191" s="67">
        <f t="shared" si="188"/>
        <v>1.8713157259458796E-2</v>
      </c>
      <c r="M191" s="67">
        <f t="shared" si="188"/>
        <v>1.8781519660710795E-2</v>
      </c>
      <c r="N191" s="67">
        <f t="shared" si="188"/>
        <v>1.8849882061962787E-2</v>
      </c>
      <c r="O191" s="67">
        <f t="shared" si="188"/>
        <v>1.8821213958211951E-2</v>
      </c>
      <c r="P191" s="67">
        <f t="shared" si="188"/>
        <v>1.8792545854461114E-2</v>
      </c>
      <c r="Q191" s="67">
        <f t="shared" si="188"/>
        <v>1.8763877750710277E-2</v>
      </c>
      <c r="R191" s="67">
        <f t="shared" si="188"/>
        <v>1.873520964695944E-2</v>
      </c>
      <c r="S191" s="67">
        <f t="shared" si="188"/>
        <v>1.8706541543208603E-2</v>
      </c>
      <c r="T191" s="67">
        <f t="shared" si="188"/>
        <v>1.8677873439457766E-2</v>
      </c>
      <c r="U191" s="67">
        <f t="shared" si="188"/>
        <v>1.864920533570693E-2</v>
      </c>
      <c r="V191" s="67">
        <f t="shared" si="188"/>
        <v>1.8620537231956093E-2</v>
      </c>
      <c r="W191" s="67">
        <f t="shared" si="188"/>
        <v>1.8591869128205256E-2</v>
      </c>
      <c r="X191" s="67">
        <f t="shared" si="188"/>
        <v>1.8563201024454419E-2</v>
      </c>
      <c r="Y191" s="67">
        <f t="shared" si="188"/>
        <v>1.8534532920703586E-2</v>
      </c>
      <c r="Z191" s="67">
        <f t="shared" si="188"/>
        <v>1.8505864816952745E-2</v>
      </c>
      <c r="AA191" s="67">
        <f t="shared" si="188"/>
        <v>1.8477196713201909E-2</v>
      </c>
      <c r="AB191" s="67">
        <f t="shared" si="188"/>
        <v>1.8448528609451079E-2</v>
      </c>
      <c r="AC191" s="67">
        <f t="shared" si="188"/>
        <v>1.8419860505700242E-2</v>
      </c>
    </row>
    <row r="193" spans="2:2" x14ac:dyDescent="0.25">
      <c r="B193" s="40"/>
    </row>
    <row r="215" spans="1:44" s="3" customFormat="1" ht="21" x14ac:dyDescent="0.35">
      <c r="A215" s="2" t="str">
        <f>'Parameter Input'!A170</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Input'!$L$159</f>
        <v>5000000</v>
      </c>
      <c r="C225" s="42">
        <f>'Parameter Input'!$M$159</f>
        <v>5000000</v>
      </c>
      <c r="D225" s="1" t="s">
        <v>15</v>
      </c>
      <c r="L225" s="51">
        <f>'Parameter Input'!$O$159</f>
        <v>12</v>
      </c>
      <c r="M225" s="52">
        <v>0</v>
      </c>
      <c r="N225" s="52">
        <v>1</v>
      </c>
      <c r="O225" s="52">
        <f>'Parameter Input'!$P$159</f>
        <v>0.9</v>
      </c>
      <c r="P225" s="53">
        <f>'Parameter Input'!$Q$159</f>
        <v>0.4</v>
      </c>
      <c r="Q225" s="4">
        <f t="shared" ref="Q225:AR234" si="189">$N225+($M225-$N225)*((1/(1+EXP(-$P225*(Q$9-$L225)))^$O225))</f>
        <v>0.9867978615748374</v>
      </c>
      <c r="R225" s="4">
        <f t="shared" si="189"/>
        <v>0.98114509762858249</v>
      </c>
      <c r="S225" s="4">
        <f t="shared" si="189"/>
        <v>0.97311898315872036</v>
      </c>
      <c r="T225" s="4">
        <f t="shared" si="189"/>
        <v>0.96177484161592774</v>
      </c>
      <c r="U225" s="4">
        <f t="shared" si="189"/>
        <v>0.94584787155511363</v>
      </c>
      <c r="V225" s="4">
        <f t="shared" si="189"/>
        <v>0.92370360150141495</v>
      </c>
      <c r="W225" s="4">
        <f t="shared" si="189"/>
        <v>0.89334463567658451</v>
      </c>
      <c r="X225" s="4">
        <f t="shared" si="189"/>
        <v>0.85254543874327005</v>
      </c>
      <c r="Y225" s="4">
        <f t="shared" si="189"/>
        <v>0.79921300652623883</v>
      </c>
      <c r="Z225" s="4">
        <f t="shared" si="189"/>
        <v>0.73204982249993378</v>
      </c>
      <c r="AA225" s="4">
        <f t="shared" si="189"/>
        <v>0.65145592958786691</v>
      </c>
      <c r="AB225" s="4">
        <f t="shared" si="189"/>
        <v>0.56032247880849573</v>
      </c>
      <c r="AC225" s="4">
        <f t="shared" si="189"/>
        <v>0.46411326873185343</v>
      </c>
      <c r="AD225" s="4">
        <f t="shared" si="189"/>
        <v>0.36979727595523937</v>
      </c>
      <c r="AE225" s="4">
        <f t="shared" si="189"/>
        <v>0.28393948637231203</v>
      </c>
      <c r="AF225" s="4">
        <f t="shared" si="189"/>
        <v>0.21097259161117732</v>
      </c>
      <c r="AG225" s="4">
        <f t="shared" si="189"/>
        <v>0.15253917653798199</v>
      </c>
      <c r="AH225" s="4">
        <f t="shared" si="189"/>
        <v>0.10795188737709993</v>
      </c>
      <c r="AI225" s="4">
        <f t="shared" si="189"/>
        <v>7.5176653938091809E-2</v>
      </c>
      <c r="AJ225" s="4">
        <f t="shared" si="189"/>
        <v>5.1742836177502194E-2</v>
      </c>
      <c r="AK225" s="4">
        <f t="shared" si="189"/>
        <v>3.5319190625345942E-2</v>
      </c>
      <c r="AL225" s="4">
        <f t="shared" si="189"/>
        <v>2.3969442072658165E-2</v>
      </c>
      <c r="AM225" s="4">
        <f t="shared" si="189"/>
        <v>1.6202243558389728E-2</v>
      </c>
      <c r="AN225" s="4">
        <f t="shared" si="189"/>
        <v>1.0922240564108399E-2</v>
      </c>
      <c r="AO225" s="4">
        <f t="shared" si="189"/>
        <v>7.3493212906090566E-3</v>
      </c>
      <c r="AP225" s="4">
        <f t="shared" si="189"/>
        <v>4.9390262185057265E-3</v>
      </c>
      <c r="AQ225" s="4">
        <f t="shared" si="189"/>
        <v>3.3164275492956197E-3</v>
      </c>
      <c r="AR225" s="4">
        <f t="shared" si="189"/>
        <v>2.2256362146679809E-3</v>
      </c>
    </row>
    <row r="226" spans="1:44" x14ac:dyDescent="0.25">
      <c r="A226" s="24" t="s">
        <v>28</v>
      </c>
      <c r="B226" s="60">
        <f>'Parameter Input'!$L$160</f>
        <v>-750000</v>
      </c>
      <c r="C226" s="61">
        <f>'Parameter Input'!$M$160</f>
        <v>-750000</v>
      </c>
      <c r="D226" s="1" t="s">
        <v>15</v>
      </c>
      <c r="L226" s="54">
        <f>'Parameter Input'!$O$160</f>
        <v>12</v>
      </c>
      <c r="M226" s="37">
        <v>0</v>
      </c>
      <c r="N226" s="37">
        <v>1</v>
      </c>
      <c r="O226" s="37">
        <f>'Parameter Input'!$P$160</f>
        <v>0.9</v>
      </c>
      <c r="P226" s="55">
        <f>'Parameter Input'!$Q$160</f>
        <v>0.4</v>
      </c>
      <c r="Q226" s="4">
        <f t="shared" si="189"/>
        <v>0.9867978615748374</v>
      </c>
      <c r="R226" s="4">
        <f t="shared" si="189"/>
        <v>0.98114509762858249</v>
      </c>
      <c r="S226" s="4">
        <f t="shared" si="189"/>
        <v>0.97311898315872036</v>
      </c>
      <c r="T226" s="4">
        <f t="shared" si="189"/>
        <v>0.96177484161592774</v>
      </c>
      <c r="U226" s="4">
        <f t="shared" si="189"/>
        <v>0.94584787155511363</v>
      </c>
      <c r="V226" s="4">
        <f t="shared" si="189"/>
        <v>0.92370360150141495</v>
      </c>
      <c r="W226" s="4">
        <f t="shared" si="189"/>
        <v>0.89334463567658451</v>
      </c>
      <c r="X226" s="4">
        <f t="shared" si="189"/>
        <v>0.85254543874327005</v>
      </c>
      <c r="Y226" s="4">
        <f t="shared" si="189"/>
        <v>0.79921300652623883</v>
      </c>
      <c r="Z226" s="4">
        <f t="shared" si="189"/>
        <v>0.73204982249993378</v>
      </c>
      <c r="AA226" s="4">
        <f t="shared" si="189"/>
        <v>0.65145592958786691</v>
      </c>
      <c r="AB226" s="4">
        <f t="shared" si="189"/>
        <v>0.56032247880849573</v>
      </c>
      <c r="AC226" s="4">
        <f t="shared" si="189"/>
        <v>0.46411326873185343</v>
      </c>
      <c r="AD226" s="4">
        <f t="shared" si="189"/>
        <v>0.36979727595523937</v>
      </c>
      <c r="AE226" s="4">
        <f t="shared" si="189"/>
        <v>0.28393948637231203</v>
      </c>
      <c r="AF226" s="4">
        <f t="shared" si="189"/>
        <v>0.21097259161117732</v>
      </c>
      <c r="AG226" s="4">
        <f t="shared" si="189"/>
        <v>0.15253917653798199</v>
      </c>
      <c r="AH226" s="4">
        <f t="shared" si="189"/>
        <v>0.10795188737709993</v>
      </c>
      <c r="AI226" s="4">
        <f t="shared" si="189"/>
        <v>7.5176653938091809E-2</v>
      </c>
      <c r="AJ226" s="4">
        <f t="shared" si="189"/>
        <v>5.1742836177502194E-2</v>
      </c>
      <c r="AK226" s="4">
        <f t="shared" si="189"/>
        <v>3.5319190625345942E-2</v>
      </c>
      <c r="AL226" s="4">
        <f t="shared" si="189"/>
        <v>2.3969442072658165E-2</v>
      </c>
      <c r="AM226" s="4">
        <f t="shared" si="189"/>
        <v>1.6202243558389728E-2</v>
      </c>
      <c r="AN226" s="4">
        <f t="shared" si="189"/>
        <v>1.0922240564108399E-2</v>
      </c>
      <c r="AO226" s="4">
        <f t="shared" si="189"/>
        <v>7.3493212906090566E-3</v>
      </c>
      <c r="AP226" s="4">
        <f t="shared" si="189"/>
        <v>4.9390262185057265E-3</v>
      </c>
      <c r="AQ226" s="4">
        <f t="shared" si="189"/>
        <v>3.3164275492956197E-3</v>
      </c>
      <c r="AR226" s="4">
        <f t="shared" si="18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89"/>
        <v>0.9867978615748374</v>
      </c>
      <c r="R227" s="4">
        <f t="shared" si="189"/>
        <v>0.98114509762858249</v>
      </c>
      <c r="S227" s="4">
        <f t="shared" si="189"/>
        <v>0.97311898315872036</v>
      </c>
      <c r="T227" s="4">
        <f t="shared" si="189"/>
        <v>0.96177484161592774</v>
      </c>
      <c r="U227" s="4">
        <f t="shared" si="189"/>
        <v>0.94584787155511363</v>
      </c>
      <c r="V227" s="4">
        <f t="shared" si="189"/>
        <v>0.92370360150141495</v>
      </c>
      <c r="W227" s="4">
        <f t="shared" si="189"/>
        <v>0.89334463567658451</v>
      </c>
      <c r="X227" s="4">
        <f t="shared" si="189"/>
        <v>0.85254543874327005</v>
      </c>
      <c r="Y227" s="4">
        <f t="shared" si="189"/>
        <v>0.79921300652623883</v>
      </c>
      <c r="Z227" s="4">
        <f t="shared" si="189"/>
        <v>0.73204982249993378</v>
      </c>
      <c r="AA227" s="4">
        <f t="shared" si="189"/>
        <v>0.65145592958786691</v>
      </c>
      <c r="AB227" s="4">
        <f t="shared" si="189"/>
        <v>0.56032247880849573</v>
      </c>
      <c r="AC227" s="4">
        <f t="shared" si="189"/>
        <v>0.46411326873185343</v>
      </c>
      <c r="AD227" s="4">
        <f t="shared" si="189"/>
        <v>0.36979727595523937</v>
      </c>
      <c r="AE227" s="4">
        <f t="shared" si="189"/>
        <v>0.28393948637231203</v>
      </c>
      <c r="AF227" s="4">
        <f t="shared" si="189"/>
        <v>0.21097259161117732</v>
      </c>
      <c r="AG227" s="4">
        <f t="shared" si="189"/>
        <v>0.15253917653798199</v>
      </c>
      <c r="AH227" s="4">
        <f t="shared" si="189"/>
        <v>0.10795188737709993</v>
      </c>
      <c r="AI227" s="4">
        <f t="shared" si="189"/>
        <v>7.5176653938091809E-2</v>
      </c>
      <c r="AJ227" s="4">
        <f t="shared" si="189"/>
        <v>5.1742836177502194E-2</v>
      </c>
      <c r="AK227" s="4">
        <f t="shared" si="189"/>
        <v>3.5319190625345942E-2</v>
      </c>
      <c r="AL227" s="4">
        <f t="shared" si="189"/>
        <v>2.3969442072658165E-2</v>
      </c>
      <c r="AM227" s="4">
        <f t="shared" si="189"/>
        <v>1.6202243558389728E-2</v>
      </c>
      <c r="AN227" s="4">
        <f t="shared" si="189"/>
        <v>1.0922240564108399E-2</v>
      </c>
      <c r="AO227" s="4">
        <f t="shared" si="189"/>
        <v>7.3493212906090566E-3</v>
      </c>
      <c r="AP227" s="4">
        <f t="shared" si="189"/>
        <v>4.9390262185057265E-3</v>
      </c>
      <c r="AQ227" s="4">
        <f t="shared" si="189"/>
        <v>3.3164275492956197E-3</v>
      </c>
      <c r="AR227" s="4">
        <f t="shared" si="18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89"/>
        <v>0.9867978615748374</v>
      </c>
      <c r="R228" s="4">
        <f t="shared" si="189"/>
        <v>0.98114509762858249</v>
      </c>
      <c r="S228" s="4">
        <f t="shared" si="189"/>
        <v>0.97311898315872036</v>
      </c>
      <c r="T228" s="4">
        <f t="shared" si="189"/>
        <v>0.96177484161592774</v>
      </c>
      <c r="U228" s="4">
        <f t="shared" si="189"/>
        <v>0.94584787155511363</v>
      </c>
      <c r="V228" s="4">
        <f t="shared" si="189"/>
        <v>0.92370360150141495</v>
      </c>
      <c r="W228" s="4">
        <f t="shared" si="189"/>
        <v>0.89334463567658451</v>
      </c>
      <c r="X228" s="4">
        <f t="shared" si="189"/>
        <v>0.85254543874327005</v>
      </c>
      <c r="Y228" s="4">
        <f t="shared" si="189"/>
        <v>0.79921300652623883</v>
      </c>
      <c r="Z228" s="4">
        <f t="shared" si="189"/>
        <v>0.73204982249993378</v>
      </c>
      <c r="AA228" s="4">
        <f t="shared" si="189"/>
        <v>0.65145592958786691</v>
      </c>
      <c r="AB228" s="4">
        <f t="shared" si="189"/>
        <v>0.56032247880849573</v>
      </c>
      <c r="AC228" s="4">
        <f t="shared" si="189"/>
        <v>0.46411326873185343</v>
      </c>
      <c r="AD228" s="4">
        <f t="shared" si="189"/>
        <v>0.36979727595523937</v>
      </c>
      <c r="AE228" s="4">
        <f t="shared" si="189"/>
        <v>0.28393948637231203</v>
      </c>
      <c r="AF228" s="4">
        <f t="shared" si="189"/>
        <v>0.21097259161117732</v>
      </c>
      <c r="AG228" s="4">
        <f t="shared" si="189"/>
        <v>0.15253917653798199</v>
      </c>
      <c r="AH228" s="4">
        <f t="shared" si="189"/>
        <v>0.10795188737709993</v>
      </c>
      <c r="AI228" s="4">
        <f t="shared" si="189"/>
        <v>7.5176653938091809E-2</v>
      </c>
      <c r="AJ228" s="4">
        <f t="shared" si="189"/>
        <v>5.1742836177502194E-2</v>
      </c>
      <c r="AK228" s="4">
        <f t="shared" si="189"/>
        <v>3.5319190625345942E-2</v>
      </c>
      <c r="AL228" s="4">
        <f t="shared" si="189"/>
        <v>2.3969442072658165E-2</v>
      </c>
      <c r="AM228" s="4">
        <f t="shared" si="189"/>
        <v>1.6202243558389728E-2</v>
      </c>
      <c r="AN228" s="4">
        <f t="shared" si="189"/>
        <v>1.0922240564108399E-2</v>
      </c>
      <c r="AO228" s="4">
        <f t="shared" si="189"/>
        <v>7.3493212906090566E-3</v>
      </c>
      <c r="AP228" s="4">
        <f t="shared" si="189"/>
        <v>4.9390262185057265E-3</v>
      </c>
      <c r="AQ228" s="4">
        <f t="shared" si="189"/>
        <v>3.3164275492956197E-3</v>
      </c>
      <c r="AR228" s="4">
        <f t="shared" si="189"/>
        <v>2.2256362146679809E-3</v>
      </c>
    </row>
    <row r="229" spans="1:44" x14ac:dyDescent="0.25">
      <c r="A229" s="24" t="s">
        <v>79</v>
      </c>
      <c r="B229" s="45">
        <f>'Parameter Input'!$L$166</f>
        <v>0.06</v>
      </c>
      <c r="C229" s="46">
        <f>'Parameter Input'!$M$166</f>
        <v>0.06</v>
      </c>
      <c r="D229" s="1" t="s">
        <v>57</v>
      </c>
      <c r="L229" s="54">
        <f>'Parameter Input'!$O$166</f>
        <v>12</v>
      </c>
      <c r="M229" s="37">
        <v>0</v>
      </c>
      <c r="N229" s="37">
        <v>1</v>
      </c>
      <c r="O229" s="37">
        <f>'Parameter Input'!$P$166</f>
        <v>0.9</v>
      </c>
      <c r="P229" s="55">
        <f>'Parameter Input'!$Q$166</f>
        <v>0.4</v>
      </c>
      <c r="Q229" s="4">
        <f t="shared" si="189"/>
        <v>0.9867978615748374</v>
      </c>
      <c r="R229" s="4">
        <f t="shared" si="189"/>
        <v>0.98114509762858249</v>
      </c>
      <c r="S229" s="4">
        <f t="shared" si="189"/>
        <v>0.97311898315872036</v>
      </c>
      <c r="T229" s="4">
        <f t="shared" si="189"/>
        <v>0.96177484161592774</v>
      </c>
      <c r="U229" s="4">
        <f t="shared" si="189"/>
        <v>0.94584787155511363</v>
      </c>
      <c r="V229" s="4">
        <f t="shared" si="189"/>
        <v>0.92370360150141495</v>
      </c>
      <c r="W229" s="4">
        <f t="shared" si="189"/>
        <v>0.89334463567658451</v>
      </c>
      <c r="X229" s="4">
        <f t="shared" si="189"/>
        <v>0.85254543874327005</v>
      </c>
      <c r="Y229" s="4">
        <f t="shared" si="189"/>
        <v>0.79921300652623883</v>
      </c>
      <c r="Z229" s="4">
        <f t="shared" si="189"/>
        <v>0.73204982249993378</v>
      </c>
      <c r="AA229" s="4">
        <f t="shared" si="189"/>
        <v>0.65145592958786691</v>
      </c>
      <c r="AB229" s="4">
        <f t="shared" si="189"/>
        <v>0.56032247880849573</v>
      </c>
      <c r="AC229" s="4">
        <f t="shared" si="189"/>
        <v>0.46411326873185343</v>
      </c>
      <c r="AD229" s="4">
        <f t="shared" si="189"/>
        <v>0.36979727595523937</v>
      </c>
      <c r="AE229" s="4">
        <f t="shared" si="189"/>
        <v>0.28393948637231203</v>
      </c>
      <c r="AF229" s="4">
        <f t="shared" si="189"/>
        <v>0.21097259161117732</v>
      </c>
      <c r="AG229" s="4">
        <f t="shared" si="189"/>
        <v>0.15253917653798199</v>
      </c>
      <c r="AH229" s="4">
        <f t="shared" si="189"/>
        <v>0.10795188737709993</v>
      </c>
      <c r="AI229" s="4">
        <f t="shared" si="189"/>
        <v>7.5176653938091809E-2</v>
      </c>
      <c r="AJ229" s="4">
        <f t="shared" si="189"/>
        <v>5.1742836177502194E-2</v>
      </c>
      <c r="AK229" s="4">
        <f t="shared" si="189"/>
        <v>3.5319190625345942E-2</v>
      </c>
      <c r="AL229" s="4">
        <f t="shared" si="189"/>
        <v>2.3969442072658165E-2</v>
      </c>
      <c r="AM229" s="4">
        <f t="shared" si="189"/>
        <v>1.6202243558389728E-2</v>
      </c>
      <c r="AN229" s="4">
        <f t="shared" si="189"/>
        <v>1.0922240564108399E-2</v>
      </c>
      <c r="AO229" s="4">
        <f t="shared" si="189"/>
        <v>7.3493212906090566E-3</v>
      </c>
      <c r="AP229" s="4">
        <f t="shared" si="189"/>
        <v>4.9390262185057265E-3</v>
      </c>
      <c r="AQ229" s="4">
        <f t="shared" si="189"/>
        <v>3.3164275492956197E-3</v>
      </c>
      <c r="AR229" s="4">
        <f t="shared" si="18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89"/>
        <v>0.9867978615748374</v>
      </c>
      <c r="R230" s="4">
        <f t="shared" si="189"/>
        <v>0.98114509762858249</v>
      </c>
      <c r="S230" s="4">
        <f t="shared" si="189"/>
        <v>0.97311898315872036</v>
      </c>
      <c r="T230" s="4">
        <f t="shared" si="189"/>
        <v>0.96177484161592774</v>
      </c>
      <c r="U230" s="4">
        <f t="shared" si="189"/>
        <v>0.94584787155511363</v>
      </c>
      <c r="V230" s="4">
        <f t="shared" si="189"/>
        <v>0.92370360150141495</v>
      </c>
      <c r="W230" s="4">
        <f t="shared" si="189"/>
        <v>0.89334463567658451</v>
      </c>
      <c r="X230" s="4">
        <f t="shared" si="189"/>
        <v>0.85254543874327005</v>
      </c>
      <c r="Y230" s="4">
        <f t="shared" si="189"/>
        <v>0.79921300652623883</v>
      </c>
      <c r="Z230" s="4">
        <f t="shared" si="189"/>
        <v>0.73204982249993378</v>
      </c>
      <c r="AA230" s="4">
        <f t="shared" si="189"/>
        <v>0.65145592958786691</v>
      </c>
      <c r="AB230" s="4">
        <f t="shared" si="189"/>
        <v>0.56032247880849573</v>
      </c>
      <c r="AC230" s="4">
        <f t="shared" si="189"/>
        <v>0.46411326873185343</v>
      </c>
      <c r="AD230" s="4">
        <f t="shared" si="189"/>
        <v>0.36979727595523937</v>
      </c>
      <c r="AE230" s="4">
        <f t="shared" si="189"/>
        <v>0.28393948637231203</v>
      </c>
      <c r="AF230" s="4">
        <f t="shared" si="189"/>
        <v>0.21097259161117732</v>
      </c>
      <c r="AG230" s="4">
        <f t="shared" si="189"/>
        <v>0.15253917653798199</v>
      </c>
      <c r="AH230" s="4">
        <f t="shared" si="189"/>
        <v>0.10795188737709993</v>
      </c>
      <c r="AI230" s="4">
        <f t="shared" si="189"/>
        <v>7.5176653938091809E-2</v>
      </c>
      <c r="AJ230" s="4">
        <f t="shared" si="189"/>
        <v>5.1742836177502194E-2</v>
      </c>
      <c r="AK230" s="4">
        <f t="shared" si="189"/>
        <v>3.5319190625345942E-2</v>
      </c>
      <c r="AL230" s="4">
        <f t="shared" si="189"/>
        <v>2.3969442072658165E-2</v>
      </c>
      <c r="AM230" s="4">
        <f t="shared" si="189"/>
        <v>1.6202243558389728E-2</v>
      </c>
      <c r="AN230" s="4">
        <f t="shared" si="189"/>
        <v>1.0922240564108399E-2</v>
      </c>
      <c r="AO230" s="4">
        <f t="shared" si="189"/>
        <v>7.3493212906090566E-3</v>
      </c>
      <c r="AP230" s="4">
        <f t="shared" si="189"/>
        <v>4.9390262185057265E-3</v>
      </c>
      <c r="AQ230" s="4">
        <f t="shared" si="189"/>
        <v>3.3164275492956197E-3</v>
      </c>
      <c r="AR230" s="4">
        <f t="shared" si="189"/>
        <v>2.2256362146679809E-3</v>
      </c>
    </row>
    <row r="231" spans="1:44" x14ac:dyDescent="0.25">
      <c r="A231" s="24" t="s">
        <v>52</v>
      </c>
      <c r="B231" s="43">
        <f>'Parameter Input'!$L$162</f>
        <v>650000</v>
      </c>
      <c r="C231" s="44">
        <f>'Parameter Input'!$M$162</f>
        <v>650000</v>
      </c>
      <c r="D231" s="1" t="s">
        <v>38</v>
      </c>
      <c r="L231" s="54">
        <f>'Parameter Input'!$O$162</f>
        <v>12</v>
      </c>
      <c r="M231" s="37">
        <v>0</v>
      </c>
      <c r="N231" s="37">
        <v>1</v>
      </c>
      <c r="O231" s="37">
        <f>'Parameter Input'!$P$162</f>
        <v>0.9</v>
      </c>
      <c r="P231" s="55">
        <f>'Parameter Input'!$Q$162</f>
        <v>0.4</v>
      </c>
      <c r="Q231" s="4">
        <f t="shared" si="189"/>
        <v>0.9867978615748374</v>
      </c>
      <c r="R231" s="4">
        <f t="shared" si="189"/>
        <v>0.98114509762858249</v>
      </c>
      <c r="S231" s="4">
        <f t="shared" si="189"/>
        <v>0.97311898315872036</v>
      </c>
      <c r="T231" s="4">
        <f t="shared" si="189"/>
        <v>0.96177484161592774</v>
      </c>
      <c r="U231" s="4">
        <f t="shared" si="189"/>
        <v>0.94584787155511363</v>
      </c>
      <c r="V231" s="4">
        <f t="shared" si="189"/>
        <v>0.92370360150141495</v>
      </c>
      <c r="W231" s="4">
        <f t="shared" si="189"/>
        <v>0.89334463567658451</v>
      </c>
      <c r="X231" s="4">
        <f t="shared" si="189"/>
        <v>0.85254543874327005</v>
      </c>
      <c r="Y231" s="4">
        <f t="shared" si="189"/>
        <v>0.79921300652623883</v>
      </c>
      <c r="Z231" s="4">
        <f t="shared" si="189"/>
        <v>0.73204982249993378</v>
      </c>
      <c r="AA231" s="4">
        <f t="shared" si="189"/>
        <v>0.65145592958786691</v>
      </c>
      <c r="AB231" s="4">
        <f t="shared" si="189"/>
        <v>0.56032247880849573</v>
      </c>
      <c r="AC231" s="4">
        <f t="shared" si="189"/>
        <v>0.46411326873185343</v>
      </c>
      <c r="AD231" s="4">
        <f t="shared" si="189"/>
        <v>0.36979727595523937</v>
      </c>
      <c r="AE231" s="4">
        <f t="shared" si="189"/>
        <v>0.28393948637231203</v>
      </c>
      <c r="AF231" s="4">
        <f t="shared" si="189"/>
        <v>0.21097259161117732</v>
      </c>
      <c r="AG231" s="4">
        <f t="shared" si="189"/>
        <v>0.15253917653798199</v>
      </c>
      <c r="AH231" s="4">
        <f t="shared" si="189"/>
        <v>0.10795188737709993</v>
      </c>
      <c r="AI231" s="4">
        <f t="shared" si="189"/>
        <v>7.5176653938091809E-2</v>
      </c>
      <c r="AJ231" s="4">
        <f t="shared" si="189"/>
        <v>5.1742836177502194E-2</v>
      </c>
      <c r="AK231" s="4">
        <f t="shared" si="189"/>
        <v>3.5319190625345942E-2</v>
      </c>
      <c r="AL231" s="4">
        <f t="shared" si="189"/>
        <v>2.3969442072658165E-2</v>
      </c>
      <c r="AM231" s="4">
        <f t="shared" si="189"/>
        <v>1.6202243558389728E-2</v>
      </c>
      <c r="AN231" s="4">
        <f t="shared" si="189"/>
        <v>1.0922240564108399E-2</v>
      </c>
      <c r="AO231" s="4">
        <f t="shared" si="189"/>
        <v>7.3493212906090566E-3</v>
      </c>
      <c r="AP231" s="4">
        <f t="shared" si="189"/>
        <v>4.9390262185057265E-3</v>
      </c>
      <c r="AQ231" s="4">
        <f t="shared" si="189"/>
        <v>3.3164275492956197E-3</v>
      </c>
      <c r="AR231" s="4">
        <f t="shared" si="18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89"/>
        <v>0.9867978615748374</v>
      </c>
      <c r="R232" s="4">
        <f t="shared" si="189"/>
        <v>0.98114509762858249</v>
      </c>
      <c r="S232" s="4">
        <f t="shared" si="189"/>
        <v>0.97311898315872036</v>
      </c>
      <c r="T232" s="4">
        <f t="shared" si="189"/>
        <v>0.96177484161592774</v>
      </c>
      <c r="U232" s="4">
        <f t="shared" si="189"/>
        <v>0.94584787155511363</v>
      </c>
      <c r="V232" s="4">
        <f t="shared" si="189"/>
        <v>0.92370360150141495</v>
      </c>
      <c r="W232" s="4">
        <f t="shared" si="189"/>
        <v>0.89334463567658451</v>
      </c>
      <c r="X232" s="4">
        <f t="shared" si="189"/>
        <v>0.85254543874327005</v>
      </c>
      <c r="Y232" s="4">
        <f t="shared" si="189"/>
        <v>0.79921300652623883</v>
      </c>
      <c r="Z232" s="4">
        <f t="shared" si="189"/>
        <v>0.73204982249993378</v>
      </c>
      <c r="AA232" s="4">
        <f t="shared" si="189"/>
        <v>0.65145592958786691</v>
      </c>
      <c r="AB232" s="4">
        <f t="shared" si="189"/>
        <v>0.56032247880849573</v>
      </c>
      <c r="AC232" s="4">
        <f t="shared" si="189"/>
        <v>0.46411326873185343</v>
      </c>
      <c r="AD232" s="4">
        <f t="shared" si="189"/>
        <v>0.36979727595523937</v>
      </c>
      <c r="AE232" s="4">
        <f t="shared" si="189"/>
        <v>0.28393948637231203</v>
      </c>
      <c r="AF232" s="4">
        <f t="shared" si="189"/>
        <v>0.21097259161117732</v>
      </c>
      <c r="AG232" s="4">
        <f t="shared" si="189"/>
        <v>0.15253917653798199</v>
      </c>
      <c r="AH232" s="4">
        <f t="shared" si="189"/>
        <v>0.10795188737709993</v>
      </c>
      <c r="AI232" s="4">
        <f t="shared" si="189"/>
        <v>7.5176653938091809E-2</v>
      </c>
      <c r="AJ232" s="4">
        <f t="shared" si="189"/>
        <v>5.1742836177502194E-2</v>
      </c>
      <c r="AK232" s="4">
        <f t="shared" si="189"/>
        <v>3.5319190625345942E-2</v>
      </c>
      <c r="AL232" s="4">
        <f t="shared" si="189"/>
        <v>2.3969442072658165E-2</v>
      </c>
      <c r="AM232" s="4">
        <f t="shared" si="189"/>
        <v>1.6202243558389728E-2</v>
      </c>
      <c r="AN232" s="4">
        <f t="shared" si="189"/>
        <v>1.0922240564108399E-2</v>
      </c>
      <c r="AO232" s="4">
        <f t="shared" si="189"/>
        <v>7.3493212906090566E-3</v>
      </c>
      <c r="AP232" s="4">
        <f t="shared" si="189"/>
        <v>4.9390262185057265E-3</v>
      </c>
      <c r="AQ232" s="4">
        <f t="shared" si="189"/>
        <v>3.3164275492956197E-3</v>
      </c>
      <c r="AR232" s="4">
        <f t="shared" si="189"/>
        <v>2.2256362146679809E-3</v>
      </c>
    </row>
    <row r="233" spans="1:44" x14ac:dyDescent="0.25">
      <c r="A233" s="24" t="s">
        <v>59</v>
      </c>
      <c r="B233" s="47">
        <f>'Parameter Input'!$L$163</f>
        <v>31.614305882352937</v>
      </c>
      <c r="C233" s="48">
        <f>'Parameter Input'!$M$163</f>
        <v>31.614305882352937</v>
      </c>
      <c r="D233" s="1" t="s">
        <v>60</v>
      </c>
      <c r="L233" s="54">
        <f>'Parameter Input'!$O$163</f>
        <v>12</v>
      </c>
      <c r="M233" s="37">
        <v>0</v>
      </c>
      <c r="N233" s="37">
        <v>1</v>
      </c>
      <c r="O233" s="37">
        <f>'Parameter Input'!$P$163</f>
        <v>0.9</v>
      </c>
      <c r="P233" s="55">
        <f>'Parameter Input'!$Q$163</f>
        <v>0.4</v>
      </c>
      <c r="Q233" s="4">
        <f t="shared" si="189"/>
        <v>0.9867978615748374</v>
      </c>
      <c r="R233" s="4">
        <f t="shared" si="189"/>
        <v>0.98114509762858249</v>
      </c>
      <c r="S233" s="4">
        <f t="shared" si="189"/>
        <v>0.97311898315872036</v>
      </c>
      <c r="T233" s="4">
        <f t="shared" si="189"/>
        <v>0.96177484161592774</v>
      </c>
      <c r="U233" s="4">
        <f t="shared" si="189"/>
        <v>0.94584787155511363</v>
      </c>
      <c r="V233" s="4">
        <f t="shared" si="189"/>
        <v>0.92370360150141495</v>
      </c>
      <c r="W233" s="4">
        <f t="shared" si="189"/>
        <v>0.89334463567658451</v>
      </c>
      <c r="X233" s="4">
        <f t="shared" si="189"/>
        <v>0.85254543874327005</v>
      </c>
      <c r="Y233" s="4">
        <f t="shared" si="189"/>
        <v>0.79921300652623883</v>
      </c>
      <c r="Z233" s="4">
        <f t="shared" si="189"/>
        <v>0.73204982249993378</v>
      </c>
      <c r="AA233" s="4">
        <f t="shared" si="189"/>
        <v>0.65145592958786691</v>
      </c>
      <c r="AB233" s="4">
        <f t="shared" si="189"/>
        <v>0.56032247880849573</v>
      </c>
      <c r="AC233" s="4">
        <f t="shared" si="189"/>
        <v>0.46411326873185343</v>
      </c>
      <c r="AD233" s="4">
        <f t="shared" si="189"/>
        <v>0.36979727595523937</v>
      </c>
      <c r="AE233" s="4">
        <f t="shared" si="189"/>
        <v>0.28393948637231203</v>
      </c>
      <c r="AF233" s="4">
        <f t="shared" si="189"/>
        <v>0.21097259161117732</v>
      </c>
      <c r="AG233" s="4">
        <f t="shared" si="189"/>
        <v>0.15253917653798199</v>
      </c>
      <c r="AH233" s="4">
        <f t="shared" si="189"/>
        <v>0.10795188737709993</v>
      </c>
      <c r="AI233" s="4">
        <f t="shared" si="189"/>
        <v>7.5176653938091809E-2</v>
      </c>
      <c r="AJ233" s="4">
        <f t="shared" si="189"/>
        <v>5.1742836177502194E-2</v>
      </c>
      <c r="AK233" s="4">
        <f t="shared" si="189"/>
        <v>3.5319190625345942E-2</v>
      </c>
      <c r="AL233" s="4">
        <f t="shared" si="189"/>
        <v>2.3969442072658165E-2</v>
      </c>
      <c r="AM233" s="4">
        <f t="shared" si="189"/>
        <v>1.6202243558389728E-2</v>
      </c>
      <c r="AN233" s="4">
        <f t="shared" si="189"/>
        <v>1.0922240564108399E-2</v>
      </c>
      <c r="AO233" s="4">
        <f t="shared" si="189"/>
        <v>7.3493212906090566E-3</v>
      </c>
      <c r="AP233" s="4">
        <f t="shared" si="189"/>
        <v>4.9390262185057265E-3</v>
      </c>
      <c r="AQ233" s="4">
        <f t="shared" si="189"/>
        <v>3.3164275492956197E-3</v>
      </c>
      <c r="AR233" s="4">
        <f t="shared" si="189"/>
        <v>2.2256362146679809E-3</v>
      </c>
    </row>
    <row r="234" spans="1:44" x14ac:dyDescent="0.25">
      <c r="A234" s="24" t="s">
        <v>67</v>
      </c>
      <c r="B234" s="45">
        <f>'Parameter Input'!$L$164</f>
        <v>0.13371034051801745</v>
      </c>
      <c r="C234" s="46">
        <f>'Parameter Input'!$M$164</f>
        <v>8.7585019329602734E-2</v>
      </c>
      <c r="D234" s="1" t="s">
        <v>68</v>
      </c>
      <c r="L234" s="54">
        <f>'Parameter Input'!$O$164</f>
        <v>12</v>
      </c>
      <c r="M234" s="37">
        <v>0</v>
      </c>
      <c r="N234" s="37">
        <v>1</v>
      </c>
      <c r="O234" s="37">
        <f>'Parameter Input'!$P$164</f>
        <v>0.9</v>
      </c>
      <c r="P234" s="55">
        <f>'Parameter Input'!$Q$164</f>
        <v>0.4</v>
      </c>
      <c r="Q234" s="4">
        <f t="shared" si="189"/>
        <v>0.9867978615748374</v>
      </c>
      <c r="R234" s="4">
        <f t="shared" si="189"/>
        <v>0.98114509762858249</v>
      </c>
      <c r="S234" s="4">
        <f t="shared" si="189"/>
        <v>0.97311898315872036</v>
      </c>
      <c r="T234" s="4">
        <f t="shared" ref="T234:AI241" si="190">$N234+($M234-$N234)*((1/(1+EXP(-$P234*(T$9-$L234)))^$O234))</f>
        <v>0.96177484161592774</v>
      </c>
      <c r="U234" s="4">
        <f t="shared" si="190"/>
        <v>0.94584787155511363</v>
      </c>
      <c r="V234" s="4">
        <f t="shared" si="190"/>
        <v>0.92370360150141495</v>
      </c>
      <c r="W234" s="4">
        <f t="shared" si="190"/>
        <v>0.89334463567658451</v>
      </c>
      <c r="X234" s="4">
        <f t="shared" si="190"/>
        <v>0.85254543874327005</v>
      </c>
      <c r="Y234" s="4">
        <f t="shared" si="190"/>
        <v>0.79921300652623883</v>
      </c>
      <c r="Z234" s="4">
        <f t="shared" si="190"/>
        <v>0.73204982249993378</v>
      </c>
      <c r="AA234" s="4">
        <f t="shared" si="190"/>
        <v>0.65145592958786691</v>
      </c>
      <c r="AB234" s="4">
        <f t="shared" si="190"/>
        <v>0.56032247880849573</v>
      </c>
      <c r="AC234" s="4">
        <f t="shared" si="190"/>
        <v>0.46411326873185343</v>
      </c>
      <c r="AD234" s="4">
        <f t="shared" si="190"/>
        <v>0.36979727595523937</v>
      </c>
      <c r="AE234" s="4">
        <f t="shared" si="190"/>
        <v>0.28393948637231203</v>
      </c>
      <c r="AF234" s="4">
        <f t="shared" si="190"/>
        <v>0.21097259161117732</v>
      </c>
      <c r="AG234" s="4">
        <f t="shared" si="190"/>
        <v>0.15253917653798199</v>
      </c>
      <c r="AH234" s="4">
        <f t="shared" si="190"/>
        <v>0.10795188737709993</v>
      </c>
      <c r="AI234" s="4">
        <f t="shared" si="190"/>
        <v>7.5176653938091809E-2</v>
      </c>
      <c r="AJ234" s="4">
        <f t="shared" ref="AJ234:AR241" si="191">$N234+($M234-$N234)*((1/(1+EXP(-$P234*(AJ$9-$L234)))^$O234))</f>
        <v>5.1742836177502194E-2</v>
      </c>
      <c r="AK234" s="4">
        <f t="shared" si="191"/>
        <v>3.5319190625345942E-2</v>
      </c>
      <c r="AL234" s="4">
        <f t="shared" si="191"/>
        <v>2.3969442072658165E-2</v>
      </c>
      <c r="AM234" s="4">
        <f t="shared" si="191"/>
        <v>1.6202243558389728E-2</v>
      </c>
      <c r="AN234" s="4">
        <f t="shared" si="191"/>
        <v>1.0922240564108399E-2</v>
      </c>
      <c r="AO234" s="4">
        <f t="shared" si="191"/>
        <v>7.3493212906090566E-3</v>
      </c>
      <c r="AP234" s="4">
        <f t="shared" si="191"/>
        <v>4.9390262185057265E-3</v>
      </c>
      <c r="AQ234" s="4">
        <f t="shared" si="191"/>
        <v>3.3164275492956197E-3</v>
      </c>
      <c r="AR234" s="4">
        <f t="shared" si="191"/>
        <v>2.2256362146679809E-3</v>
      </c>
    </row>
    <row r="235" spans="1:44" x14ac:dyDescent="0.25">
      <c r="A235" s="24" t="s">
        <v>206</v>
      </c>
      <c r="B235" s="115">
        <f>'Parameter Input'!$L$167</f>
        <v>0</v>
      </c>
      <c r="C235" s="116">
        <f>'Parameter Input'!$M$167</f>
        <v>0</v>
      </c>
      <c r="D235" s="1" t="s">
        <v>76</v>
      </c>
      <c r="L235" s="54">
        <f>'Parameter Input'!$O$167</f>
        <v>17</v>
      </c>
      <c r="M235" s="37">
        <v>0</v>
      </c>
      <c r="N235" s="37">
        <v>1</v>
      </c>
      <c r="O235" s="37">
        <f>'Parameter Input'!$P$167</f>
        <v>0.9</v>
      </c>
      <c r="P235" s="55">
        <f>'Parameter Input'!$Q$167</f>
        <v>0.4</v>
      </c>
      <c r="Q235" s="4">
        <f t="shared" ref="Q235:AR235" si="192">$N235+($M235-$N235)*((1/(1+EXP(-$P235*(Q$9-$L235)))^$O235))</f>
        <v>0.99780374543478534</v>
      </c>
      <c r="R235" s="4">
        <f t="shared" si="192"/>
        <v>0.99685359315256394</v>
      </c>
      <c r="S235" s="4">
        <f t="shared" si="192"/>
        <v>0.99549347132349975</v>
      </c>
      <c r="T235" s="4">
        <f t="shared" si="192"/>
        <v>0.99354772139898062</v>
      </c>
      <c r="U235" s="4">
        <f t="shared" si="192"/>
        <v>0.99076681540580536</v>
      </c>
      <c r="V235" s="4">
        <f t="shared" si="192"/>
        <v>0.9867978615748374</v>
      </c>
      <c r="W235" s="4">
        <f t="shared" si="192"/>
        <v>0.98114509762858249</v>
      </c>
      <c r="X235" s="4">
        <f t="shared" si="192"/>
        <v>0.97311898315872036</v>
      </c>
      <c r="Y235" s="4">
        <f t="shared" si="192"/>
        <v>0.96177484161592774</v>
      </c>
      <c r="Z235" s="4">
        <f t="shared" si="192"/>
        <v>0.94584787155511363</v>
      </c>
      <c r="AA235" s="4">
        <f t="shared" si="192"/>
        <v>0.92370360150141495</v>
      </c>
      <c r="AB235" s="4">
        <f t="shared" si="192"/>
        <v>0.89334463567658451</v>
      </c>
      <c r="AC235" s="4">
        <f t="shared" si="192"/>
        <v>0.85254543874327005</v>
      </c>
      <c r="AD235" s="4">
        <f t="shared" si="192"/>
        <v>0.79921300652623883</v>
      </c>
      <c r="AE235" s="4">
        <f t="shared" si="192"/>
        <v>0.73204982249993378</v>
      </c>
      <c r="AF235" s="4">
        <f t="shared" si="192"/>
        <v>0.65145592958786691</v>
      </c>
      <c r="AG235" s="4">
        <f t="shared" si="192"/>
        <v>0.56032247880849573</v>
      </c>
      <c r="AH235" s="4">
        <f t="shared" si="192"/>
        <v>0.46411326873185343</v>
      </c>
      <c r="AI235" s="4">
        <f t="shared" si="192"/>
        <v>0.36979727595523937</v>
      </c>
      <c r="AJ235" s="4">
        <f t="shared" si="192"/>
        <v>0.28393948637231203</v>
      </c>
      <c r="AK235" s="4">
        <f t="shared" si="192"/>
        <v>0.21097259161117732</v>
      </c>
      <c r="AL235" s="4">
        <f t="shared" si="192"/>
        <v>0.15253917653798199</v>
      </c>
      <c r="AM235" s="4">
        <f t="shared" si="192"/>
        <v>0.10795188737709993</v>
      </c>
      <c r="AN235" s="4">
        <f t="shared" si="192"/>
        <v>7.5176653938091809E-2</v>
      </c>
      <c r="AO235" s="4">
        <f t="shared" si="192"/>
        <v>5.1742836177502194E-2</v>
      </c>
      <c r="AP235" s="4">
        <f t="shared" si="192"/>
        <v>3.5319190625345942E-2</v>
      </c>
      <c r="AQ235" s="4">
        <f t="shared" si="192"/>
        <v>2.3969442072658165E-2</v>
      </c>
      <c r="AR235" s="4">
        <f t="shared" si="192"/>
        <v>1.6202243558389728E-2</v>
      </c>
    </row>
    <row r="236" spans="1:44" x14ac:dyDescent="0.25">
      <c r="A236" s="24" t="s">
        <v>41</v>
      </c>
      <c r="B236" s="43">
        <f>'Parameter Input'!$L$161</f>
        <v>20</v>
      </c>
      <c r="C236" s="44">
        <f>'Parameter Input'!$M$161</f>
        <v>20</v>
      </c>
      <c r="D236" s="1" t="s">
        <v>42</v>
      </c>
      <c r="L236" s="54">
        <f>'Parameter Input'!$O$161</f>
        <v>12</v>
      </c>
      <c r="M236" s="37">
        <v>0</v>
      </c>
      <c r="N236" s="37">
        <v>1</v>
      </c>
      <c r="O236" s="37">
        <f>'Parameter Input'!$P$161</f>
        <v>0.9</v>
      </c>
      <c r="P236" s="55">
        <f>'Parameter Input'!$Q$161</f>
        <v>0.4</v>
      </c>
      <c r="Q236" s="4">
        <f t="shared" ref="Q236:AF241" si="193">$N236+($M236-$N236)*((1/(1+EXP(-$P236*(Q$9-$L236)))^$O236))</f>
        <v>0.9867978615748374</v>
      </c>
      <c r="R236" s="4">
        <f t="shared" si="193"/>
        <v>0.98114509762858249</v>
      </c>
      <c r="S236" s="4">
        <f t="shared" si="193"/>
        <v>0.97311898315872036</v>
      </c>
      <c r="T236" s="4">
        <f t="shared" si="193"/>
        <v>0.96177484161592774</v>
      </c>
      <c r="U236" s="4">
        <f t="shared" si="193"/>
        <v>0.94584787155511363</v>
      </c>
      <c r="V236" s="4">
        <f t="shared" si="193"/>
        <v>0.92370360150141495</v>
      </c>
      <c r="W236" s="4">
        <f t="shared" si="193"/>
        <v>0.89334463567658451</v>
      </c>
      <c r="X236" s="4">
        <f t="shared" si="193"/>
        <v>0.85254543874327005</v>
      </c>
      <c r="Y236" s="4">
        <f t="shared" si="193"/>
        <v>0.79921300652623883</v>
      </c>
      <c r="Z236" s="4">
        <f t="shared" si="193"/>
        <v>0.73204982249993378</v>
      </c>
      <c r="AA236" s="4">
        <f t="shared" si="193"/>
        <v>0.65145592958786691</v>
      </c>
      <c r="AB236" s="4">
        <f t="shared" si="193"/>
        <v>0.56032247880849573</v>
      </c>
      <c r="AC236" s="4">
        <f t="shared" si="193"/>
        <v>0.46411326873185343</v>
      </c>
      <c r="AD236" s="4">
        <f t="shared" si="193"/>
        <v>0.36979727595523937</v>
      </c>
      <c r="AE236" s="4">
        <f t="shared" si="193"/>
        <v>0.28393948637231203</v>
      </c>
      <c r="AF236" s="4">
        <f t="shared" si="193"/>
        <v>0.21097259161117732</v>
      </c>
      <c r="AG236" s="4">
        <f t="shared" si="190"/>
        <v>0.15253917653798199</v>
      </c>
      <c r="AH236" s="4">
        <f t="shared" si="190"/>
        <v>0.10795188737709993</v>
      </c>
      <c r="AI236" s="4">
        <f t="shared" si="190"/>
        <v>7.5176653938091809E-2</v>
      </c>
      <c r="AJ236" s="4">
        <f t="shared" si="191"/>
        <v>5.1742836177502194E-2</v>
      </c>
      <c r="AK236" s="4">
        <f t="shared" si="191"/>
        <v>3.5319190625345942E-2</v>
      </c>
      <c r="AL236" s="4">
        <f t="shared" si="191"/>
        <v>2.3969442072658165E-2</v>
      </c>
      <c r="AM236" s="4">
        <f t="shared" si="191"/>
        <v>1.6202243558389728E-2</v>
      </c>
      <c r="AN236" s="4">
        <f t="shared" si="191"/>
        <v>1.0922240564108399E-2</v>
      </c>
      <c r="AO236" s="4">
        <f t="shared" si="191"/>
        <v>7.3493212906090566E-3</v>
      </c>
      <c r="AP236" s="4">
        <f t="shared" si="191"/>
        <v>4.9390262185057265E-3</v>
      </c>
      <c r="AQ236" s="4">
        <f t="shared" si="191"/>
        <v>3.3164275492956197E-3</v>
      </c>
      <c r="AR236" s="4">
        <f t="shared" si="19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3"/>
        <v>0.9867978615748374</v>
      </c>
      <c r="R237" s="4">
        <f t="shared" si="193"/>
        <v>0.98114509762858249</v>
      </c>
      <c r="S237" s="4">
        <f t="shared" si="193"/>
        <v>0.97311898315872036</v>
      </c>
      <c r="T237" s="4">
        <f t="shared" si="193"/>
        <v>0.96177484161592774</v>
      </c>
      <c r="U237" s="4">
        <f t="shared" si="193"/>
        <v>0.94584787155511363</v>
      </c>
      <c r="V237" s="4">
        <f t="shared" si="193"/>
        <v>0.92370360150141495</v>
      </c>
      <c r="W237" s="4">
        <f t="shared" si="193"/>
        <v>0.89334463567658451</v>
      </c>
      <c r="X237" s="4">
        <f t="shared" si="193"/>
        <v>0.85254543874327005</v>
      </c>
      <c r="Y237" s="4">
        <f t="shared" si="193"/>
        <v>0.79921300652623883</v>
      </c>
      <c r="Z237" s="4">
        <f t="shared" si="193"/>
        <v>0.73204982249993378</v>
      </c>
      <c r="AA237" s="4">
        <f t="shared" si="193"/>
        <v>0.65145592958786691</v>
      </c>
      <c r="AB237" s="4">
        <f t="shared" si="193"/>
        <v>0.56032247880849573</v>
      </c>
      <c r="AC237" s="4">
        <f t="shared" si="193"/>
        <v>0.46411326873185343</v>
      </c>
      <c r="AD237" s="4">
        <f t="shared" si="193"/>
        <v>0.36979727595523937</v>
      </c>
      <c r="AE237" s="4">
        <f t="shared" si="193"/>
        <v>0.28393948637231203</v>
      </c>
      <c r="AF237" s="4">
        <f t="shared" si="193"/>
        <v>0.21097259161117732</v>
      </c>
      <c r="AG237" s="4">
        <f t="shared" si="190"/>
        <v>0.15253917653798199</v>
      </c>
      <c r="AH237" s="4">
        <f t="shared" si="190"/>
        <v>0.10795188737709993</v>
      </c>
      <c r="AI237" s="4">
        <f t="shared" si="190"/>
        <v>7.5176653938091809E-2</v>
      </c>
      <c r="AJ237" s="4">
        <f t="shared" si="191"/>
        <v>5.1742836177502194E-2</v>
      </c>
      <c r="AK237" s="4">
        <f t="shared" si="191"/>
        <v>3.5319190625345942E-2</v>
      </c>
      <c r="AL237" s="4">
        <f t="shared" si="191"/>
        <v>2.3969442072658165E-2</v>
      </c>
      <c r="AM237" s="4">
        <f t="shared" si="191"/>
        <v>1.6202243558389728E-2</v>
      </c>
      <c r="AN237" s="4">
        <f t="shared" si="191"/>
        <v>1.0922240564108399E-2</v>
      </c>
      <c r="AO237" s="4">
        <f t="shared" si="191"/>
        <v>7.3493212906090566E-3</v>
      </c>
      <c r="AP237" s="4">
        <f t="shared" si="191"/>
        <v>4.9390262185057265E-3</v>
      </c>
      <c r="AQ237" s="4">
        <f t="shared" si="191"/>
        <v>3.3164275492956197E-3</v>
      </c>
      <c r="AR237" s="4">
        <f t="shared" si="19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3"/>
        <v>0.9867978615748374</v>
      </c>
      <c r="R238" s="4">
        <f t="shared" si="193"/>
        <v>0.98114509762858249</v>
      </c>
      <c r="S238" s="4">
        <f t="shared" si="193"/>
        <v>0.97311898315872036</v>
      </c>
      <c r="T238" s="4">
        <f t="shared" si="193"/>
        <v>0.96177484161592774</v>
      </c>
      <c r="U238" s="4">
        <f t="shared" si="193"/>
        <v>0.94584787155511363</v>
      </c>
      <c r="V238" s="4">
        <f t="shared" si="193"/>
        <v>0.92370360150141495</v>
      </c>
      <c r="W238" s="4">
        <f t="shared" si="193"/>
        <v>0.89334463567658451</v>
      </c>
      <c r="X238" s="4">
        <f t="shared" si="193"/>
        <v>0.85254543874327005</v>
      </c>
      <c r="Y238" s="4">
        <f t="shared" si="193"/>
        <v>0.79921300652623883</v>
      </c>
      <c r="Z238" s="4">
        <f t="shared" si="193"/>
        <v>0.73204982249993378</v>
      </c>
      <c r="AA238" s="4">
        <f t="shared" si="193"/>
        <v>0.65145592958786691</v>
      </c>
      <c r="AB238" s="4">
        <f t="shared" si="193"/>
        <v>0.56032247880849573</v>
      </c>
      <c r="AC238" s="4">
        <f t="shared" si="193"/>
        <v>0.46411326873185343</v>
      </c>
      <c r="AD238" s="4">
        <f t="shared" si="193"/>
        <v>0.36979727595523937</v>
      </c>
      <c r="AE238" s="4">
        <f t="shared" si="193"/>
        <v>0.28393948637231203</v>
      </c>
      <c r="AF238" s="4">
        <f t="shared" si="193"/>
        <v>0.21097259161117732</v>
      </c>
      <c r="AG238" s="4">
        <f t="shared" si="190"/>
        <v>0.15253917653798199</v>
      </c>
      <c r="AH238" s="4">
        <f t="shared" si="190"/>
        <v>0.10795188737709993</v>
      </c>
      <c r="AI238" s="4">
        <f t="shared" si="190"/>
        <v>7.5176653938091809E-2</v>
      </c>
      <c r="AJ238" s="4">
        <f t="shared" si="191"/>
        <v>5.1742836177502194E-2</v>
      </c>
      <c r="AK238" s="4">
        <f t="shared" si="191"/>
        <v>3.5319190625345942E-2</v>
      </c>
      <c r="AL238" s="4">
        <f t="shared" si="191"/>
        <v>2.3969442072658165E-2</v>
      </c>
      <c r="AM238" s="4">
        <f t="shared" si="191"/>
        <v>1.6202243558389728E-2</v>
      </c>
      <c r="AN238" s="4">
        <f t="shared" si="191"/>
        <v>1.0922240564108399E-2</v>
      </c>
      <c r="AO238" s="4">
        <f t="shared" si="191"/>
        <v>7.3493212906090566E-3</v>
      </c>
      <c r="AP238" s="4">
        <f t="shared" si="191"/>
        <v>4.9390262185057265E-3</v>
      </c>
      <c r="AQ238" s="4">
        <f t="shared" si="191"/>
        <v>3.3164275492956197E-3</v>
      </c>
      <c r="AR238" s="4">
        <f t="shared" si="19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3"/>
        <v>0.9867978615748374</v>
      </c>
      <c r="R239" s="4">
        <f t="shared" si="193"/>
        <v>0.98114509762858249</v>
      </c>
      <c r="S239" s="4">
        <f t="shared" si="193"/>
        <v>0.97311898315872036</v>
      </c>
      <c r="T239" s="4">
        <f t="shared" si="193"/>
        <v>0.96177484161592774</v>
      </c>
      <c r="U239" s="4">
        <f t="shared" si="193"/>
        <v>0.94584787155511363</v>
      </c>
      <c r="V239" s="4">
        <f t="shared" si="193"/>
        <v>0.92370360150141495</v>
      </c>
      <c r="W239" s="4">
        <f t="shared" si="193"/>
        <v>0.89334463567658451</v>
      </c>
      <c r="X239" s="4">
        <f t="shared" si="193"/>
        <v>0.85254543874327005</v>
      </c>
      <c r="Y239" s="4">
        <f t="shared" si="193"/>
        <v>0.79921300652623883</v>
      </c>
      <c r="Z239" s="4">
        <f t="shared" si="193"/>
        <v>0.73204982249993378</v>
      </c>
      <c r="AA239" s="4">
        <f t="shared" si="193"/>
        <v>0.65145592958786691</v>
      </c>
      <c r="AB239" s="4">
        <f t="shared" si="193"/>
        <v>0.56032247880849573</v>
      </c>
      <c r="AC239" s="4">
        <f t="shared" si="193"/>
        <v>0.46411326873185343</v>
      </c>
      <c r="AD239" s="4">
        <f t="shared" si="193"/>
        <v>0.36979727595523937</v>
      </c>
      <c r="AE239" s="4">
        <f t="shared" si="193"/>
        <v>0.28393948637231203</v>
      </c>
      <c r="AF239" s="4">
        <f t="shared" si="193"/>
        <v>0.21097259161117732</v>
      </c>
      <c r="AG239" s="4">
        <f t="shared" si="190"/>
        <v>0.15253917653798199</v>
      </c>
      <c r="AH239" s="4">
        <f t="shared" si="190"/>
        <v>0.10795188737709993</v>
      </c>
      <c r="AI239" s="4">
        <f t="shared" si="190"/>
        <v>7.5176653938091809E-2</v>
      </c>
      <c r="AJ239" s="4">
        <f t="shared" si="191"/>
        <v>5.1742836177502194E-2</v>
      </c>
      <c r="AK239" s="4">
        <f t="shared" si="191"/>
        <v>3.5319190625345942E-2</v>
      </c>
      <c r="AL239" s="4">
        <f t="shared" si="191"/>
        <v>2.3969442072658165E-2</v>
      </c>
      <c r="AM239" s="4">
        <f t="shared" si="191"/>
        <v>1.6202243558389728E-2</v>
      </c>
      <c r="AN239" s="4">
        <f t="shared" si="191"/>
        <v>1.0922240564108399E-2</v>
      </c>
      <c r="AO239" s="4">
        <f t="shared" si="191"/>
        <v>7.3493212906090566E-3</v>
      </c>
      <c r="AP239" s="4">
        <f t="shared" si="191"/>
        <v>4.9390262185057265E-3</v>
      </c>
      <c r="AQ239" s="4">
        <f t="shared" si="191"/>
        <v>3.3164275492956197E-3</v>
      </c>
      <c r="AR239" s="4">
        <f t="shared" si="191"/>
        <v>2.2256362146679809E-3</v>
      </c>
    </row>
    <row r="240" spans="1:44" x14ac:dyDescent="0.25">
      <c r="A240" s="24" t="s">
        <v>73</v>
      </c>
      <c r="B240" s="72">
        <f>'Parameter Input'!$L$165</f>
        <v>0</v>
      </c>
      <c r="C240" s="73">
        <f>'Parameter Input'!$M$165</f>
        <v>0</v>
      </c>
      <c r="D240" s="1" t="s">
        <v>57</v>
      </c>
      <c r="L240" s="54">
        <f>'Parameter Input'!$O$165</f>
        <v>12</v>
      </c>
      <c r="M240" s="37">
        <v>0</v>
      </c>
      <c r="N240" s="37">
        <v>1</v>
      </c>
      <c r="O240" s="37">
        <f>'Parameter Input'!$P$165</f>
        <v>0.9</v>
      </c>
      <c r="P240" s="55">
        <f>'Parameter Input'!$Q$165</f>
        <v>0.4</v>
      </c>
      <c r="Q240" s="4">
        <f t="shared" si="193"/>
        <v>0.9867978615748374</v>
      </c>
      <c r="R240" s="4">
        <f t="shared" si="193"/>
        <v>0.98114509762858249</v>
      </c>
      <c r="S240" s="4">
        <f t="shared" si="193"/>
        <v>0.97311898315872036</v>
      </c>
      <c r="T240" s="4">
        <f t="shared" si="193"/>
        <v>0.96177484161592774</v>
      </c>
      <c r="U240" s="4">
        <f t="shared" si="193"/>
        <v>0.94584787155511363</v>
      </c>
      <c r="V240" s="4">
        <f t="shared" si="193"/>
        <v>0.92370360150141495</v>
      </c>
      <c r="W240" s="4">
        <f t="shared" si="193"/>
        <v>0.89334463567658451</v>
      </c>
      <c r="X240" s="4">
        <f t="shared" si="193"/>
        <v>0.85254543874327005</v>
      </c>
      <c r="Y240" s="4">
        <f t="shared" si="193"/>
        <v>0.79921300652623883</v>
      </c>
      <c r="Z240" s="4">
        <f t="shared" si="193"/>
        <v>0.73204982249993378</v>
      </c>
      <c r="AA240" s="4">
        <f t="shared" si="193"/>
        <v>0.65145592958786691</v>
      </c>
      <c r="AB240" s="4">
        <f t="shared" si="193"/>
        <v>0.56032247880849573</v>
      </c>
      <c r="AC240" s="4">
        <f t="shared" si="193"/>
        <v>0.46411326873185343</v>
      </c>
      <c r="AD240" s="4">
        <f t="shared" si="193"/>
        <v>0.36979727595523937</v>
      </c>
      <c r="AE240" s="4">
        <f t="shared" si="193"/>
        <v>0.28393948637231203</v>
      </c>
      <c r="AF240" s="4">
        <f t="shared" si="193"/>
        <v>0.21097259161117732</v>
      </c>
      <c r="AG240" s="4">
        <f t="shared" si="190"/>
        <v>0.15253917653798199</v>
      </c>
      <c r="AH240" s="4">
        <f t="shared" si="190"/>
        <v>0.10795188737709993</v>
      </c>
      <c r="AI240" s="4">
        <f t="shared" si="190"/>
        <v>7.5176653938091809E-2</v>
      </c>
      <c r="AJ240" s="4">
        <f t="shared" si="191"/>
        <v>5.1742836177502194E-2</v>
      </c>
      <c r="AK240" s="4">
        <f t="shared" si="191"/>
        <v>3.5319190625345942E-2</v>
      </c>
      <c r="AL240" s="4">
        <f t="shared" si="191"/>
        <v>2.3969442072658165E-2</v>
      </c>
      <c r="AM240" s="4">
        <f t="shared" si="191"/>
        <v>1.6202243558389728E-2</v>
      </c>
      <c r="AN240" s="4">
        <f t="shared" si="191"/>
        <v>1.0922240564108399E-2</v>
      </c>
      <c r="AO240" s="4">
        <f t="shared" si="191"/>
        <v>7.3493212906090566E-3</v>
      </c>
      <c r="AP240" s="4">
        <f t="shared" si="191"/>
        <v>4.9390262185057265E-3</v>
      </c>
      <c r="AQ240" s="4">
        <f t="shared" si="191"/>
        <v>3.3164275492956197E-3</v>
      </c>
      <c r="AR240" s="4">
        <f t="shared" si="19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3"/>
        <v>0.9867978615748374</v>
      </c>
      <c r="R241" s="4">
        <f t="shared" si="193"/>
        <v>0.98114509762858249</v>
      </c>
      <c r="S241" s="4">
        <f t="shared" si="193"/>
        <v>0.97311898315872036</v>
      </c>
      <c r="T241" s="4">
        <f t="shared" si="193"/>
        <v>0.96177484161592774</v>
      </c>
      <c r="U241" s="4">
        <f t="shared" si="193"/>
        <v>0.94584787155511363</v>
      </c>
      <c r="V241" s="4">
        <f t="shared" si="193"/>
        <v>0.92370360150141495</v>
      </c>
      <c r="W241" s="4">
        <f t="shared" si="193"/>
        <v>0.89334463567658451</v>
      </c>
      <c r="X241" s="4">
        <f t="shared" si="193"/>
        <v>0.85254543874327005</v>
      </c>
      <c r="Y241" s="4">
        <f t="shared" si="193"/>
        <v>0.79921300652623883</v>
      </c>
      <c r="Z241" s="4">
        <f t="shared" si="193"/>
        <v>0.73204982249993378</v>
      </c>
      <c r="AA241" s="4">
        <f t="shared" si="193"/>
        <v>0.65145592958786691</v>
      </c>
      <c r="AB241" s="4">
        <f t="shared" si="193"/>
        <v>0.56032247880849573</v>
      </c>
      <c r="AC241" s="4">
        <f t="shared" si="193"/>
        <v>0.46411326873185343</v>
      </c>
      <c r="AD241" s="4">
        <f t="shared" si="193"/>
        <v>0.36979727595523937</v>
      </c>
      <c r="AE241" s="4">
        <f t="shared" si="193"/>
        <v>0.28393948637231203</v>
      </c>
      <c r="AF241" s="4">
        <f t="shared" si="193"/>
        <v>0.21097259161117732</v>
      </c>
      <c r="AG241" s="4">
        <f t="shared" si="190"/>
        <v>0.15253917653798199</v>
      </c>
      <c r="AH241" s="4">
        <f t="shared" si="190"/>
        <v>0.10795188737709993</v>
      </c>
      <c r="AI241" s="4">
        <f t="shared" si="190"/>
        <v>7.5176653938091809E-2</v>
      </c>
      <c r="AJ241" s="4">
        <f t="shared" si="191"/>
        <v>5.1742836177502194E-2</v>
      </c>
      <c r="AK241" s="4">
        <f t="shared" si="191"/>
        <v>3.5319190625345942E-2</v>
      </c>
      <c r="AL241" s="4">
        <f t="shared" si="191"/>
        <v>2.3969442072658165E-2</v>
      </c>
      <c r="AM241" s="4">
        <f t="shared" si="191"/>
        <v>1.6202243558389728E-2</v>
      </c>
      <c r="AN241" s="4">
        <f t="shared" si="191"/>
        <v>1.0922240564108399E-2</v>
      </c>
      <c r="AO241" s="4">
        <f t="shared" si="191"/>
        <v>7.3493212906090566E-3</v>
      </c>
      <c r="AP241" s="4">
        <f t="shared" si="191"/>
        <v>4.9390262185057265E-3</v>
      </c>
      <c r="AQ241" s="4">
        <f t="shared" si="191"/>
        <v>3.3164275492956197E-3</v>
      </c>
      <c r="AR241" s="4">
        <f t="shared" si="19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4">A225</f>
        <v>Capex vehicle</v>
      </c>
      <c r="B245" s="62">
        <f t="shared" ref="B245:B253" si="195">$B225+($C225-$B225)*(1-Q225)</f>
        <v>5000000</v>
      </c>
      <c r="C245" s="62">
        <f t="shared" ref="C245:C253" si="196">$B225+($C225-$B225)*(1-R225)</f>
        <v>5000000</v>
      </c>
      <c r="D245" s="62">
        <f t="shared" ref="D245:D253" si="197">$B225+($C225-$B225)*(1-S225)</f>
        <v>5000000</v>
      </c>
      <c r="E245" s="62">
        <f t="shared" ref="E245:E253" si="198">$B225+($C225-$B225)*(1-T225)</f>
        <v>5000000</v>
      </c>
      <c r="F245" s="62">
        <f t="shared" ref="F245:F253" si="199">$B225+($C225-$B225)*(1-U225)</f>
        <v>5000000</v>
      </c>
      <c r="G245" s="62">
        <f t="shared" ref="G245:G253" si="200">$B225+($C225-$B225)*(1-V225)</f>
        <v>5000000</v>
      </c>
      <c r="H245" s="62">
        <f t="shared" ref="H245:H253" si="201">$B225+($C225-$B225)*(1-W225)</f>
        <v>5000000</v>
      </c>
      <c r="I245" s="62">
        <f t="shared" ref="I245:I253" si="202">$B225+($C225-$B225)*(1-X225)</f>
        <v>5000000</v>
      </c>
      <c r="J245" s="62">
        <f t="shared" ref="J245:J253" si="203">$B225+($C225-$B225)*(1-Y225)</f>
        <v>5000000</v>
      </c>
      <c r="K245" s="62">
        <f t="shared" ref="K245:K253" si="204">$B225+($C225-$B225)*(1-Z225)</f>
        <v>5000000</v>
      </c>
      <c r="L245" s="62">
        <f t="shared" ref="L245:L253" si="205">$B225+($C225-$B225)*(1-AA225)</f>
        <v>5000000</v>
      </c>
      <c r="M245" s="62">
        <f t="shared" ref="M245:M253" si="206">$B225+($C225-$B225)*(1-AB225)</f>
        <v>5000000</v>
      </c>
      <c r="N245" s="62">
        <f t="shared" ref="N245:N253" si="207">$B225+($C225-$B225)*(1-AC225)</f>
        <v>5000000</v>
      </c>
      <c r="O245" s="62">
        <f t="shared" ref="O245:O253" si="208">$B225+($C225-$B225)*(1-AD225)</f>
        <v>5000000</v>
      </c>
      <c r="P245" s="62">
        <f t="shared" ref="P245:P253" si="209">$B225+($C225-$B225)*(1-AE225)</f>
        <v>5000000</v>
      </c>
      <c r="Q245" s="62">
        <f t="shared" ref="Q245:Q253" si="210">$B225+($C225-$B225)*(1-AF225)</f>
        <v>5000000</v>
      </c>
      <c r="R245" s="62">
        <f t="shared" ref="R245:R253" si="211">$B225+($C225-$B225)*(1-AG225)</f>
        <v>5000000</v>
      </c>
      <c r="S245" s="62">
        <f t="shared" ref="S245:S253" si="212">$B225+($C225-$B225)*(1-AH225)</f>
        <v>5000000</v>
      </c>
      <c r="T245" s="62">
        <f t="shared" ref="T245:T253" si="213">$B225+($C225-$B225)*(1-AI225)</f>
        <v>5000000</v>
      </c>
      <c r="U245" s="62">
        <f t="shared" ref="U245:U253" si="214">$B225+($C225-$B225)*(1-AJ225)</f>
        <v>5000000</v>
      </c>
      <c r="V245" s="62">
        <f t="shared" ref="V245:V253" si="215">$B225+($C225-$B225)*(1-AK225)</f>
        <v>5000000</v>
      </c>
      <c r="W245" s="62">
        <f t="shared" ref="W245:W253" si="216">$B225+($C225-$B225)*(1-AL225)</f>
        <v>5000000</v>
      </c>
      <c r="X245" s="62">
        <f t="shared" ref="X245:X253" si="217">$B225+($C225-$B225)*(1-AM225)</f>
        <v>5000000</v>
      </c>
      <c r="Y245" s="62">
        <f t="shared" ref="Y245:Y253" si="218">$B225+($C225-$B225)*(1-AN225)</f>
        <v>5000000</v>
      </c>
      <c r="Z245" s="62">
        <f t="shared" ref="Z245:Z253" si="219">$B225+($C225-$B225)*(1-AO225)</f>
        <v>5000000</v>
      </c>
      <c r="AA245" s="62">
        <f t="shared" ref="AA245:AA253" si="220">$B225+($C225-$B225)*(1-AP225)</f>
        <v>5000000</v>
      </c>
      <c r="AB245" s="62">
        <f t="shared" ref="AB245:AB253" si="221">$B225+($C225-$B225)*(1-AQ225)</f>
        <v>5000000</v>
      </c>
      <c r="AC245" s="62">
        <f t="shared" ref="AC245:AC253" si="222">$B225+($C225-$B225)*(1-AR225)</f>
        <v>5000000</v>
      </c>
    </row>
    <row r="246" spans="1:44" x14ac:dyDescent="0.25">
      <c r="A246" s="30" t="str">
        <f t="shared" si="194"/>
        <v>Residual value (vehicle)</v>
      </c>
      <c r="B246" s="62">
        <f t="shared" si="195"/>
        <v>-750000</v>
      </c>
      <c r="C246" s="62">
        <f t="shared" si="196"/>
        <v>-750000</v>
      </c>
      <c r="D246" s="62">
        <f t="shared" si="197"/>
        <v>-750000</v>
      </c>
      <c r="E246" s="62">
        <f t="shared" si="198"/>
        <v>-750000</v>
      </c>
      <c r="F246" s="62">
        <f t="shared" si="199"/>
        <v>-750000</v>
      </c>
      <c r="G246" s="62">
        <f t="shared" si="200"/>
        <v>-750000</v>
      </c>
      <c r="H246" s="62">
        <f t="shared" si="201"/>
        <v>-750000</v>
      </c>
      <c r="I246" s="62">
        <f t="shared" si="202"/>
        <v>-750000</v>
      </c>
      <c r="J246" s="62">
        <f t="shared" si="203"/>
        <v>-750000</v>
      </c>
      <c r="K246" s="62">
        <f t="shared" si="204"/>
        <v>-750000</v>
      </c>
      <c r="L246" s="62">
        <f t="shared" si="205"/>
        <v>-750000</v>
      </c>
      <c r="M246" s="62">
        <f t="shared" si="206"/>
        <v>-750000</v>
      </c>
      <c r="N246" s="62">
        <f t="shared" si="207"/>
        <v>-750000</v>
      </c>
      <c r="O246" s="62">
        <f t="shared" si="208"/>
        <v>-750000</v>
      </c>
      <c r="P246" s="62">
        <f t="shared" si="209"/>
        <v>-750000</v>
      </c>
      <c r="Q246" s="62">
        <f t="shared" si="210"/>
        <v>-750000</v>
      </c>
      <c r="R246" s="62">
        <f t="shared" si="211"/>
        <v>-750000</v>
      </c>
      <c r="S246" s="62">
        <f t="shared" si="212"/>
        <v>-750000</v>
      </c>
      <c r="T246" s="62">
        <f t="shared" si="213"/>
        <v>-750000</v>
      </c>
      <c r="U246" s="62">
        <f t="shared" si="214"/>
        <v>-750000</v>
      </c>
      <c r="V246" s="62">
        <f t="shared" si="215"/>
        <v>-750000</v>
      </c>
      <c r="W246" s="62">
        <f t="shared" si="216"/>
        <v>-750000</v>
      </c>
      <c r="X246" s="62">
        <f t="shared" si="217"/>
        <v>-750000</v>
      </c>
      <c r="Y246" s="62">
        <f t="shared" si="218"/>
        <v>-750000</v>
      </c>
      <c r="Z246" s="62">
        <f t="shared" si="219"/>
        <v>-750000</v>
      </c>
      <c r="AA246" s="62">
        <f t="shared" si="220"/>
        <v>-750000</v>
      </c>
      <c r="AB246" s="62">
        <f t="shared" si="221"/>
        <v>-750000</v>
      </c>
      <c r="AC246" s="62">
        <f t="shared" si="222"/>
        <v>-750000</v>
      </c>
    </row>
    <row r="247" spans="1:44" x14ac:dyDescent="0.25">
      <c r="A247" s="30" t="str">
        <f t="shared" si="194"/>
        <v>Capex costumization</v>
      </c>
      <c r="B247" s="62">
        <f t="shared" si="195"/>
        <v>2800000</v>
      </c>
      <c r="C247" s="62">
        <f t="shared" si="196"/>
        <v>2800000</v>
      </c>
      <c r="D247" s="62">
        <f t="shared" si="197"/>
        <v>2800000</v>
      </c>
      <c r="E247" s="62">
        <f t="shared" si="198"/>
        <v>2800000</v>
      </c>
      <c r="F247" s="62">
        <f t="shared" si="199"/>
        <v>2800000</v>
      </c>
      <c r="G247" s="62">
        <f t="shared" si="200"/>
        <v>2800000</v>
      </c>
      <c r="H247" s="62">
        <f t="shared" si="201"/>
        <v>2800000</v>
      </c>
      <c r="I247" s="62">
        <f t="shared" si="202"/>
        <v>2800000</v>
      </c>
      <c r="J247" s="62">
        <f t="shared" si="203"/>
        <v>2800000</v>
      </c>
      <c r="K247" s="62">
        <f t="shared" si="204"/>
        <v>2800000</v>
      </c>
      <c r="L247" s="62">
        <f t="shared" si="205"/>
        <v>2800000</v>
      </c>
      <c r="M247" s="62">
        <f t="shared" si="206"/>
        <v>2800000</v>
      </c>
      <c r="N247" s="62">
        <f t="shared" si="207"/>
        <v>2800000</v>
      </c>
      <c r="O247" s="62">
        <f t="shared" si="208"/>
        <v>2800000</v>
      </c>
      <c r="P247" s="62">
        <f t="shared" si="209"/>
        <v>2800000</v>
      </c>
      <c r="Q247" s="62">
        <f t="shared" si="210"/>
        <v>2800000</v>
      </c>
      <c r="R247" s="62">
        <f t="shared" si="211"/>
        <v>2800000</v>
      </c>
      <c r="S247" s="62">
        <f t="shared" si="212"/>
        <v>2800000</v>
      </c>
      <c r="T247" s="62">
        <f t="shared" si="213"/>
        <v>2800000</v>
      </c>
      <c r="U247" s="62">
        <f t="shared" si="214"/>
        <v>2800000</v>
      </c>
      <c r="V247" s="62">
        <f t="shared" si="215"/>
        <v>2800000</v>
      </c>
      <c r="W247" s="62">
        <f t="shared" si="216"/>
        <v>2800000</v>
      </c>
      <c r="X247" s="62">
        <f t="shared" si="217"/>
        <v>2800000</v>
      </c>
      <c r="Y247" s="62">
        <f t="shared" si="218"/>
        <v>2800000</v>
      </c>
      <c r="Z247" s="62">
        <f t="shared" si="219"/>
        <v>2800000</v>
      </c>
      <c r="AA247" s="62">
        <f t="shared" si="220"/>
        <v>2800000</v>
      </c>
      <c r="AB247" s="62">
        <f t="shared" si="221"/>
        <v>2800000</v>
      </c>
      <c r="AC247" s="62">
        <f t="shared" si="222"/>
        <v>2800000</v>
      </c>
    </row>
    <row r="248" spans="1:44" x14ac:dyDescent="0.25">
      <c r="A248" s="30" t="str">
        <f t="shared" si="194"/>
        <v>Residual value (costumization)</v>
      </c>
      <c r="B248" s="62">
        <f t="shared" si="195"/>
        <v>-140000</v>
      </c>
      <c r="C248" s="62">
        <f t="shared" si="196"/>
        <v>-140000</v>
      </c>
      <c r="D248" s="62">
        <f t="shared" si="197"/>
        <v>-140000</v>
      </c>
      <c r="E248" s="62">
        <f t="shared" si="198"/>
        <v>-140000</v>
      </c>
      <c r="F248" s="62">
        <f t="shared" si="199"/>
        <v>-140000</v>
      </c>
      <c r="G248" s="62">
        <f t="shared" si="200"/>
        <v>-140000</v>
      </c>
      <c r="H248" s="62">
        <f t="shared" si="201"/>
        <v>-140000</v>
      </c>
      <c r="I248" s="62">
        <f t="shared" si="202"/>
        <v>-140000</v>
      </c>
      <c r="J248" s="62">
        <f t="shared" si="203"/>
        <v>-140000</v>
      </c>
      <c r="K248" s="62">
        <f t="shared" si="204"/>
        <v>-140000</v>
      </c>
      <c r="L248" s="62">
        <f t="shared" si="205"/>
        <v>-140000</v>
      </c>
      <c r="M248" s="62">
        <f t="shared" si="206"/>
        <v>-140000</v>
      </c>
      <c r="N248" s="62">
        <f t="shared" si="207"/>
        <v>-140000</v>
      </c>
      <c r="O248" s="62">
        <f t="shared" si="208"/>
        <v>-140000</v>
      </c>
      <c r="P248" s="62">
        <f t="shared" si="209"/>
        <v>-140000</v>
      </c>
      <c r="Q248" s="62">
        <f t="shared" si="210"/>
        <v>-140000</v>
      </c>
      <c r="R248" s="62">
        <f t="shared" si="211"/>
        <v>-140000</v>
      </c>
      <c r="S248" s="62">
        <f t="shared" si="212"/>
        <v>-140000</v>
      </c>
      <c r="T248" s="62">
        <f t="shared" si="213"/>
        <v>-140000</v>
      </c>
      <c r="U248" s="62">
        <f t="shared" si="214"/>
        <v>-140000</v>
      </c>
      <c r="V248" s="62">
        <f t="shared" si="215"/>
        <v>-140000</v>
      </c>
      <c r="W248" s="62">
        <f t="shared" si="216"/>
        <v>-140000</v>
      </c>
      <c r="X248" s="62">
        <f t="shared" si="217"/>
        <v>-140000</v>
      </c>
      <c r="Y248" s="62">
        <f t="shared" si="218"/>
        <v>-140000</v>
      </c>
      <c r="Z248" s="62">
        <f t="shared" si="219"/>
        <v>-140000</v>
      </c>
      <c r="AA248" s="62">
        <f t="shared" si="220"/>
        <v>-140000</v>
      </c>
      <c r="AB248" s="62">
        <f t="shared" si="221"/>
        <v>-140000</v>
      </c>
      <c r="AC248" s="62">
        <f t="shared" si="222"/>
        <v>-140000</v>
      </c>
    </row>
    <row r="249" spans="1:44" x14ac:dyDescent="0.25">
      <c r="A249" s="30" t="str">
        <f t="shared" si="194"/>
        <v>WACC</v>
      </c>
      <c r="B249" s="62">
        <f t="shared" si="195"/>
        <v>0.06</v>
      </c>
      <c r="C249" s="62">
        <f t="shared" si="196"/>
        <v>0.06</v>
      </c>
      <c r="D249" s="62">
        <f t="shared" si="197"/>
        <v>0.06</v>
      </c>
      <c r="E249" s="62">
        <f t="shared" si="198"/>
        <v>0.06</v>
      </c>
      <c r="F249" s="62">
        <f t="shared" si="199"/>
        <v>0.06</v>
      </c>
      <c r="G249" s="62">
        <f t="shared" si="200"/>
        <v>0.06</v>
      </c>
      <c r="H249" s="62">
        <f t="shared" si="201"/>
        <v>0.06</v>
      </c>
      <c r="I249" s="62">
        <f t="shared" si="202"/>
        <v>0.06</v>
      </c>
      <c r="J249" s="62">
        <f t="shared" si="203"/>
        <v>0.06</v>
      </c>
      <c r="K249" s="62">
        <f t="shared" si="204"/>
        <v>0.06</v>
      </c>
      <c r="L249" s="62">
        <f t="shared" si="205"/>
        <v>0.06</v>
      </c>
      <c r="M249" s="62">
        <f t="shared" si="206"/>
        <v>0.06</v>
      </c>
      <c r="N249" s="62">
        <f t="shared" si="207"/>
        <v>0.06</v>
      </c>
      <c r="O249" s="62">
        <f t="shared" si="208"/>
        <v>0.06</v>
      </c>
      <c r="P249" s="62">
        <f t="shared" si="209"/>
        <v>0.06</v>
      </c>
      <c r="Q249" s="62">
        <f t="shared" si="210"/>
        <v>0.06</v>
      </c>
      <c r="R249" s="62">
        <f t="shared" si="211"/>
        <v>0.06</v>
      </c>
      <c r="S249" s="62">
        <f t="shared" si="212"/>
        <v>0.06</v>
      </c>
      <c r="T249" s="62">
        <f t="shared" si="213"/>
        <v>0.06</v>
      </c>
      <c r="U249" s="62">
        <f t="shared" si="214"/>
        <v>0.06</v>
      </c>
      <c r="V249" s="62">
        <f t="shared" si="215"/>
        <v>0.06</v>
      </c>
      <c r="W249" s="62">
        <f t="shared" si="216"/>
        <v>0.06</v>
      </c>
      <c r="X249" s="62">
        <f t="shared" si="217"/>
        <v>0.06</v>
      </c>
      <c r="Y249" s="62">
        <f t="shared" si="218"/>
        <v>0.06</v>
      </c>
      <c r="Z249" s="62">
        <f t="shared" si="219"/>
        <v>0.06</v>
      </c>
      <c r="AA249" s="62">
        <f t="shared" si="220"/>
        <v>0.06</v>
      </c>
      <c r="AB249" s="62">
        <f t="shared" si="221"/>
        <v>0.06</v>
      </c>
      <c r="AC249" s="62">
        <f t="shared" si="222"/>
        <v>0.06</v>
      </c>
    </row>
    <row r="250" spans="1:44" x14ac:dyDescent="0.25">
      <c r="A250" s="30" t="str">
        <f t="shared" si="194"/>
        <v>Opex fix (admin, crew, insurance)</v>
      </c>
      <c r="B250" s="62">
        <f t="shared" si="195"/>
        <v>610000</v>
      </c>
      <c r="C250" s="62">
        <f t="shared" si="196"/>
        <v>610000</v>
      </c>
      <c r="D250" s="62">
        <f t="shared" si="197"/>
        <v>610000</v>
      </c>
      <c r="E250" s="62">
        <f t="shared" si="198"/>
        <v>610000</v>
      </c>
      <c r="F250" s="62">
        <f t="shared" si="199"/>
        <v>610000</v>
      </c>
      <c r="G250" s="62">
        <f t="shared" si="200"/>
        <v>610000</v>
      </c>
      <c r="H250" s="62">
        <f t="shared" si="201"/>
        <v>610000</v>
      </c>
      <c r="I250" s="62">
        <f t="shared" si="202"/>
        <v>610000</v>
      </c>
      <c r="J250" s="62">
        <f t="shared" si="203"/>
        <v>610000</v>
      </c>
      <c r="K250" s="62">
        <f t="shared" si="204"/>
        <v>610000</v>
      </c>
      <c r="L250" s="62">
        <f t="shared" si="205"/>
        <v>610000</v>
      </c>
      <c r="M250" s="62">
        <f t="shared" si="206"/>
        <v>610000</v>
      </c>
      <c r="N250" s="62">
        <f t="shared" si="207"/>
        <v>610000</v>
      </c>
      <c r="O250" s="62">
        <f t="shared" si="208"/>
        <v>610000</v>
      </c>
      <c r="P250" s="62">
        <f t="shared" si="209"/>
        <v>610000</v>
      </c>
      <c r="Q250" s="62">
        <f t="shared" si="210"/>
        <v>610000</v>
      </c>
      <c r="R250" s="62">
        <f t="shared" si="211"/>
        <v>610000</v>
      </c>
      <c r="S250" s="62">
        <f t="shared" si="212"/>
        <v>610000</v>
      </c>
      <c r="T250" s="62">
        <f t="shared" si="213"/>
        <v>610000</v>
      </c>
      <c r="U250" s="62">
        <f t="shared" si="214"/>
        <v>610000</v>
      </c>
      <c r="V250" s="62">
        <f t="shared" si="215"/>
        <v>610000</v>
      </c>
      <c r="W250" s="62">
        <f t="shared" si="216"/>
        <v>610000</v>
      </c>
      <c r="X250" s="62">
        <f t="shared" si="217"/>
        <v>610000</v>
      </c>
      <c r="Y250" s="62">
        <f t="shared" si="218"/>
        <v>610000</v>
      </c>
      <c r="Z250" s="62">
        <f t="shared" si="219"/>
        <v>610000</v>
      </c>
      <c r="AA250" s="62">
        <f t="shared" si="220"/>
        <v>610000</v>
      </c>
      <c r="AB250" s="62">
        <f t="shared" si="221"/>
        <v>610000</v>
      </c>
      <c r="AC250" s="62">
        <f t="shared" si="222"/>
        <v>610000</v>
      </c>
    </row>
    <row r="251" spans="1:44" x14ac:dyDescent="0.25">
      <c r="A251" s="30" t="str">
        <f t="shared" si="194"/>
        <v>Opex maintenance &amp; repair</v>
      </c>
      <c r="B251" s="62">
        <f t="shared" si="195"/>
        <v>650000</v>
      </c>
      <c r="C251" s="62">
        <f t="shared" si="196"/>
        <v>650000</v>
      </c>
      <c r="D251" s="62">
        <f t="shared" si="197"/>
        <v>650000</v>
      </c>
      <c r="E251" s="62">
        <f t="shared" si="198"/>
        <v>650000</v>
      </c>
      <c r="F251" s="62">
        <f t="shared" si="199"/>
        <v>650000</v>
      </c>
      <c r="G251" s="62">
        <f t="shared" si="200"/>
        <v>650000</v>
      </c>
      <c r="H251" s="62">
        <f t="shared" si="201"/>
        <v>650000</v>
      </c>
      <c r="I251" s="62">
        <f t="shared" si="202"/>
        <v>650000</v>
      </c>
      <c r="J251" s="62">
        <f t="shared" si="203"/>
        <v>650000</v>
      </c>
      <c r="K251" s="62">
        <f t="shared" si="204"/>
        <v>650000</v>
      </c>
      <c r="L251" s="62">
        <f t="shared" si="205"/>
        <v>650000</v>
      </c>
      <c r="M251" s="62">
        <f t="shared" si="206"/>
        <v>650000</v>
      </c>
      <c r="N251" s="62">
        <f t="shared" si="207"/>
        <v>650000</v>
      </c>
      <c r="O251" s="62">
        <f t="shared" si="208"/>
        <v>650000</v>
      </c>
      <c r="P251" s="62">
        <f t="shared" si="209"/>
        <v>650000</v>
      </c>
      <c r="Q251" s="62">
        <f t="shared" si="210"/>
        <v>650000</v>
      </c>
      <c r="R251" s="62">
        <f t="shared" si="211"/>
        <v>650000</v>
      </c>
      <c r="S251" s="62">
        <f t="shared" si="212"/>
        <v>650000</v>
      </c>
      <c r="T251" s="62">
        <f t="shared" si="213"/>
        <v>650000</v>
      </c>
      <c r="U251" s="62">
        <f t="shared" si="214"/>
        <v>650000</v>
      </c>
      <c r="V251" s="62">
        <f t="shared" si="215"/>
        <v>650000</v>
      </c>
      <c r="W251" s="62">
        <f t="shared" si="216"/>
        <v>650000</v>
      </c>
      <c r="X251" s="62">
        <f t="shared" si="217"/>
        <v>650000</v>
      </c>
      <c r="Y251" s="62">
        <f t="shared" si="218"/>
        <v>650000</v>
      </c>
      <c r="Z251" s="62">
        <f t="shared" si="219"/>
        <v>650000</v>
      </c>
      <c r="AA251" s="62">
        <f t="shared" si="220"/>
        <v>650000</v>
      </c>
      <c r="AB251" s="62">
        <f t="shared" si="221"/>
        <v>650000</v>
      </c>
      <c r="AC251" s="62">
        <f t="shared" si="222"/>
        <v>650000</v>
      </c>
    </row>
    <row r="252" spans="1:44" x14ac:dyDescent="0.25">
      <c r="A252" s="30" t="str">
        <f t="shared" si="194"/>
        <v>Opex var (mode-fees, shunting)</v>
      </c>
      <c r="B252" s="62">
        <f t="shared" si="195"/>
        <v>3.6414565826330532</v>
      </c>
      <c r="C252" s="62">
        <f t="shared" si="196"/>
        <v>3.6414565826330532</v>
      </c>
      <c r="D252" s="62">
        <f t="shared" si="197"/>
        <v>3.6414565826330532</v>
      </c>
      <c r="E252" s="62">
        <f t="shared" si="198"/>
        <v>3.6414565826330532</v>
      </c>
      <c r="F252" s="62">
        <f t="shared" si="199"/>
        <v>3.6414565826330532</v>
      </c>
      <c r="G252" s="62">
        <f t="shared" si="200"/>
        <v>3.6414565826330532</v>
      </c>
      <c r="H252" s="62">
        <f t="shared" si="201"/>
        <v>3.6414565826330532</v>
      </c>
      <c r="I252" s="62">
        <f t="shared" si="202"/>
        <v>3.6414565826330532</v>
      </c>
      <c r="J252" s="62">
        <f t="shared" si="203"/>
        <v>3.6414565826330532</v>
      </c>
      <c r="K252" s="62">
        <f t="shared" si="204"/>
        <v>3.6414565826330532</v>
      </c>
      <c r="L252" s="62">
        <f t="shared" si="205"/>
        <v>3.6414565826330532</v>
      </c>
      <c r="M252" s="62">
        <f t="shared" si="206"/>
        <v>3.6414565826330532</v>
      </c>
      <c r="N252" s="62">
        <f t="shared" si="207"/>
        <v>3.6414565826330532</v>
      </c>
      <c r="O252" s="62">
        <f t="shared" si="208"/>
        <v>3.6414565826330532</v>
      </c>
      <c r="P252" s="62">
        <f t="shared" si="209"/>
        <v>3.6414565826330532</v>
      </c>
      <c r="Q252" s="62">
        <f t="shared" si="210"/>
        <v>3.6414565826330532</v>
      </c>
      <c r="R252" s="62">
        <f t="shared" si="211"/>
        <v>3.6414565826330532</v>
      </c>
      <c r="S252" s="62">
        <f t="shared" si="212"/>
        <v>3.6414565826330532</v>
      </c>
      <c r="T252" s="62">
        <f t="shared" si="213"/>
        <v>3.6414565826330532</v>
      </c>
      <c r="U252" s="62">
        <f t="shared" si="214"/>
        <v>3.6414565826330532</v>
      </c>
      <c r="V252" s="62">
        <f t="shared" si="215"/>
        <v>3.6414565826330532</v>
      </c>
      <c r="W252" s="62">
        <f t="shared" si="216"/>
        <v>3.6414565826330532</v>
      </c>
      <c r="X252" s="62">
        <f t="shared" si="217"/>
        <v>3.6414565826330532</v>
      </c>
      <c r="Y252" s="62">
        <f t="shared" si="218"/>
        <v>3.6414565826330532</v>
      </c>
      <c r="Z252" s="62">
        <f t="shared" si="219"/>
        <v>3.6414565826330532</v>
      </c>
      <c r="AA252" s="62">
        <f t="shared" si="220"/>
        <v>3.6414565826330532</v>
      </c>
      <c r="AB252" s="62">
        <f t="shared" si="221"/>
        <v>3.6414565826330532</v>
      </c>
      <c r="AC252" s="62">
        <f t="shared" si="222"/>
        <v>3.6414565826330532</v>
      </c>
    </row>
    <row r="253" spans="1:44" x14ac:dyDescent="0.25">
      <c r="A253" s="30" t="str">
        <f t="shared" si="194"/>
        <v>Fuel Economy</v>
      </c>
      <c r="B253" s="62">
        <f t="shared" si="195"/>
        <v>31.614305882352937</v>
      </c>
      <c r="C253" s="62">
        <f t="shared" si="196"/>
        <v>31.614305882352937</v>
      </c>
      <c r="D253" s="62">
        <f t="shared" si="197"/>
        <v>31.614305882352937</v>
      </c>
      <c r="E253" s="62">
        <f t="shared" si="198"/>
        <v>31.614305882352937</v>
      </c>
      <c r="F253" s="62">
        <f t="shared" si="199"/>
        <v>31.614305882352937</v>
      </c>
      <c r="G253" s="62">
        <f t="shared" si="200"/>
        <v>31.614305882352937</v>
      </c>
      <c r="H253" s="62">
        <f t="shared" si="201"/>
        <v>31.614305882352937</v>
      </c>
      <c r="I253" s="62">
        <f t="shared" si="202"/>
        <v>31.614305882352937</v>
      </c>
      <c r="J253" s="62">
        <f t="shared" si="203"/>
        <v>31.614305882352937</v>
      </c>
      <c r="K253" s="62">
        <f t="shared" si="204"/>
        <v>31.614305882352937</v>
      </c>
      <c r="L253" s="62">
        <f t="shared" si="205"/>
        <v>31.614305882352937</v>
      </c>
      <c r="M253" s="62">
        <f t="shared" si="206"/>
        <v>31.614305882352937</v>
      </c>
      <c r="N253" s="62">
        <f t="shared" si="207"/>
        <v>31.614305882352937</v>
      </c>
      <c r="O253" s="62">
        <f t="shared" si="208"/>
        <v>31.614305882352937</v>
      </c>
      <c r="P253" s="62">
        <f t="shared" si="209"/>
        <v>31.614305882352937</v>
      </c>
      <c r="Q253" s="62">
        <f t="shared" si="210"/>
        <v>31.614305882352937</v>
      </c>
      <c r="R253" s="62">
        <f t="shared" si="211"/>
        <v>31.614305882352937</v>
      </c>
      <c r="S253" s="62">
        <f t="shared" si="212"/>
        <v>31.614305882352937</v>
      </c>
      <c r="T253" s="62">
        <f t="shared" si="213"/>
        <v>31.614305882352937</v>
      </c>
      <c r="U253" s="62">
        <f t="shared" si="214"/>
        <v>31.614305882352937</v>
      </c>
      <c r="V253" s="62">
        <f t="shared" si="215"/>
        <v>31.614305882352937</v>
      </c>
      <c r="W253" s="62">
        <f t="shared" si="216"/>
        <v>31.614305882352937</v>
      </c>
      <c r="X253" s="62">
        <f t="shared" si="217"/>
        <v>31.614305882352937</v>
      </c>
      <c r="Y253" s="62">
        <f t="shared" si="218"/>
        <v>31.614305882352937</v>
      </c>
      <c r="Z253" s="62">
        <f t="shared" si="219"/>
        <v>31.614305882352937</v>
      </c>
      <c r="AA253" s="62">
        <f t="shared" si="220"/>
        <v>31.614305882352937</v>
      </c>
      <c r="AB253" s="62">
        <f t="shared" si="221"/>
        <v>31.614305882352937</v>
      </c>
      <c r="AC253" s="62">
        <f t="shared" si="222"/>
        <v>31.614305882352937</v>
      </c>
    </row>
    <row r="254" spans="1:44" x14ac:dyDescent="0.25">
      <c r="A254" s="30" t="str">
        <f t="shared" si="194"/>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223">A235</f>
        <v>Emission Cost</v>
      </c>
      <c r="B255" s="66">
        <f>$B235+($C235-$B235)*(1-Q235)</f>
        <v>0</v>
      </c>
      <c r="C255" s="66">
        <f t="shared" ref="C255" si="224">$B235+($C235-$B235)*(1-R235)</f>
        <v>0</v>
      </c>
      <c r="D255" s="66">
        <f t="shared" ref="D255" si="225">$B235+($C235-$B235)*(1-S235)</f>
        <v>0</v>
      </c>
      <c r="E255" s="66">
        <f t="shared" ref="E255" si="226">$B235+($C235-$B235)*(1-T235)</f>
        <v>0</v>
      </c>
      <c r="F255" s="66">
        <f t="shared" ref="F255" si="227">$B235+($C235-$B235)*(1-U235)</f>
        <v>0</v>
      </c>
      <c r="G255" s="66">
        <f t="shared" ref="G255" si="228">$B235+($C235-$B235)*(1-V235)</f>
        <v>0</v>
      </c>
      <c r="H255" s="66">
        <f t="shared" ref="H255" si="229">$B235+($C235-$B235)*(1-W235)</f>
        <v>0</v>
      </c>
      <c r="I255" s="66">
        <f t="shared" ref="I255" si="230">$B235+($C235-$B235)*(1-X235)</f>
        <v>0</v>
      </c>
      <c r="J255" s="66">
        <f t="shared" ref="J255" si="231">$B235+($C235-$B235)*(1-Y235)</f>
        <v>0</v>
      </c>
      <c r="K255" s="66">
        <f t="shared" ref="K255" si="232">$B235+($C235-$B235)*(1-Z235)</f>
        <v>0</v>
      </c>
      <c r="L255" s="66">
        <f t="shared" ref="L255" si="233">$B235+($C235-$B235)*(1-AA235)</f>
        <v>0</v>
      </c>
      <c r="M255" s="66">
        <f t="shared" ref="M255" si="234">$B235+($C235-$B235)*(1-AB235)</f>
        <v>0</v>
      </c>
      <c r="N255" s="66">
        <f t="shared" ref="N255" si="235">$B235+($C235-$B235)*(1-AC235)</f>
        <v>0</v>
      </c>
      <c r="O255" s="66">
        <f t="shared" ref="O255" si="236">$B235+($C235-$B235)*(1-AD235)</f>
        <v>0</v>
      </c>
      <c r="P255" s="66">
        <f t="shared" ref="P255" si="237">$B235+($C235-$B235)*(1-AE235)</f>
        <v>0</v>
      </c>
      <c r="Q255" s="66">
        <f t="shared" ref="Q255" si="238">$B235+($C235-$B235)*(1-AF235)</f>
        <v>0</v>
      </c>
      <c r="R255" s="66">
        <f t="shared" ref="R255" si="239">$B235+($C235-$B235)*(1-AG235)</f>
        <v>0</v>
      </c>
      <c r="S255" s="66">
        <f t="shared" ref="S255" si="240">$B235+($C235-$B235)*(1-AH235)</f>
        <v>0</v>
      </c>
      <c r="T255" s="66">
        <f t="shared" ref="T255" si="241">$B235+($C235-$B235)*(1-AI235)</f>
        <v>0</v>
      </c>
      <c r="U255" s="66">
        <f t="shared" ref="U255" si="242">$B235+($C235-$B235)*(1-AJ235)</f>
        <v>0</v>
      </c>
      <c r="V255" s="66">
        <f t="shared" ref="V255" si="243">$B235+($C235-$B235)*(1-AK235)</f>
        <v>0</v>
      </c>
      <c r="W255" s="66">
        <f t="shared" ref="W255" si="244">$B235+($C235-$B235)*(1-AL235)</f>
        <v>0</v>
      </c>
      <c r="X255" s="66">
        <f t="shared" ref="X255" si="245">$B235+($C235-$B235)*(1-AM235)</f>
        <v>0</v>
      </c>
      <c r="Y255" s="66">
        <f t="shared" ref="Y255" si="246">$B235+($C235-$B235)*(1-AN235)</f>
        <v>0</v>
      </c>
      <c r="Z255" s="66">
        <f t="shared" ref="Z255" si="247">$B235+($C235-$B235)*(1-AO235)</f>
        <v>0</v>
      </c>
      <c r="AA255" s="66">
        <f t="shared" ref="AA255" si="248">$B235+($C235-$B235)*(1-AP235)</f>
        <v>0</v>
      </c>
      <c r="AB255" s="66">
        <f t="shared" ref="AB255" si="249">$B235+($C235-$B235)*(1-AQ235)</f>
        <v>0</v>
      </c>
      <c r="AC255" s="66">
        <f t="shared" ref="AC255" si="250">$B235+($C235-$B235)*(1-AR235)</f>
        <v>0</v>
      </c>
    </row>
    <row r="256" spans="1:44" x14ac:dyDescent="0.25">
      <c r="A256" s="30" t="str">
        <f>A236</f>
        <v>Lifetime vehicle</v>
      </c>
      <c r="B256" s="62">
        <f>$B236+($C236-$B236)*(1-Q236)</f>
        <v>20</v>
      </c>
      <c r="C256" s="62">
        <f t="shared" ref="C256:L258" si="251">$B236+($C236-$B236)*(1-R236)</f>
        <v>20</v>
      </c>
      <c r="D256" s="62">
        <f t="shared" si="251"/>
        <v>20</v>
      </c>
      <c r="E256" s="62">
        <f t="shared" si="251"/>
        <v>20</v>
      </c>
      <c r="F256" s="62">
        <f t="shared" si="251"/>
        <v>20</v>
      </c>
      <c r="G256" s="62">
        <f t="shared" si="251"/>
        <v>20</v>
      </c>
      <c r="H256" s="62">
        <f t="shared" si="251"/>
        <v>20</v>
      </c>
      <c r="I256" s="62">
        <f t="shared" si="251"/>
        <v>20</v>
      </c>
      <c r="J256" s="62">
        <f t="shared" si="251"/>
        <v>20</v>
      </c>
      <c r="K256" s="62">
        <f t="shared" si="251"/>
        <v>20</v>
      </c>
      <c r="L256" s="62">
        <f t="shared" si="251"/>
        <v>20</v>
      </c>
      <c r="M256" s="62">
        <f t="shared" ref="M256:V258" si="252">$B236+($C236-$B236)*(1-AB236)</f>
        <v>20</v>
      </c>
      <c r="N256" s="62">
        <f t="shared" si="252"/>
        <v>20</v>
      </c>
      <c r="O256" s="62">
        <f t="shared" si="252"/>
        <v>20</v>
      </c>
      <c r="P256" s="62">
        <f t="shared" si="252"/>
        <v>20</v>
      </c>
      <c r="Q256" s="62">
        <f t="shared" si="252"/>
        <v>20</v>
      </c>
      <c r="R256" s="62">
        <f t="shared" si="252"/>
        <v>20</v>
      </c>
      <c r="S256" s="62">
        <f t="shared" si="252"/>
        <v>20</v>
      </c>
      <c r="T256" s="62">
        <f t="shared" si="252"/>
        <v>20</v>
      </c>
      <c r="U256" s="62">
        <f t="shared" si="252"/>
        <v>20</v>
      </c>
      <c r="V256" s="62">
        <f t="shared" si="252"/>
        <v>20</v>
      </c>
      <c r="W256" s="62">
        <f t="shared" ref="W256:AC258" si="253">$B236+($C236-$B236)*(1-AL236)</f>
        <v>20</v>
      </c>
      <c r="X256" s="62">
        <f t="shared" si="253"/>
        <v>20</v>
      </c>
      <c r="Y256" s="62">
        <f t="shared" si="253"/>
        <v>20</v>
      </c>
      <c r="Z256" s="62">
        <f t="shared" si="253"/>
        <v>20</v>
      </c>
      <c r="AA256" s="62">
        <f t="shared" si="253"/>
        <v>20</v>
      </c>
      <c r="AB256" s="62">
        <f t="shared" si="253"/>
        <v>20</v>
      </c>
      <c r="AC256" s="62">
        <f t="shared" si="253"/>
        <v>20</v>
      </c>
    </row>
    <row r="257" spans="1:29" x14ac:dyDescent="0.25">
      <c r="A257" s="30" t="str">
        <f>A237</f>
        <v>Lifetime costumization</v>
      </c>
      <c r="B257" s="62">
        <f>$B237+($C237-$B237)*(1-Q237)</f>
        <v>30</v>
      </c>
      <c r="C257" s="62">
        <f t="shared" si="251"/>
        <v>30</v>
      </c>
      <c r="D257" s="62">
        <f t="shared" si="251"/>
        <v>30</v>
      </c>
      <c r="E257" s="62">
        <f t="shared" si="251"/>
        <v>30</v>
      </c>
      <c r="F257" s="62">
        <f t="shared" si="251"/>
        <v>30</v>
      </c>
      <c r="G257" s="62">
        <f t="shared" si="251"/>
        <v>30</v>
      </c>
      <c r="H257" s="62">
        <f t="shared" si="251"/>
        <v>30</v>
      </c>
      <c r="I257" s="62">
        <f t="shared" si="251"/>
        <v>30</v>
      </c>
      <c r="J257" s="62">
        <f t="shared" si="251"/>
        <v>30</v>
      </c>
      <c r="K257" s="62">
        <f t="shared" si="251"/>
        <v>30</v>
      </c>
      <c r="L257" s="62">
        <f t="shared" si="251"/>
        <v>30</v>
      </c>
      <c r="M257" s="62">
        <f t="shared" si="252"/>
        <v>30</v>
      </c>
      <c r="N257" s="62">
        <f t="shared" si="252"/>
        <v>30</v>
      </c>
      <c r="O257" s="62">
        <f t="shared" si="252"/>
        <v>30</v>
      </c>
      <c r="P257" s="62">
        <f t="shared" si="252"/>
        <v>30</v>
      </c>
      <c r="Q257" s="62">
        <f t="shared" si="252"/>
        <v>30</v>
      </c>
      <c r="R257" s="62">
        <f t="shared" si="252"/>
        <v>30</v>
      </c>
      <c r="S257" s="62">
        <f t="shared" si="252"/>
        <v>30</v>
      </c>
      <c r="T257" s="62">
        <f t="shared" si="252"/>
        <v>30</v>
      </c>
      <c r="U257" s="62">
        <f t="shared" si="252"/>
        <v>30</v>
      </c>
      <c r="V257" s="62">
        <f t="shared" si="252"/>
        <v>30</v>
      </c>
      <c r="W257" s="62">
        <f t="shared" si="253"/>
        <v>30</v>
      </c>
      <c r="X257" s="62">
        <f t="shared" si="253"/>
        <v>30</v>
      </c>
      <c r="Y257" s="62">
        <f t="shared" si="253"/>
        <v>30</v>
      </c>
      <c r="Z257" s="62">
        <f t="shared" si="253"/>
        <v>30</v>
      </c>
      <c r="AA257" s="62">
        <f t="shared" si="253"/>
        <v>30</v>
      </c>
      <c r="AB257" s="62">
        <f t="shared" si="253"/>
        <v>30</v>
      </c>
      <c r="AC257" s="62">
        <f t="shared" si="253"/>
        <v>30</v>
      </c>
    </row>
    <row r="258" spans="1:29" x14ac:dyDescent="0.25">
      <c r="A258" s="30" t="str">
        <f>A238</f>
        <v>Tonnage .</v>
      </c>
      <c r="B258" s="62">
        <f>$B238+($C238-$B238)*(1-Q238)</f>
        <v>2240</v>
      </c>
      <c r="C258" s="62">
        <f t="shared" si="251"/>
        <v>2240</v>
      </c>
      <c r="D258" s="62">
        <f t="shared" si="251"/>
        <v>2240</v>
      </c>
      <c r="E258" s="62">
        <f t="shared" si="251"/>
        <v>2240</v>
      </c>
      <c r="F258" s="62">
        <f t="shared" si="251"/>
        <v>2240</v>
      </c>
      <c r="G258" s="62">
        <f t="shared" si="251"/>
        <v>2240</v>
      </c>
      <c r="H258" s="62">
        <f t="shared" si="251"/>
        <v>2240</v>
      </c>
      <c r="I258" s="62">
        <f t="shared" si="251"/>
        <v>2240</v>
      </c>
      <c r="J258" s="62">
        <f t="shared" si="251"/>
        <v>2240</v>
      </c>
      <c r="K258" s="62">
        <f t="shared" si="251"/>
        <v>2240</v>
      </c>
      <c r="L258" s="62">
        <f t="shared" si="251"/>
        <v>2240</v>
      </c>
      <c r="M258" s="62">
        <f t="shared" si="252"/>
        <v>2240</v>
      </c>
      <c r="N258" s="62">
        <f t="shared" si="252"/>
        <v>2240</v>
      </c>
      <c r="O258" s="62">
        <f t="shared" si="252"/>
        <v>2240</v>
      </c>
      <c r="P258" s="62">
        <f t="shared" si="252"/>
        <v>2240</v>
      </c>
      <c r="Q258" s="62">
        <f t="shared" si="252"/>
        <v>2240</v>
      </c>
      <c r="R258" s="62">
        <f t="shared" si="252"/>
        <v>2240</v>
      </c>
      <c r="S258" s="62">
        <f t="shared" si="252"/>
        <v>2240</v>
      </c>
      <c r="T258" s="62">
        <f t="shared" si="252"/>
        <v>2240</v>
      </c>
      <c r="U258" s="62">
        <f t="shared" si="252"/>
        <v>2240</v>
      </c>
      <c r="V258" s="62">
        <f t="shared" si="252"/>
        <v>2240</v>
      </c>
      <c r="W258" s="62">
        <f t="shared" si="253"/>
        <v>2240</v>
      </c>
      <c r="X258" s="62">
        <f t="shared" si="253"/>
        <v>2240</v>
      </c>
      <c r="Y258" s="62">
        <f t="shared" si="253"/>
        <v>2240</v>
      </c>
      <c r="Z258" s="62">
        <f t="shared" si="253"/>
        <v>2240</v>
      </c>
      <c r="AA258" s="62">
        <f t="shared" si="253"/>
        <v>2240</v>
      </c>
      <c r="AB258" s="62">
        <f t="shared" si="253"/>
        <v>2240</v>
      </c>
      <c r="AC258" s="62">
        <f t="shared" si="253"/>
        <v>2240</v>
      </c>
    </row>
    <row r="259" spans="1:29" x14ac:dyDescent="0.25">
      <c r="A259" s="30" t="str">
        <f>A239</f>
        <v>Market failure (av. utilization)</v>
      </c>
      <c r="B259" s="62">
        <f t="shared" ref="B259:K260" si="254">($B239+($C239-$B239)*(1-Q239))*B$44</f>
        <v>955.73333333333335</v>
      </c>
      <c r="C259" s="62">
        <f t="shared" si="254"/>
        <v>955.73333333333335</v>
      </c>
      <c r="D259" s="62">
        <f t="shared" si="254"/>
        <v>955.73333333333335</v>
      </c>
      <c r="E259" s="62">
        <f t="shared" si="254"/>
        <v>955.73333333333335</v>
      </c>
      <c r="F259" s="62">
        <f t="shared" si="254"/>
        <v>955.73333333333335</v>
      </c>
      <c r="G259" s="62">
        <f t="shared" si="254"/>
        <v>955.73333333333335</v>
      </c>
      <c r="H259" s="62">
        <f t="shared" si="254"/>
        <v>955.73333333333335</v>
      </c>
      <c r="I259" s="62">
        <f t="shared" si="254"/>
        <v>955.73333333333335</v>
      </c>
      <c r="J259" s="62">
        <f t="shared" si="254"/>
        <v>955.73333333333335</v>
      </c>
      <c r="K259" s="62">
        <f t="shared" si="254"/>
        <v>955.73333333333335</v>
      </c>
      <c r="L259" s="62">
        <f t="shared" ref="L259:U260" si="255">($B239+($C239-$B239)*(1-AA239))*L$44</f>
        <v>955.73333333333335</v>
      </c>
      <c r="M259" s="62">
        <f t="shared" si="255"/>
        <v>955.73333333333335</v>
      </c>
      <c r="N259" s="62">
        <f t="shared" si="255"/>
        <v>955.73333333333335</v>
      </c>
      <c r="O259" s="62">
        <f t="shared" si="255"/>
        <v>955.73333333333335</v>
      </c>
      <c r="P259" s="62">
        <f t="shared" si="255"/>
        <v>955.73333333333335</v>
      </c>
      <c r="Q259" s="62">
        <f t="shared" si="255"/>
        <v>955.73333333333335</v>
      </c>
      <c r="R259" s="62">
        <f t="shared" si="255"/>
        <v>955.73333333333335</v>
      </c>
      <c r="S259" s="62">
        <f t="shared" si="255"/>
        <v>955.73333333333335</v>
      </c>
      <c r="T259" s="62">
        <f t="shared" si="255"/>
        <v>955.73333333333335</v>
      </c>
      <c r="U259" s="62">
        <f t="shared" si="255"/>
        <v>955.73333333333335</v>
      </c>
      <c r="V259" s="62">
        <f t="shared" ref="V259:AC260" si="256">($B239+($C239-$B239)*(1-AK239))*V$44</f>
        <v>955.73333333333335</v>
      </c>
      <c r="W259" s="62">
        <f t="shared" si="256"/>
        <v>955.73333333333335</v>
      </c>
      <c r="X259" s="62">
        <f t="shared" si="256"/>
        <v>955.73333333333335</v>
      </c>
      <c r="Y259" s="62">
        <f t="shared" si="256"/>
        <v>955.73333333333335</v>
      </c>
      <c r="Z259" s="62">
        <f t="shared" si="256"/>
        <v>955.73333333333335</v>
      </c>
      <c r="AA259" s="62">
        <f t="shared" si="256"/>
        <v>955.73333333333335</v>
      </c>
      <c r="AB259" s="62">
        <f t="shared" si="256"/>
        <v>955.73333333333335</v>
      </c>
      <c r="AC259" s="62">
        <f t="shared" si="256"/>
        <v>955.73333333333335</v>
      </c>
    </row>
    <row r="260" spans="1:29" x14ac:dyDescent="0.25">
      <c r="A260" s="30" t="s">
        <v>73</v>
      </c>
      <c r="B260" s="62">
        <f t="shared" si="254"/>
        <v>0</v>
      </c>
      <c r="C260" s="62">
        <f t="shared" si="254"/>
        <v>0</v>
      </c>
      <c r="D260" s="62">
        <f t="shared" si="254"/>
        <v>0</v>
      </c>
      <c r="E260" s="62">
        <f t="shared" si="254"/>
        <v>0</v>
      </c>
      <c r="F260" s="62">
        <f t="shared" si="254"/>
        <v>0</v>
      </c>
      <c r="G260" s="62">
        <f t="shared" si="254"/>
        <v>0</v>
      </c>
      <c r="H260" s="62">
        <f t="shared" si="254"/>
        <v>0</v>
      </c>
      <c r="I260" s="62">
        <f t="shared" si="254"/>
        <v>0</v>
      </c>
      <c r="J260" s="62">
        <f t="shared" si="254"/>
        <v>0</v>
      </c>
      <c r="K260" s="62">
        <f t="shared" si="254"/>
        <v>0</v>
      </c>
      <c r="L260" s="62">
        <f t="shared" si="255"/>
        <v>0</v>
      </c>
      <c r="M260" s="62">
        <f t="shared" si="255"/>
        <v>0</v>
      </c>
      <c r="N260" s="62">
        <f t="shared" si="255"/>
        <v>0</v>
      </c>
      <c r="O260" s="62">
        <f t="shared" si="255"/>
        <v>0</v>
      </c>
      <c r="P260" s="62">
        <f t="shared" si="255"/>
        <v>0</v>
      </c>
      <c r="Q260" s="62">
        <f t="shared" si="255"/>
        <v>0</v>
      </c>
      <c r="R260" s="62">
        <f t="shared" si="255"/>
        <v>0</v>
      </c>
      <c r="S260" s="62">
        <f t="shared" si="255"/>
        <v>0</v>
      </c>
      <c r="T260" s="62">
        <f t="shared" si="255"/>
        <v>0</v>
      </c>
      <c r="U260" s="62">
        <f t="shared" si="255"/>
        <v>0</v>
      </c>
      <c r="V260" s="62">
        <f t="shared" si="256"/>
        <v>0</v>
      </c>
      <c r="W260" s="62">
        <f t="shared" si="256"/>
        <v>0</v>
      </c>
      <c r="X260" s="62">
        <f t="shared" si="256"/>
        <v>0</v>
      </c>
      <c r="Y260" s="62">
        <f t="shared" si="256"/>
        <v>0</v>
      </c>
      <c r="Z260" s="62">
        <f t="shared" si="256"/>
        <v>0</v>
      </c>
      <c r="AA260" s="62">
        <f t="shared" si="256"/>
        <v>0</v>
      </c>
      <c r="AB260" s="62">
        <f t="shared" si="256"/>
        <v>0</v>
      </c>
      <c r="AC260" s="62">
        <f t="shared" si="256"/>
        <v>0</v>
      </c>
    </row>
    <row r="261" spans="1:29" x14ac:dyDescent="0.25">
      <c r="A261" s="30" t="str">
        <f>A241</f>
        <v>Annual Mileage</v>
      </c>
      <c r="B261" s="62">
        <f t="shared" ref="B261:AC261" si="257">$B241+($C241-$B241)*(1-Q241)</f>
        <v>178500</v>
      </c>
      <c r="C261" s="62">
        <f t="shared" si="257"/>
        <v>178500</v>
      </c>
      <c r="D261" s="62">
        <f t="shared" si="257"/>
        <v>178500</v>
      </c>
      <c r="E261" s="62">
        <f t="shared" si="257"/>
        <v>178500</v>
      </c>
      <c r="F261" s="62">
        <f t="shared" si="257"/>
        <v>178500</v>
      </c>
      <c r="G261" s="62">
        <f t="shared" si="257"/>
        <v>178500</v>
      </c>
      <c r="H261" s="62">
        <f t="shared" si="257"/>
        <v>178500</v>
      </c>
      <c r="I261" s="62">
        <f t="shared" si="257"/>
        <v>178500</v>
      </c>
      <c r="J261" s="62">
        <f t="shared" si="257"/>
        <v>178500</v>
      </c>
      <c r="K261" s="62">
        <f t="shared" si="257"/>
        <v>178500</v>
      </c>
      <c r="L261" s="62">
        <f t="shared" si="257"/>
        <v>178500</v>
      </c>
      <c r="M261" s="62">
        <f t="shared" si="257"/>
        <v>178500</v>
      </c>
      <c r="N261" s="62">
        <f t="shared" si="257"/>
        <v>178500</v>
      </c>
      <c r="O261" s="62">
        <f t="shared" si="257"/>
        <v>178500</v>
      </c>
      <c r="P261" s="62">
        <f t="shared" si="257"/>
        <v>178500</v>
      </c>
      <c r="Q261" s="62">
        <f t="shared" si="257"/>
        <v>178500</v>
      </c>
      <c r="R261" s="62">
        <f t="shared" si="257"/>
        <v>178500</v>
      </c>
      <c r="S261" s="62">
        <f t="shared" si="257"/>
        <v>178500</v>
      </c>
      <c r="T261" s="62">
        <f t="shared" si="257"/>
        <v>178500</v>
      </c>
      <c r="U261" s="62">
        <f t="shared" si="257"/>
        <v>178500</v>
      </c>
      <c r="V261" s="62">
        <f t="shared" si="257"/>
        <v>178500</v>
      </c>
      <c r="W261" s="62">
        <f t="shared" si="257"/>
        <v>178500</v>
      </c>
      <c r="X261" s="62">
        <f t="shared" si="257"/>
        <v>178500</v>
      </c>
      <c r="Y261" s="62">
        <f t="shared" si="257"/>
        <v>178500</v>
      </c>
      <c r="Z261" s="62">
        <f t="shared" si="257"/>
        <v>178500</v>
      </c>
      <c r="AA261" s="62">
        <f t="shared" si="257"/>
        <v>178500</v>
      </c>
      <c r="AB261" s="62">
        <f t="shared" si="257"/>
        <v>178500</v>
      </c>
      <c r="AC261" s="62">
        <f t="shared" si="257"/>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8">((1+C249)^C256)*C249/(((1+C249)^C256)-1)*(C245)</f>
        <v>435922.78488425701</v>
      </c>
      <c r="D264" s="63">
        <f t="shared" si="258"/>
        <v>435922.78488425701</v>
      </c>
      <c r="E264" s="63">
        <f t="shared" si="258"/>
        <v>435922.78488425701</v>
      </c>
      <c r="F264" s="63">
        <f t="shared" si="258"/>
        <v>435922.78488425701</v>
      </c>
      <c r="G264" s="63">
        <f t="shared" si="258"/>
        <v>435922.78488425701</v>
      </c>
      <c r="H264" s="63">
        <f t="shared" si="258"/>
        <v>435922.78488425701</v>
      </c>
      <c r="I264" s="63">
        <f t="shared" si="258"/>
        <v>435922.78488425701</v>
      </c>
      <c r="J264" s="63">
        <f t="shared" si="258"/>
        <v>435922.78488425701</v>
      </c>
      <c r="K264" s="63">
        <f t="shared" si="258"/>
        <v>435922.78488425701</v>
      </c>
      <c r="L264" s="63">
        <f t="shared" si="258"/>
        <v>435922.78488425701</v>
      </c>
      <c r="M264" s="63">
        <f t="shared" si="258"/>
        <v>435922.78488425701</v>
      </c>
      <c r="N264" s="63">
        <f t="shared" si="258"/>
        <v>435922.78488425701</v>
      </c>
      <c r="O264" s="63">
        <f t="shared" si="258"/>
        <v>435922.78488425701</v>
      </c>
      <c r="P264" s="63">
        <f t="shared" si="258"/>
        <v>435922.78488425701</v>
      </c>
      <c r="Q264" s="63">
        <f t="shared" si="258"/>
        <v>435922.78488425701</v>
      </c>
      <c r="R264" s="63">
        <f t="shared" si="258"/>
        <v>435922.78488425701</v>
      </c>
      <c r="S264" s="63">
        <f t="shared" si="258"/>
        <v>435922.78488425701</v>
      </c>
      <c r="T264" s="63">
        <f t="shared" si="258"/>
        <v>435922.78488425701</v>
      </c>
      <c r="U264" s="63">
        <f t="shared" si="258"/>
        <v>435922.78488425701</v>
      </c>
      <c r="V264" s="63">
        <f t="shared" si="258"/>
        <v>435922.78488425701</v>
      </c>
      <c r="W264" s="63">
        <f t="shared" si="258"/>
        <v>435922.78488425701</v>
      </c>
      <c r="X264" s="63">
        <f t="shared" si="258"/>
        <v>435922.78488425701</v>
      </c>
      <c r="Y264" s="63">
        <f t="shared" si="258"/>
        <v>435922.78488425701</v>
      </c>
      <c r="Z264" s="63">
        <f t="shared" si="258"/>
        <v>435922.78488425701</v>
      </c>
      <c r="AA264" s="63">
        <f t="shared" si="258"/>
        <v>435922.78488425701</v>
      </c>
      <c r="AB264" s="63">
        <f t="shared" si="258"/>
        <v>435922.78488425701</v>
      </c>
      <c r="AC264" s="63">
        <f t="shared" si="258"/>
        <v>435922.78488425701</v>
      </c>
    </row>
    <row r="265" spans="1:29" x14ac:dyDescent="0.25">
      <c r="A265" s="30" t="str">
        <f>A246</f>
        <v>Residual value (vehicle)</v>
      </c>
      <c r="B265" s="62">
        <f>((1+B249)^B256)*B249/(((1+B249)^B256)-1)*(B246)</f>
        <v>-65388.417732638554</v>
      </c>
      <c r="C265" s="62">
        <f t="shared" ref="C265:AC265" si="259">((1+C249)^C256)*C249/(((1+C249)^C256)-1)*(C246)</f>
        <v>-65388.417732638554</v>
      </c>
      <c r="D265" s="62">
        <f t="shared" si="259"/>
        <v>-65388.417732638554</v>
      </c>
      <c r="E265" s="62">
        <f t="shared" si="259"/>
        <v>-65388.417732638554</v>
      </c>
      <c r="F265" s="62">
        <f t="shared" si="259"/>
        <v>-65388.417732638554</v>
      </c>
      <c r="G265" s="62">
        <f t="shared" si="259"/>
        <v>-65388.417732638554</v>
      </c>
      <c r="H265" s="62">
        <f t="shared" si="259"/>
        <v>-65388.417732638554</v>
      </c>
      <c r="I265" s="62">
        <f t="shared" si="259"/>
        <v>-65388.417732638554</v>
      </c>
      <c r="J265" s="62">
        <f t="shared" si="259"/>
        <v>-65388.417732638554</v>
      </c>
      <c r="K265" s="62">
        <f t="shared" si="259"/>
        <v>-65388.417732638554</v>
      </c>
      <c r="L265" s="62">
        <f t="shared" si="259"/>
        <v>-65388.417732638554</v>
      </c>
      <c r="M265" s="62">
        <f t="shared" si="259"/>
        <v>-65388.417732638554</v>
      </c>
      <c r="N265" s="62">
        <f t="shared" si="259"/>
        <v>-65388.417732638554</v>
      </c>
      <c r="O265" s="62">
        <f t="shared" si="259"/>
        <v>-65388.417732638554</v>
      </c>
      <c r="P265" s="62">
        <f t="shared" si="259"/>
        <v>-65388.417732638554</v>
      </c>
      <c r="Q265" s="62">
        <f t="shared" si="259"/>
        <v>-65388.417732638554</v>
      </c>
      <c r="R265" s="62">
        <f t="shared" si="259"/>
        <v>-65388.417732638554</v>
      </c>
      <c r="S265" s="62">
        <f t="shared" si="259"/>
        <v>-65388.417732638554</v>
      </c>
      <c r="T265" s="62">
        <f t="shared" si="259"/>
        <v>-65388.417732638554</v>
      </c>
      <c r="U265" s="62">
        <f t="shared" si="259"/>
        <v>-65388.417732638554</v>
      </c>
      <c r="V265" s="62">
        <f t="shared" si="259"/>
        <v>-65388.417732638554</v>
      </c>
      <c r="W265" s="62">
        <f t="shared" si="259"/>
        <v>-65388.417732638554</v>
      </c>
      <c r="X265" s="62">
        <f t="shared" si="259"/>
        <v>-65388.417732638554</v>
      </c>
      <c r="Y265" s="62">
        <f t="shared" si="259"/>
        <v>-65388.417732638554</v>
      </c>
      <c r="Z265" s="62">
        <f t="shared" si="259"/>
        <v>-65388.417732638554</v>
      </c>
      <c r="AA265" s="62">
        <f t="shared" si="259"/>
        <v>-65388.417732638554</v>
      </c>
      <c r="AB265" s="62">
        <f t="shared" si="259"/>
        <v>-65388.417732638554</v>
      </c>
      <c r="AC265" s="62">
        <f t="shared" si="259"/>
        <v>-65388.417732638554</v>
      </c>
    </row>
    <row r="266" spans="1:29" x14ac:dyDescent="0.25">
      <c r="A266" s="30" t="str">
        <f>A247</f>
        <v>Capex costumization</v>
      </c>
      <c r="B266" s="62">
        <f>((1+B249)^B257)*B249/(((1+B249)^B257)-1)*(B247)</f>
        <v>203416.95217213215</v>
      </c>
      <c r="C266" s="62">
        <f t="shared" ref="C266:AC266" si="260">((1+C249)^C257)*C249/(((1+C249)^C257)-1)*(C247)</f>
        <v>203416.95217213215</v>
      </c>
      <c r="D266" s="62">
        <f t="shared" si="260"/>
        <v>203416.95217213215</v>
      </c>
      <c r="E266" s="62">
        <f t="shared" si="260"/>
        <v>203416.95217213215</v>
      </c>
      <c r="F266" s="62">
        <f t="shared" si="260"/>
        <v>203416.95217213215</v>
      </c>
      <c r="G266" s="62">
        <f t="shared" si="260"/>
        <v>203416.95217213215</v>
      </c>
      <c r="H266" s="62">
        <f t="shared" si="260"/>
        <v>203416.95217213215</v>
      </c>
      <c r="I266" s="62">
        <f t="shared" si="260"/>
        <v>203416.95217213215</v>
      </c>
      <c r="J266" s="62">
        <f t="shared" si="260"/>
        <v>203416.95217213215</v>
      </c>
      <c r="K266" s="62">
        <f t="shared" si="260"/>
        <v>203416.95217213215</v>
      </c>
      <c r="L266" s="62">
        <f t="shared" si="260"/>
        <v>203416.95217213215</v>
      </c>
      <c r="M266" s="62">
        <f t="shared" si="260"/>
        <v>203416.95217213215</v>
      </c>
      <c r="N266" s="62">
        <f t="shared" si="260"/>
        <v>203416.95217213215</v>
      </c>
      <c r="O266" s="62">
        <f t="shared" si="260"/>
        <v>203416.95217213215</v>
      </c>
      <c r="P266" s="62">
        <f t="shared" si="260"/>
        <v>203416.95217213215</v>
      </c>
      <c r="Q266" s="62">
        <f t="shared" si="260"/>
        <v>203416.95217213215</v>
      </c>
      <c r="R266" s="62">
        <f t="shared" si="260"/>
        <v>203416.95217213215</v>
      </c>
      <c r="S266" s="62">
        <f t="shared" si="260"/>
        <v>203416.95217213215</v>
      </c>
      <c r="T266" s="62">
        <f t="shared" si="260"/>
        <v>203416.95217213215</v>
      </c>
      <c r="U266" s="62">
        <f t="shared" si="260"/>
        <v>203416.95217213215</v>
      </c>
      <c r="V266" s="62">
        <f t="shared" si="260"/>
        <v>203416.95217213215</v>
      </c>
      <c r="W266" s="62">
        <f t="shared" si="260"/>
        <v>203416.95217213215</v>
      </c>
      <c r="X266" s="62">
        <f t="shared" si="260"/>
        <v>203416.95217213215</v>
      </c>
      <c r="Y266" s="62">
        <f t="shared" si="260"/>
        <v>203416.95217213215</v>
      </c>
      <c r="Z266" s="62">
        <f t="shared" si="260"/>
        <v>203416.95217213215</v>
      </c>
      <c r="AA266" s="62">
        <f t="shared" si="260"/>
        <v>203416.95217213215</v>
      </c>
      <c r="AB266" s="62">
        <f t="shared" si="260"/>
        <v>203416.95217213215</v>
      </c>
      <c r="AC266" s="62">
        <f t="shared" si="260"/>
        <v>203416.95217213215</v>
      </c>
    </row>
    <row r="267" spans="1:29" x14ac:dyDescent="0.25">
      <c r="A267" s="30" t="str">
        <f>A248</f>
        <v>Residual value (costumization)</v>
      </c>
      <c r="B267" s="62">
        <f>((1+B249)^B257)*B249/(((1+B249)^B257)-1)*(B248)</f>
        <v>-10170.847608606608</v>
      </c>
      <c r="C267" s="62">
        <f t="shared" ref="C267:AC267" si="261">((1+C249)^C257)*C249/(((1+C249)^C257)-1)*(C248)</f>
        <v>-10170.847608606608</v>
      </c>
      <c r="D267" s="62">
        <f t="shared" si="261"/>
        <v>-10170.847608606608</v>
      </c>
      <c r="E267" s="62">
        <f t="shared" si="261"/>
        <v>-10170.847608606608</v>
      </c>
      <c r="F267" s="62">
        <f t="shared" si="261"/>
        <v>-10170.847608606608</v>
      </c>
      <c r="G267" s="62">
        <f t="shared" si="261"/>
        <v>-10170.847608606608</v>
      </c>
      <c r="H267" s="62">
        <f t="shared" si="261"/>
        <v>-10170.847608606608</v>
      </c>
      <c r="I267" s="62">
        <f t="shared" si="261"/>
        <v>-10170.847608606608</v>
      </c>
      <c r="J267" s="62">
        <f t="shared" si="261"/>
        <v>-10170.847608606608</v>
      </c>
      <c r="K267" s="62">
        <f t="shared" si="261"/>
        <v>-10170.847608606608</v>
      </c>
      <c r="L267" s="62">
        <f t="shared" si="261"/>
        <v>-10170.847608606608</v>
      </c>
      <c r="M267" s="62">
        <f t="shared" si="261"/>
        <v>-10170.847608606608</v>
      </c>
      <c r="N267" s="62">
        <f t="shared" si="261"/>
        <v>-10170.847608606608</v>
      </c>
      <c r="O267" s="62">
        <f t="shared" si="261"/>
        <v>-10170.847608606608</v>
      </c>
      <c r="P267" s="62">
        <f t="shared" si="261"/>
        <v>-10170.847608606608</v>
      </c>
      <c r="Q267" s="62">
        <f t="shared" si="261"/>
        <v>-10170.847608606608</v>
      </c>
      <c r="R267" s="62">
        <f t="shared" si="261"/>
        <v>-10170.847608606608</v>
      </c>
      <c r="S267" s="62">
        <f t="shared" si="261"/>
        <v>-10170.847608606608</v>
      </c>
      <c r="T267" s="62">
        <f t="shared" si="261"/>
        <v>-10170.847608606608</v>
      </c>
      <c r="U267" s="62">
        <f t="shared" si="261"/>
        <v>-10170.847608606608</v>
      </c>
      <c r="V267" s="62">
        <f t="shared" si="261"/>
        <v>-10170.847608606608</v>
      </c>
      <c r="W267" s="62">
        <f t="shared" si="261"/>
        <v>-10170.847608606608</v>
      </c>
      <c r="X267" s="62">
        <f t="shared" si="261"/>
        <v>-10170.847608606608</v>
      </c>
      <c r="Y267" s="62">
        <f t="shared" si="261"/>
        <v>-10170.847608606608</v>
      </c>
      <c r="Z267" s="62">
        <f t="shared" si="261"/>
        <v>-10170.847608606608</v>
      </c>
      <c r="AA267" s="62">
        <f t="shared" si="261"/>
        <v>-10170.847608606608</v>
      </c>
      <c r="AB267" s="62">
        <f t="shared" si="261"/>
        <v>-10170.847608606608</v>
      </c>
      <c r="AC267" s="62">
        <f t="shared" si="261"/>
        <v>-10170.847608606608</v>
      </c>
    </row>
    <row r="268" spans="1:29" x14ac:dyDescent="0.25">
      <c r="A268" s="30" t="str">
        <f t="shared" ref="A268:AC268" si="262">A250</f>
        <v>Opex fix (admin, crew, insurance)</v>
      </c>
      <c r="B268" s="62">
        <f t="shared" si="262"/>
        <v>610000</v>
      </c>
      <c r="C268" s="62">
        <f t="shared" si="262"/>
        <v>610000</v>
      </c>
      <c r="D268" s="62">
        <f t="shared" si="262"/>
        <v>610000</v>
      </c>
      <c r="E268" s="62">
        <f t="shared" si="262"/>
        <v>610000</v>
      </c>
      <c r="F268" s="62">
        <f t="shared" si="262"/>
        <v>610000</v>
      </c>
      <c r="G268" s="62">
        <f t="shared" si="262"/>
        <v>610000</v>
      </c>
      <c r="H268" s="62">
        <f t="shared" si="262"/>
        <v>610000</v>
      </c>
      <c r="I268" s="62">
        <f t="shared" si="262"/>
        <v>610000</v>
      </c>
      <c r="J268" s="62">
        <f t="shared" si="262"/>
        <v>610000</v>
      </c>
      <c r="K268" s="62">
        <f t="shared" si="262"/>
        <v>610000</v>
      </c>
      <c r="L268" s="62">
        <f t="shared" si="262"/>
        <v>610000</v>
      </c>
      <c r="M268" s="62">
        <f t="shared" si="262"/>
        <v>610000</v>
      </c>
      <c r="N268" s="62">
        <f t="shared" si="262"/>
        <v>610000</v>
      </c>
      <c r="O268" s="62">
        <f t="shared" si="262"/>
        <v>610000</v>
      </c>
      <c r="P268" s="62">
        <f t="shared" si="262"/>
        <v>610000</v>
      </c>
      <c r="Q268" s="62">
        <f t="shared" si="262"/>
        <v>610000</v>
      </c>
      <c r="R268" s="62">
        <f t="shared" si="262"/>
        <v>610000</v>
      </c>
      <c r="S268" s="62">
        <f t="shared" si="262"/>
        <v>610000</v>
      </c>
      <c r="T268" s="62">
        <f t="shared" si="262"/>
        <v>610000</v>
      </c>
      <c r="U268" s="62">
        <f t="shared" si="262"/>
        <v>610000</v>
      </c>
      <c r="V268" s="62">
        <f t="shared" si="262"/>
        <v>610000</v>
      </c>
      <c r="W268" s="62">
        <f t="shared" si="262"/>
        <v>610000</v>
      </c>
      <c r="X268" s="62">
        <f t="shared" si="262"/>
        <v>610000</v>
      </c>
      <c r="Y268" s="62">
        <f t="shared" si="262"/>
        <v>610000</v>
      </c>
      <c r="Z268" s="62">
        <f t="shared" si="262"/>
        <v>610000</v>
      </c>
      <c r="AA268" s="62">
        <f t="shared" si="262"/>
        <v>610000</v>
      </c>
      <c r="AB268" s="62">
        <f t="shared" si="262"/>
        <v>610000</v>
      </c>
      <c r="AC268" s="62">
        <f t="shared" si="262"/>
        <v>610000</v>
      </c>
    </row>
    <row r="269" spans="1:29" x14ac:dyDescent="0.25">
      <c r="A269" s="30" t="str">
        <f t="shared" ref="A269:AC269" si="263">A251</f>
        <v>Opex maintenance &amp; repair</v>
      </c>
      <c r="B269" s="62">
        <f t="shared" si="263"/>
        <v>650000</v>
      </c>
      <c r="C269" s="62">
        <f t="shared" si="263"/>
        <v>650000</v>
      </c>
      <c r="D269" s="62">
        <f t="shared" si="263"/>
        <v>650000</v>
      </c>
      <c r="E269" s="62">
        <f t="shared" si="263"/>
        <v>650000</v>
      </c>
      <c r="F269" s="62">
        <f t="shared" si="263"/>
        <v>650000</v>
      </c>
      <c r="G269" s="62">
        <f t="shared" si="263"/>
        <v>650000</v>
      </c>
      <c r="H269" s="62">
        <f t="shared" si="263"/>
        <v>650000</v>
      </c>
      <c r="I269" s="62">
        <f t="shared" si="263"/>
        <v>650000</v>
      </c>
      <c r="J269" s="62">
        <f t="shared" si="263"/>
        <v>650000</v>
      </c>
      <c r="K269" s="62">
        <f t="shared" si="263"/>
        <v>650000</v>
      </c>
      <c r="L269" s="62">
        <f t="shared" si="263"/>
        <v>650000</v>
      </c>
      <c r="M269" s="62">
        <f t="shared" si="263"/>
        <v>650000</v>
      </c>
      <c r="N269" s="62">
        <f t="shared" si="263"/>
        <v>650000</v>
      </c>
      <c r="O269" s="62">
        <f t="shared" si="263"/>
        <v>650000</v>
      </c>
      <c r="P269" s="62">
        <f t="shared" si="263"/>
        <v>650000</v>
      </c>
      <c r="Q269" s="62">
        <f t="shared" si="263"/>
        <v>650000</v>
      </c>
      <c r="R269" s="62">
        <f t="shared" si="263"/>
        <v>650000</v>
      </c>
      <c r="S269" s="62">
        <f t="shared" si="263"/>
        <v>650000</v>
      </c>
      <c r="T269" s="62">
        <f t="shared" si="263"/>
        <v>650000</v>
      </c>
      <c r="U269" s="62">
        <f t="shared" si="263"/>
        <v>650000</v>
      </c>
      <c r="V269" s="62">
        <f t="shared" si="263"/>
        <v>650000</v>
      </c>
      <c r="W269" s="62">
        <f t="shared" si="263"/>
        <v>650000</v>
      </c>
      <c r="X269" s="62">
        <f t="shared" si="263"/>
        <v>650000</v>
      </c>
      <c r="Y269" s="62">
        <f t="shared" si="263"/>
        <v>650000</v>
      </c>
      <c r="Z269" s="62">
        <f t="shared" si="263"/>
        <v>650000</v>
      </c>
      <c r="AA269" s="62">
        <f t="shared" si="263"/>
        <v>650000</v>
      </c>
      <c r="AB269" s="62">
        <f t="shared" si="263"/>
        <v>650000</v>
      </c>
      <c r="AC269" s="62">
        <f t="shared" si="263"/>
        <v>650000</v>
      </c>
    </row>
    <row r="270" spans="1:29" x14ac:dyDescent="0.25">
      <c r="A270" s="30" t="str">
        <f>A252</f>
        <v>Opex var (mode-fees, shunting)</v>
      </c>
      <c r="B270" s="62">
        <f>B252*B261</f>
        <v>650000</v>
      </c>
      <c r="C270" s="62">
        <f t="shared" ref="C270:AC270" si="264">C252*C261</f>
        <v>650000</v>
      </c>
      <c r="D270" s="62">
        <f t="shared" si="264"/>
        <v>650000</v>
      </c>
      <c r="E270" s="62">
        <f t="shared" si="264"/>
        <v>650000</v>
      </c>
      <c r="F270" s="62">
        <f t="shared" si="264"/>
        <v>650000</v>
      </c>
      <c r="G270" s="62">
        <f t="shared" si="264"/>
        <v>650000</v>
      </c>
      <c r="H270" s="62">
        <f t="shared" si="264"/>
        <v>650000</v>
      </c>
      <c r="I270" s="62">
        <f t="shared" si="264"/>
        <v>650000</v>
      </c>
      <c r="J270" s="62">
        <f t="shared" si="264"/>
        <v>650000</v>
      </c>
      <c r="K270" s="62">
        <f t="shared" si="264"/>
        <v>650000</v>
      </c>
      <c r="L270" s="62">
        <f t="shared" si="264"/>
        <v>650000</v>
      </c>
      <c r="M270" s="62">
        <f t="shared" si="264"/>
        <v>650000</v>
      </c>
      <c r="N270" s="62">
        <f t="shared" si="264"/>
        <v>650000</v>
      </c>
      <c r="O270" s="62">
        <f t="shared" si="264"/>
        <v>650000</v>
      </c>
      <c r="P270" s="62">
        <f t="shared" si="264"/>
        <v>650000</v>
      </c>
      <c r="Q270" s="62">
        <f t="shared" si="264"/>
        <v>650000</v>
      </c>
      <c r="R270" s="62">
        <f t="shared" si="264"/>
        <v>650000</v>
      </c>
      <c r="S270" s="62">
        <f t="shared" si="264"/>
        <v>650000</v>
      </c>
      <c r="T270" s="62">
        <f t="shared" si="264"/>
        <v>650000</v>
      </c>
      <c r="U270" s="62">
        <f t="shared" si="264"/>
        <v>650000</v>
      </c>
      <c r="V270" s="62">
        <f t="shared" si="264"/>
        <v>650000</v>
      </c>
      <c r="W270" s="62">
        <f t="shared" si="264"/>
        <v>650000</v>
      </c>
      <c r="X270" s="62">
        <f t="shared" si="264"/>
        <v>650000</v>
      </c>
      <c r="Y270" s="62">
        <f t="shared" si="264"/>
        <v>650000</v>
      </c>
      <c r="Z270" s="62">
        <f t="shared" si="264"/>
        <v>650000</v>
      </c>
      <c r="AA270" s="62">
        <f t="shared" si="264"/>
        <v>650000</v>
      </c>
      <c r="AB270" s="62">
        <f t="shared" si="264"/>
        <v>650000</v>
      </c>
      <c r="AC270" s="62">
        <f t="shared" si="264"/>
        <v>650000</v>
      </c>
    </row>
    <row r="271" spans="1:29" x14ac:dyDescent="0.25">
      <c r="A271" s="30" t="str">
        <f>A254</f>
        <v>Fuel Cost</v>
      </c>
      <c r="B271" s="62">
        <f>B253*B254*B261</f>
        <v>457095.41846307018</v>
      </c>
      <c r="C271" s="62">
        <f t="shared" ref="C271:AC271" si="265">C253*C254*C261</f>
        <v>457095.41846307018</v>
      </c>
      <c r="D271" s="62">
        <f t="shared" si="265"/>
        <v>457095.41846307018</v>
      </c>
      <c r="E271" s="62">
        <f t="shared" si="265"/>
        <v>457095.41846307018</v>
      </c>
      <c r="F271" s="62">
        <f t="shared" si="265"/>
        <v>457095.41846307018</v>
      </c>
      <c r="G271" s="62">
        <f t="shared" si="265"/>
        <v>457095.41846307018</v>
      </c>
      <c r="H271" s="62">
        <f t="shared" si="265"/>
        <v>457095.41846307018</v>
      </c>
      <c r="I271" s="62">
        <f t="shared" si="265"/>
        <v>457095.41846307018</v>
      </c>
      <c r="J271" s="62">
        <f t="shared" si="265"/>
        <v>468757.93473681842</v>
      </c>
      <c r="K271" s="62">
        <f t="shared" si="265"/>
        <v>480420.45101056673</v>
      </c>
      <c r="L271" s="62">
        <f t="shared" si="265"/>
        <v>492082.96728431497</v>
      </c>
      <c r="M271" s="62">
        <f t="shared" si="265"/>
        <v>503745.48355806334</v>
      </c>
      <c r="N271" s="62">
        <f t="shared" si="265"/>
        <v>515407.99983181141</v>
      </c>
      <c r="O271" s="62">
        <f t="shared" si="265"/>
        <v>510517.26720088476</v>
      </c>
      <c r="P271" s="62">
        <f t="shared" si="265"/>
        <v>505626.53456995805</v>
      </c>
      <c r="Q271" s="62">
        <f t="shared" si="265"/>
        <v>500735.80193903128</v>
      </c>
      <c r="R271" s="62">
        <f t="shared" si="265"/>
        <v>495845.06930810458</v>
      </c>
      <c r="S271" s="62">
        <f t="shared" si="265"/>
        <v>490954.33667717798</v>
      </c>
      <c r="T271" s="62">
        <f t="shared" si="265"/>
        <v>486063.60404625122</v>
      </c>
      <c r="U271" s="62">
        <f t="shared" si="265"/>
        <v>481172.87141532457</v>
      </c>
      <c r="V271" s="62">
        <f t="shared" si="265"/>
        <v>476282.13878439786</v>
      </c>
      <c r="W271" s="62">
        <f t="shared" si="265"/>
        <v>471391.40615347109</v>
      </c>
      <c r="X271" s="62">
        <f t="shared" si="265"/>
        <v>466500.67352254456</v>
      </c>
      <c r="Y271" s="62">
        <f t="shared" si="265"/>
        <v>461609.94089161785</v>
      </c>
      <c r="Z271" s="62">
        <f t="shared" si="265"/>
        <v>456719.20826069114</v>
      </c>
      <c r="AA271" s="62">
        <f t="shared" si="265"/>
        <v>451828.47562976438</v>
      </c>
      <c r="AB271" s="62">
        <f t="shared" si="265"/>
        <v>446937.74299883778</v>
      </c>
      <c r="AC271" s="62">
        <f t="shared" si="265"/>
        <v>442047.01036791113</v>
      </c>
    </row>
    <row r="272" spans="1:29" ht="15.75" thickBot="1" x14ac:dyDescent="0.3">
      <c r="A272" s="59" t="str">
        <f>A235</f>
        <v>Emission Cost</v>
      </c>
      <c r="B272" s="62">
        <f>B255*B261</f>
        <v>0</v>
      </c>
      <c r="C272" s="62">
        <f t="shared" ref="C272:AC272" si="266">C255*C261</f>
        <v>0</v>
      </c>
      <c r="D272" s="62">
        <f t="shared" si="266"/>
        <v>0</v>
      </c>
      <c r="E272" s="62">
        <f t="shared" si="266"/>
        <v>0</v>
      </c>
      <c r="F272" s="62">
        <f t="shared" si="266"/>
        <v>0</v>
      </c>
      <c r="G272" s="62">
        <f t="shared" si="266"/>
        <v>0</v>
      </c>
      <c r="H272" s="62">
        <f t="shared" si="266"/>
        <v>0</v>
      </c>
      <c r="I272" s="62">
        <f t="shared" si="266"/>
        <v>0</v>
      </c>
      <c r="J272" s="62">
        <f t="shared" si="266"/>
        <v>0</v>
      </c>
      <c r="K272" s="62">
        <f t="shared" si="266"/>
        <v>0</v>
      </c>
      <c r="L272" s="62">
        <f t="shared" si="266"/>
        <v>0</v>
      </c>
      <c r="M272" s="62">
        <f t="shared" si="266"/>
        <v>0</v>
      </c>
      <c r="N272" s="62">
        <f t="shared" si="266"/>
        <v>0</v>
      </c>
      <c r="O272" s="62">
        <f t="shared" si="266"/>
        <v>0</v>
      </c>
      <c r="P272" s="62">
        <f t="shared" si="266"/>
        <v>0</v>
      </c>
      <c r="Q272" s="62">
        <f t="shared" si="266"/>
        <v>0</v>
      </c>
      <c r="R272" s="62">
        <f t="shared" si="266"/>
        <v>0</v>
      </c>
      <c r="S272" s="62">
        <f t="shared" si="266"/>
        <v>0</v>
      </c>
      <c r="T272" s="62">
        <f t="shared" si="266"/>
        <v>0</v>
      </c>
      <c r="U272" s="62">
        <f t="shared" si="266"/>
        <v>0</v>
      </c>
      <c r="V272" s="62">
        <f t="shared" si="266"/>
        <v>0</v>
      </c>
      <c r="W272" s="62">
        <f t="shared" si="266"/>
        <v>0</v>
      </c>
      <c r="X272" s="62">
        <f t="shared" si="266"/>
        <v>0</v>
      </c>
      <c r="Y272" s="62">
        <f t="shared" si="266"/>
        <v>0</v>
      </c>
      <c r="Z272" s="62">
        <f t="shared" si="266"/>
        <v>0</v>
      </c>
      <c r="AA272" s="62">
        <f t="shared" si="266"/>
        <v>0</v>
      </c>
      <c r="AB272" s="62">
        <f t="shared" si="266"/>
        <v>0</v>
      </c>
      <c r="AC272" s="62">
        <f t="shared" si="266"/>
        <v>0</v>
      </c>
    </row>
    <row r="273" spans="1:29" ht="15.75" thickBot="1" x14ac:dyDescent="0.3">
      <c r="A273" s="31" t="s">
        <v>209</v>
      </c>
      <c r="B273" s="64">
        <f>B264+B265+B266+B267+B268+B269+B270+B271+B272</f>
        <v>2930875.8901782138</v>
      </c>
      <c r="C273" s="64">
        <f t="shared" ref="C273:AC273" si="267">C264+C265+C266+C267+C268+C269+C270+C271+C272</f>
        <v>2930875.8901782138</v>
      </c>
      <c r="D273" s="64">
        <f t="shared" si="267"/>
        <v>2930875.8901782138</v>
      </c>
      <c r="E273" s="64">
        <f t="shared" si="267"/>
        <v>2930875.8901782138</v>
      </c>
      <c r="F273" s="64">
        <f t="shared" si="267"/>
        <v>2930875.8901782138</v>
      </c>
      <c r="G273" s="64">
        <f t="shared" si="267"/>
        <v>2930875.8901782138</v>
      </c>
      <c r="H273" s="64">
        <f t="shared" si="267"/>
        <v>2930875.8901782138</v>
      </c>
      <c r="I273" s="64">
        <f t="shared" si="267"/>
        <v>2930875.8901782138</v>
      </c>
      <c r="J273" s="64">
        <f t="shared" si="267"/>
        <v>2942538.4064519624</v>
      </c>
      <c r="K273" s="64">
        <f t="shared" si="267"/>
        <v>2954200.9227257106</v>
      </c>
      <c r="L273" s="64">
        <f t="shared" si="267"/>
        <v>2965863.4389994587</v>
      </c>
      <c r="M273" s="64">
        <f t="shared" si="267"/>
        <v>2977525.9552732073</v>
      </c>
      <c r="N273" s="64">
        <f t="shared" si="267"/>
        <v>2989188.4715469554</v>
      </c>
      <c r="O273" s="64">
        <f t="shared" si="267"/>
        <v>2984297.7389160288</v>
      </c>
      <c r="P273" s="64">
        <f t="shared" si="267"/>
        <v>2979407.0062851021</v>
      </c>
      <c r="Q273" s="64">
        <f t="shared" si="267"/>
        <v>2974516.273654175</v>
      </c>
      <c r="R273" s="64">
        <f t="shared" si="267"/>
        <v>2969625.5410232483</v>
      </c>
      <c r="S273" s="64">
        <f t="shared" si="267"/>
        <v>2964734.8083923217</v>
      </c>
      <c r="T273" s="64">
        <f t="shared" si="267"/>
        <v>2959844.075761395</v>
      </c>
      <c r="U273" s="64">
        <f t="shared" si="267"/>
        <v>2954953.3431304684</v>
      </c>
      <c r="V273" s="64">
        <f t="shared" si="267"/>
        <v>2950062.6104995417</v>
      </c>
      <c r="W273" s="64">
        <f t="shared" si="267"/>
        <v>2945171.8778686151</v>
      </c>
      <c r="X273" s="64">
        <f t="shared" si="267"/>
        <v>2940281.1452376884</v>
      </c>
      <c r="Y273" s="64">
        <f t="shared" si="267"/>
        <v>2935390.4126067618</v>
      </c>
      <c r="Z273" s="64">
        <f t="shared" si="267"/>
        <v>2930499.6799758351</v>
      </c>
      <c r="AA273" s="64">
        <f t="shared" si="267"/>
        <v>2925608.9473449085</v>
      </c>
      <c r="AB273" s="64">
        <f t="shared" si="267"/>
        <v>2920718.2147139818</v>
      </c>
      <c r="AC273" s="64">
        <f t="shared" si="267"/>
        <v>2915827.4820830552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8">A264</f>
        <v>Capex vehicle</v>
      </c>
      <c r="B276" s="65">
        <f>((1+B249)^B256)*B249/(((1+B249)^B256)-1)*(B245)/B261</f>
        <v>2.4421444531330927</v>
      </c>
      <c r="C276" s="65">
        <f t="shared" ref="C276:AC276" si="269">((1+C249)^C256)*C249/(((1+C249)^C256)-1)*(C245)/C261</f>
        <v>2.4421444531330927</v>
      </c>
      <c r="D276" s="65">
        <f t="shared" si="269"/>
        <v>2.4421444531330927</v>
      </c>
      <c r="E276" s="65">
        <f t="shared" si="269"/>
        <v>2.4421444531330927</v>
      </c>
      <c r="F276" s="65">
        <f t="shared" si="269"/>
        <v>2.4421444531330927</v>
      </c>
      <c r="G276" s="65">
        <f t="shared" si="269"/>
        <v>2.4421444531330927</v>
      </c>
      <c r="H276" s="65">
        <f t="shared" si="269"/>
        <v>2.4421444531330927</v>
      </c>
      <c r="I276" s="65">
        <f t="shared" si="269"/>
        <v>2.4421444531330927</v>
      </c>
      <c r="J276" s="65">
        <f t="shared" si="269"/>
        <v>2.4421444531330927</v>
      </c>
      <c r="K276" s="65">
        <f t="shared" si="269"/>
        <v>2.4421444531330927</v>
      </c>
      <c r="L276" s="65">
        <f t="shared" si="269"/>
        <v>2.4421444531330927</v>
      </c>
      <c r="M276" s="65">
        <f t="shared" si="269"/>
        <v>2.4421444531330927</v>
      </c>
      <c r="N276" s="65">
        <f t="shared" si="269"/>
        <v>2.4421444531330927</v>
      </c>
      <c r="O276" s="65">
        <f t="shared" si="269"/>
        <v>2.4421444531330927</v>
      </c>
      <c r="P276" s="65">
        <f t="shared" si="269"/>
        <v>2.4421444531330927</v>
      </c>
      <c r="Q276" s="65">
        <f t="shared" si="269"/>
        <v>2.4421444531330927</v>
      </c>
      <c r="R276" s="65">
        <f t="shared" si="269"/>
        <v>2.4421444531330927</v>
      </c>
      <c r="S276" s="65">
        <f t="shared" si="269"/>
        <v>2.4421444531330927</v>
      </c>
      <c r="T276" s="65">
        <f t="shared" si="269"/>
        <v>2.4421444531330927</v>
      </c>
      <c r="U276" s="65">
        <f t="shared" si="269"/>
        <v>2.4421444531330927</v>
      </c>
      <c r="V276" s="65">
        <f t="shared" si="269"/>
        <v>2.4421444531330927</v>
      </c>
      <c r="W276" s="65">
        <f t="shared" si="269"/>
        <v>2.4421444531330927</v>
      </c>
      <c r="X276" s="65">
        <f t="shared" si="269"/>
        <v>2.4421444531330927</v>
      </c>
      <c r="Y276" s="65">
        <f t="shared" si="269"/>
        <v>2.4421444531330927</v>
      </c>
      <c r="Z276" s="65">
        <f t="shared" si="269"/>
        <v>2.4421444531330927</v>
      </c>
      <c r="AA276" s="65">
        <f t="shared" si="269"/>
        <v>2.4421444531330927</v>
      </c>
      <c r="AB276" s="65">
        <f t="shared" si="269"/>
        <v>2.4421444531330927</v>
      </c>
      <c r="AC276" s="65">
        <f t="shared" si="269"/>
        <v>2.4421444531330927</v>
      </c>
    </row>
    <row r="277" spans="1:29" x14ac:dyDescent="0.25">
      <c r="A277" s="30" t="str">
        <f t="shared" si="268"/>
        <v>Residual value (vehicle)</v>
      </c>
      <c r="B277" s="66">
        <f>((1+B249)^B256)*B249/(((1+B249)^B256)-1)*(B246)/B261</f>
        <v>-0.3663216679699639</v>
      </c>
      <c r="C277" s="66">
        <f t="shared" ref="C277:AC277" si="270">((1+C249)^C256)*C249/(((1+C249)^C256)-1)*(C246)/C261</f>
        <v>-0.3663216679699639</v>
      </c>
      <c r="D277" s="66">
        <f t="shared" si="270"/>
        <v>-0.3663216679699639</v>
      </c>
      <c r="E277" s="66">
        <f t="shared" si="270"/>
        <v>-0.3663216679699639</v>
      </c>
      <c r="F277" s="66">
        <f t="shared" si="270"/>
        <v>-0.3663216679699639</v>
      </c>
      <c r="G277" s="66">
        <f t="shared" si="270"/>
        <v>-0.3663216679699639</v>
      </c>
      <c r="H277" s="66">
        <f t="shared" si="270"/>
        <v>-0.3663216679699639</v>
      </c>
      <c r="I277" s="66">
        <f t="shared" si="270"/>
        <v>-0.3663216679699639</v>
      </c>
      <c r="J277" s="66">
        <f t="shared" si="270"/>
        <v>-0.3663216679699639</v>
      </c>
      <c r="K277" s="66">
        <f t="shared" si="270"/>
        <v>-0.3663216679699639</v>
      </c>
      <c r="L277" s="66">
        <f t="shared" si="270"/>
        <v>-0.3663216679699639</v>
      </c>
      <c r="M277" s="66">
        <f t="shared" si="270"/>
        <v>-0.3663216679699639</v>
      </c>
      <c r="N277" s="66">
        <f t="shared" si="270"/>
        <v>-0.3663216679699639</v>
      </c>
      <c r="O277" s="66">
        <f t="shared" si="270"/>
        <v>-0.3663216679699639</v>
      </c>
      <c r="P277" s="66">
        <f t="shared" si="270"/>
        <v>-0.3663216679699639</v>
      </c>
      <c r="Q277" s="66">
        <f t="shared" si="270"/>
        <v>-0.3663216679699639</v>
      </c>
      <c r="R277" s="66">
        <f t="shared" si="270"/>
        <v>-0.3663216679699639</v>
      </c>
      <c r="S277" s="66">
        <f t="shared" si="270"/>
        <v>-0.3663216679699639</v>
      </c>
      <c r="T277" s="66">
        <f t="shared" si="270"/>
        <v>-0.3663216679699639</v>
      </c>
      <c r="U277" s="66">
        <f t="shared" si="270"/>
        <v>-0.3663216679699639</v>
      </c>
      <c r="V277" s="66">
        <f t="shared" si="270"/>
        <v>-0.3663216679699639</v>
      </c>
      <c r="W277" s="66">
        <f t="shared" si="270"/>
        <v>-0.3663216679699639</v>
      </c>
      <c r="X277" s="66">
        <f t="shared" si="270"/>
        <v>-0.3663216679699639</v>
      </c>
      <c r="Y277" s="66">
        <f t="shared" si="270"/>
        <v>-0.3663216679699639</v>
      </c>
      <c r="Z277" s="66">
        <f t="shared" si="270"/>
        <v>-0.3663216679699639</v>
      </c>
      <c r="AA277" s="66">
        <f t="shared" si="270"/>
        <v>-0.3663216679699639</v>
      </c>
      <c r="AB277" s="66">
        <f t="shared" si="270"/>
        <v>-0.3663216679699639</v>
      </c>
      <c r="AC277" s="66">
        <f t="shared" si="270"/>
        <v>-0.3663216679699639</v>
      </c>
    </row>
    <row r="278" spans="1:29" x14ac:dyDescent="0.25">
      <c r="A278" s="30" t="str">
        <f t="shared" si="268"/>
        <v>Capex costumization</v>
      </c>
      <c r="B278" s="66">
        <f>((1+B249)^B257)*B249/(((1+B249)^B257)-1)*(B247)/B261</f>
        <v>1.1395907684713287</v>
      </c>
      <c r="C278" s="66">
        <f t="shared" ref="C278:AC278" si="271">((1+C249)^C257)*C249/(((1+C249)^C257)-1)*(C247)/C261</f>
        <v>1.1395907684713287</v>
      </c>
      <c r="D278" s="66">
        <f t="shared" si="271"/>
        <v>1.1395907684713287</v>
      </c>
      <c r="E278" s="66">
        <f t="shared" si="271"/>
        <v>1.1395907684713287</v>
      </c>
      <c r="F278" s="66">
        <f t="shared" si="271"/>
        <v>1.1395907684713287</v>
      </c>
      <c r="G278" s="66">
        <f t="shared" si="271"/>
        <v>1.1395907684713287</v>
      </c>
      <c r="H278" s="66">
        <f t="shared" si="271"/>
        <v>1.1395907684713287</v>
      </c>
      <c r="I278" s="66">
        <f t="shared" si="271"/>
        <v>1.1395907684713287</v>
      </c>
      <c r="J278" s="66">
        <f t="shared" si="271"/>
        <v>1.1395907684713287</v>
      </c>
      <c r="K278" s="66">
        <f t="shared" si="271"/>
        <v>1.1395907684713287</v>
      </c>
      <c r="L278" s="66">
        <f t="shared" si="271"/>
        <v>1.1395907684713287</v>
      </c>
      <c r="M278" s="66">
        <f t="shared" si="271"/>
        <v>1.1395907684713287</v>
      </c>
      <c r="N278" s="66">
        <f t="shared" si="271"/>
        <v>1.1395907684713287</v>
      </c>
      <c r="O278" s="66">
        <f t="shared" si="271"/>
        <v>1.1395907684713287</v>
      </c>
      <c r="P278" s="66">
        <f t="shared" si="271"/>
        <v>1.1395907684713287</v>
      </c>
      <c r="Q278" s="66">
        <f t="shared" si="271"/>
        <v>1.1395907684713287</v>
      </c>
      <c r="R278" s="66">
        <f t="shared" si="271"/>
        <v>1.1395907684713287</v>
      </c>
      <c r="S278" s="66">
        <f t="shared" si="271"/>
        <v>1.1395907684713287</v>
      </c>
      <c r="T278" s="66">
        <f t="shared" si="271"/>
        <v>1.1395907684713287</v>
      </c>
      <c r="U278" s="66">
        <f t="shared" si="271"/>
        <v>1.1395907684713287</v>
      </c>
      <c r="V278" s="66">
        <f t="shared" si="271"/>
        <v>1.1395907684713287</v>
      </c>
      <c r="W278" s="66">
        <f t="shared" si="271"/>
        <v>1.1395907684713287</v>
      </c>
      <c r="X278" s="66">
        <f t="shared" si="271"/>
        <v>1.1395907684713287</v>
      </c>
      <c r="Y278" s="66">
        <f t="shared" si="271"/>
        <v>1.1395907684713287</v>
      </c>
      <c r="Z278" s="66">
        <f t="shared" si="271"/>
        <v>1.1395907684713287</v>
      </c>
      <c r="AA278" s="66">
        <f t="shared" si="271"/>
        <v>1.1395907684713287</v>
      </c>
      <c r="AB278" s="66">
        <f t="shared" si="271"/>
        <v>1.1395907684713287</v>
      </c>
      <c r="AC278" s="66">
        <f t="shared" si="271"/>
        <v>1.1395907684713287</v>
      </c>
    </row>
    <row r="279" spans="1:29" x14ac:dyDescent="0.25">
      <c r="A279" s="30" t="str">
        <f t="shared" si="268"/>
        <v>Residual value (costumization)</v>
      </c>
      <c r="B279" s="66">
        <f>((1+B249)^B257)*B249/(((1+B249)^B257)-1)*(B248)/B261</f>
        <v>-5.6979538423566428E-2</v>
      </c>
      <c r="C279" s="66">
        <f t="shared" ref="C279:AC279" si="272">((1+C249)^C257)*C249/(((1+C249)^C257)-1)*(C248)/C261</f>
        <v>-5.6979538423566428E-2</v>
      </c>
      <c r="D279" s="66">
        <f t="shared" si="272"/>
        <v>-5.6979538423566428E-2</v>
      </c>
      <c r="E279" s="66">
        <f t="shared" si="272"/>
        <v>-5.6979538423566428E-2</v>
      </c>
      <c r="F279" s="66">
        <f t="shared" si="272"/>
        <v>-5.6979538423566428E-2</v>
      </c>
      <c r="G279" s="66">
        <f t="shared" si="272"/>
        <v>-5.6979538423566428E-2</v>
      </c>
      <c r="H279" s="66">
        <f t="shared" si="272"/>
        <v>-5.6979538423566428E-2</v>
      </c>
      <c r="I279" s="66">
        <f t="shared" si="272"/>
        <v>-5.6979538423566428E-2</v>
      </c>
      <c r="J279" s="66">
        <f t="shared" si="272"/>
        <v>-5.6979538423566428E-2</v>
      </c>
      <c r="K279" s="66">
        <f t="shared" si="272"/>
        <v>-5.6979538423566428E-2</v>
      </c>
      <c r="L279" s="66">
        <f t="shared" si="272"/>
        <v>-5.6979538423566428E-2</v>
      </c>
      <c r="M279" s="66">
        <f t="shared" si="272"/>
        <v>-5.6979538423566428E-2</v>
      </c>
      <c r="N279" s="66">
        <f t="shared" si="272"/>
        <v>-5.6979538423566428E-2</v>
      </c>
      <c r="O279" s="66">
        <f t="shared" si="272"/>
        <v>-5.6979538423566428E-2</v>
      </c>
      <c r="P279" s="66">
        <f t="shared" si="272"/>
        <v>-5.6979538423566428E-2</v>
      </c>
      <c r="Q279" s="66">
        <f t="shared" si="272"/>
        <v>-5.6979538423566428E-2</v>
      </c>
      <c r="R279" s="66">
        <f t="shared" si="272"/>
        <v>-5.6979538423566428E-2</v>
      </c>
      <c r="S279" s="66">
        <f t="shared" si="272"/>
        <v>-5.6979538423566428E-2</v>
      </c>
      <c r="T279" s="66">
        <f t="shared" si="272"/>
        <v>-5.6979538423566428E-2</v>
      </c>
      <c r="U279" s="66">
        <f t="shared" si="272"/>
        <v>-5.6979538423566428E-2</v>
      </c>
      <c r="V279" s="66">
        <f t="shared" si="272"/>
        <v>-5.6979538423566428E-2</v>
      </c>
      <c r="W279" s="66">
        <f t="shared" si="272"/>
        <v>-5.6979538423566428E-2</v>
      </c>
      <c r="X279" s="66">
        <f t="shared" si="272"/>
        <v>-5.6979538423566428E-2</v>
      </c>
      <c r="Y279" s="66">
        <f t="shared" si="272"/>
        <v>-5.6979538423566428E-2</v>
      </c>
      <c r="Z279" s="66">
        <f t="shared" si="272"/>
        <v>-5.6979538423566428E-2</v>
      </c>
      <c r="AA279" s="66">
        <f t="shared" si="272"/>
        <v>-5.6979538423566428E-2</v>
      </c>
      <c r="AB279" s="66">
        <f t="shared" si="272"/>
        <v>-5.6979538423566428E-2</v>
      </c>
      <c r="AC279" s="66">
        <f t="shared" si="272"/>
        <v>-5.6979538423566428E-2</v>
      </c>
    </row>
    <row r="280" spans="1:29" x14ac:dyDescent="0.25">
      <c r="A280" s="30" t="str">
        <f t="shared" si="268"/>
        <v>Opex fix (admin, crew, insurance)</v>
      </c>
      <c r="B280" s="66">
        <f>B250/B261</f>
        <v>3.4173669467787113</v>
      </c>
      <c r="C280" s="66">
        <f t="shared" ref="C280:AC280" si="273">C250/C261</f>
        <v>3.4173669467787113</v>
      </c>
      <c r="D280" s="66">
        <f t="shared" si="273"/>
        <v>3.4173669467787113</v>
      </c>
      <c r="E280" s="66">
        <f t="shared" si="273"/>
        <v>3.4173669467787113</v>
      </c>
      <c r="F280" s="66">
        <f t="shared" si="273"/>
        <v>3.4173669467787113</v>
      </c>
      <c r="G280" s="66">
        <f t="shared" si="273"/>
        <v>3.4173669467787113</v>
      </c>
      <c r="H280" s="66">
        <f t="shared" si="273"/>
        <v>3.4173669467787113</v>
      </c>
      <c r="I280" s="66">
        <f t="shared" si="273"/>
        <v>3.4173669467787113</v>
      </c>
      <c r="J280" s="66">
        <f t="shared" si="273"/>
        <v>3.4173669467787113</v>
      </c>
      <c r="K280" s="66">
        <f t="shared" si="273"/>
        <v>3.4173669467787113</v>
      </c>
      <c r="L280" s="66">
        <f t="shared" si="273"/>
        <v>3.4173669467787113</v>
      </c>
      <c r="M280" s="66">
        <f t="shared" si="273"/>
        <v>3.4173669467787113</v>
      </c>
      <c r="N280" s="66">
        <f t="shared" si="273"/>
        <v>3.4173669467787113</v>
      </c>
      <c r="O280" s="66">
        <f t="shared" si="273"/>
        <v>3.4173669467787113</v>
      </c>
      <c r="P280" s="66">
        <f t="shared" si="273"/>
        <v>3.4173669467787113</v>
      </c>
      <c r="Q280" s="66">
        <f t="shared" si="273"/>
        <v>3.4173669467787113</v>
      </c>
      <c r="R280" s="66">
        <f t="shared" si="273"/>
        <v>3.4173669467787113</v>
      </c>
      <c r="S280" s="66">
        <f t="shared" si="273"/>
        <v>3.4173669467787113</v>
      </c>
      <c r="T280" s="66">
        <f t="shared" si="273"/>
        <v>3.4173669467787113</v>
      </c>
      <c r="U280" s="66">
        <f t="shared" si="273"/>
        <v>3.4173669467787113</v>
      </c>
      <c r="V280" s="66">
        <f t="shared" si="273"/>
        <v>3.4173669467787113</v>
      </c>
      <c r="W280" s="66">
        <f t="shared" si="273"/>
        <v>3.4173669467787113</v>
      </c>
      <c r="X280" s="66">
        <f t="shared" si="273"/>
        <v>3.4173669467787113</v>
      </c>
      <c r="Y280" s="66">
        <f t="shared" si="273"/>
        <v>3.4173669467787113</v>
      </c>
      <c r="Z280" s="66">
        <f t="shared" si="273"/>
        <v>3.4173669467787113</v>
      </c>
      <c r="AA280" s="66">
        <f t="shared" si="273"/>
        <v>3.4173669467787113</v>
      </c>
      <c r="AB280" s="66">
        <f t="shared" si="273"/>
        <v>3.4173669467787113</v>
      </c>
      <c r="AC280" s="66">
        <f t="shared" si="273"/>
        <v>3.4173669467787113</v>
      </c>
    </row>
    <row r="281" spans="1:29" x14ac:dyDescent="0.25">
      <c r="A281" s="30" t="str">
        <f t="shared" si="268"/>
        <v>Opex maintenance &amp; repair</v>
      </c>
      <c r="B281" s="66">
        <f>B251/B261</f>
        <v>3.6414565826330532</v>
      </c>
      <c r="C281" s="66">
        <f t="shared" ref="C281:AC281" si="274">C251/C261</f>
        <v>3.6414565826330532</v>
      </c>
      <c r="D281" s="66">
        <f t="shared" si="274"/>
        <v>3.6414565826330532</v>
      </c>
      <c r="E281" s="66">
        <f t="shared" si="274"/>
        <v>3.6414565826330532</v>
      </c>
      <c r="F281" s="66">
        <f t="shared" si="274"/>
        <v>3.6414565826330532</v>
      </c>
      <c r="G281" s="66">
        <f t="shared" si="274"/>
        <v>3.6414565826330532</v>
      </c>
      <c r="H281" s="66">
        <f t="shared" si="274"/>
        <v>3.6414565826330532</v>
      </c>
      <c r="I281" s="66">
        <f t="shared" si="274"/>
        <v>3.6414565826330532</v>
      </c>
      <c r="J281" s="66">
        <f t="shared" si="274"/>
        <v>3.6414565826330532</v>
      </c>
      <c r="K281" s="66">
        <f t="shared" si="274"/>
        <v>3.6414565826330532</v>
      </c>
      <c r="L281" s="66">
        <f t="shared" si="274"/>
        <v>3.6414565826330532</v>
      </c>
      <c r="M281" s="66">
        <f t="shared" si="274"/>
        <v>3.6414565826330532</v>
      </c>
      <c r="N281" s="66">
        <f t="shared" si="274"/>
        <v>3.6414565826330532</v>
      </c>
      <c r="O281" s="66">
        <f t="shared" si="274"/>
        <v>3.6414565826330532</v>
      </c>
      <c r="P281" s="66">
        <f t="shared" si="274"/>
        <v>3.6414565826330532</v>
      </c>
      <c r="Q281" s="66">
        <f t="shared" si="274"/>
        <v>3.6414565826330532</v>
      </c>
      <c r="R281" s="66">
        <f t="shared" si="274"/>
        <v>3.6414565826330532</v>
      </c>
      <c r="S281" s="66">
        <f t="shared" si="274"/>
        <v>3.6414565826330532</v>
      </c>
      <c r="T281" s="66">
        <f t="shared" si="274"/>
        <v>3.6414565826330532</v>
      </c>
      <c r="U281" s="66">
        <f t="shared" si="274"/>
        <v>3.6414565826330532</v>
      </c>
      <c r="V281" s="66">
        <f t="shared" si="274"/>
        <v>3.6414565826330532</v>
      </c>
      <c r="W281" s="66">
        <f t="shared" si="274"/>
        <v>3.6414565826330532</v>
      </c>
      <c r="X281" s="66">
        <f t="shared" si="274"/>
        <v>3.6414565826330532</v>
      </c>
      <c r="Y281" s="66">
        <f t="shared" si="274"/>
        <v>3.6414565826330532</v>
      </c>
      <c r="Z281" s="66">
        <f t="shared" si="274"/>
        <v>3.6414565826330532</v>
      </c>
      <c r="AA281" s="66">
        <f t="shared" si="274"/>
        <v>3.6414565826330532</v>
      </c>
      <c r="AB281" s="66">
        <f t="shared" si="274"/>
        <v>3.6414565826330532</v>
      </c>
      <c r="AC281" s="66">
        <f t="shared" si="274"/>
        <v>3.6414565826330532</v>
      </c>
    </row>
    <row r="282" spans="1:29" x14ac:dyDescent="0.25">
      <c r="A282" s="30" t="str">
        <f t="shared" si="268"/>
        <v>Opex var (mode-fees, shunting)</v>
      </c>
      <c r="B282" s="66">
        <f>B252*B261/B261</f>
        <v>3.6414565826330532</v>
      </c>
      <c r="C282" s="66">
        <f t="shared" ref="C282:AC282" si="275">C252*C261/C261</f>
        <v>3.6414565826330532</v>
      </c>
      <c r="D282" s="66">
        <f t="shared" si="275"/>
        <v>3.6414565826330532</v>
      </c>
      <c r="E282" s="66">
        <f t="shared" si="275"/>
        <v>3.6414565826330532</v>
      </c>
      <c r="F282" s="66">
        <f t="shared" si="275"/>
        <v>3.6414565826330532</v>
      </c>
      <c r="G282" s="66">
        <f t="shared" si="275"/>
        <v>3.6414565826330532</v>
      </c>
      <c r="H282" s="66">
        <f t="shared" si="275"/>
        <v>3.6414565826330532</v>
      </c>
      <c r="I282" s="66">
        <f t="shared" si="275"/>
        <v>3.6414565826330532</v>
      </c>
      <c r="J282" s="66">
        <f t="shared" si="275"/>
        <v>3.6414565826330532</v>
      </c>
      <c r="K282" s="66">
        <f t="shared" si="275"/>
        <v>3.6414565826330532</v>
      </c>
      <c r="L282" s="66">
        <f t="shared" si="275"/>
        <v>3.6414565826330532</v>
      </c>
      <c r="M282" s="66">
        <f t="shared" si="275"/>
        <v>3.6414565826330532</v>
      </c>
      <c r="N282" s="66">
        <f t="shared" si="275"/>
        <v>3.6414565826330532</v>
      </c>
      <c r="O282" s="66">
        <f t="shared" si="275"/>
        <v>3.6414565826330532</v>
      </c>
      <c r="P282" s="66">
        <f t="shared" si="275"/>
        <v>3.6414565826330532</v>
      </c>
      <c r="Q282" s="66">
        <f t="shared" si="275"/>
        <v>3.6414565826330532</v>
      </c>
      <c r="R282" s="66">
        <f t="shared" si="275"/>
        <v>3.6414565826330532</v>
      </c>
      <c r="S282" s="66">
        <f t="shared" si="275"/>
        <v>3.6414565826330532</v>
      </c>
      <c r="T282" s="66">
        <f t="shared" si="275"/>
        <v>3.6414565826330532</v>
      </c>
      <c r="U282" s="66">
        <f t="shared" si="275"/>
        <v>3.6414565826330532</v>
      </c>
      <c r="V282" s="66">
        <f t="shared" si="275"/>
        <v>3.6414565826330532</v>
      </c>
      <c r="W282" s="66">
        <f t="shared" si="275"/>
        <v>3.6414565826330532</v>
      </c>
      <c r="X282" s="66">
        <f t="shared" si="275"/>
        <v>3.6414565826330532</v>
      </c>
      <c r="Y282" s="66">
        <f t="shared" si="275"/>
        <v>3.6414565826330532</v>
      </c>
      <c r="Z282" s="66">
        <f t="shared" si="275"/>
        <v>3.6414565826330532</v>
      </c>
      <c r="AA282" s="66">
        <f t="shared" si="275"/>
        <v>3.6414565826330532</v>
      </c>
      <c r="AB282" s="66">
        <f t="shared" si="275"/>
        <v>3.6414565826330532</v>
      </c>
      <c r="AC282" s="66">
        <f t="shared" si="275"/>
        <v>3.6414565826330532</v>
      </c>
    </row>
    <row r="283" spans="1:29" x14ac:dyDescent="0.25">
      <c r="A283" s="30" t="str">
        <f t="shared" si="268"/>
        <v>Fuel Cost</v>
      </c>
      <c r="B283" s="66">
        <f>B253*B254*B261/B261</f>
        <v>2.5607586468519337</v>
      </c>
      <c r="C283" s="66">
        <f t="shared" ref="C283:AC283" si="276">C253*C254*C261/C261</f>
        <v>2.5607586468519337</v>
      </c>
      <c r="D283" s="66">
        <f t="shared" si="276"/>
        <v>2.5607586468519337</v>
      </c>
      <c r="E283" s="66">
        <f t="shared" si="276"/>
        <v>2.5607586468519337</v>
      </c>
      <c r="F283" s="66">
        <f t="shared" si="276"/>
        <v>2.5607586468519337</v>
      </c>
      <c r="G283" s="66">
        <f t="shared" si="276"/>
        <v>2.5607586468519337</v>
      </c>
      <c r="H283" s="66">
        <f t="shared" si="276"/>
        <v>2.5607586468519337</v>
      </c>
      <c r="I283" s="66">
        <f t="shared" si="276"/>
        <v>2.5607586468519337</v>
      </c>
      <c r="J283" s="66">
        <f t="shared" si="276"/>
        <v>2.6260948724751731</v>
      </c>
      <c r="K283" s="66">
        <f t="shared" si="276"/>
        <v>2.6914310980984131</v>
      </c>
      <c r="L283" s="66">
        <f t="shared" si="276"/>
        <v>2.7567673237216526</v>
      </c>
      <c r="M283" s="66">
        <f t="shared" si="276"/>
        <v>2.8221035493448925</v>
      </c>
      <c r="N283" s="66">
        <f t="shared" si="276"/>
        <v>2.8874397749681311</v>
      </c>
      <c r="O283" s="66">
        <f t="shared" si="276"/>
        <v>2.8600407126099987</v>
      </c>
      <c r="P283" s="66">
        <f t="shared" si="276"/>
        <v>2.8326416502518659</v>
      </c>
      <c r="Q283" s="66">
        <f t="shared" si="276"/>
        <v>2.8052425878937326</v>
      </c>
      <c r="R283" s="66">
        <f t="shared" si="276"/>
        <v>2.7778435255355998</v>
      </c>
      <c r="S283" s="66">
        <f t="shared" si="276"/>
        <v>2.7504444631774678</v>
      </c>
      <c r="T283" s="66">
        <f t="shared" si="276"/>
        <v>2.7230454008193345</v>
      </c>
      <c r="U283" s="66">
        <f t="shared" si="276"/>
        <v>2.6956463384612022</v>
      </c>
      <c r="V283" s="66">
        <f t="shared" si="276"/>
        <v>2.6682472761030693</v>
      </c>
      <c r="W283" s="66">
        <f t="shared" si="276"/>
        <v>2.6408482137449361</v>
      </c>
      <c r="X283" s="66">
        <f t="shared" si="276"/>
        <v>2.6134491513868041</v>
      </c>
      <c r="Y283" s="66">
        <f t="shared" si="276"/>
        <v>2.5860500890286713</v>
      </c>
      <c r="Z283" s="66">
        <f t="shared" si="276"/>
        <v>2.5586510266705385</v>
      </c>
      <c r="AA283" s="66">
        <f t="shared" si="276"/>
        <v>2.5312519643124056</v>
      </c>
      <c r="AB283" s="66">
        <f t="shared" si="276"/>
        <v>2.5038529019542732</v>
      </c>
      <c r="AC283" s="66">
        <f t="shared" si="276"/>
        <v>2.4764538395961408</v>
      </c>
    </row>
    <row r="284" spans="1:29" ht="15.75" thickBot="1" x14ac:dyDescent="0.3">
      <c r="A284" s="59" t="str">
        <f t="shared" ref="A284" si="277">A272</f>
        <v>Emission Cost</v>
      </c>
      <c r="B284" s="66">
        <f>B255</f>
        <v>0</v>
      </c>
      <c r="C284" s="66">
        <f t="shared" ref="C284:AC284" si="278">C255</f>
        <v>0</v>
      </c>
      <c r="D284" s="66">
        <f t="shared" si="278"/>
        <v>0</v>
      </c>
      <c r="E284" s="66">
        <f t="shared" si="278"/>
        <v>0</v>
      </c>
      <c r="F284" s="66">
        <f t="shared" si="278"/>
        <v>0</v>
      </c>
      <c r="G284" s="66">
        <f t="shared" si="278"/>
        <v>0</v>
      </c>
      <c r="H284" s="66">
        <f t="shared" si="278"/>
        <v>0</v>
      </c>
      <c r="I284" s="66">
        <f t="shared" si="278"/>
        <v>0</v>
      </c>
      <c r="J284" s="66">
        <f t="shared" si="278"/>
        <v>0</v>
      </c>
      <c r="K284" s="66">
        <f t="shared" si="278"/>
        <v>0</v>
      </c>
      <c r="L284" s="66">
        <f t="shared" si="278"/>
        <v>0</v>
      </c>
      <c r="M284" s="66">
        <f t="shared" si="278"/>
        <v>0</v>
      </c>
      <c r="N284" s="66">
        <f t="shared" si="278"/>
        <v>0</v>
      </c>
      <c r="O284" s="66">
        <f t="shared" si="278"/>
        <v>0</v>
      </c>
      <c r="P284" s="66">
        <f t="shared" si="278"/>
        <v>0</v>
      </c>
      <c r="Q284" s="66">
        <f t="shared" si="278"/>
        <v>0</v>
      </c>
      <c r="R284" s="66">
        <f t="shared" si="278"/>
        <v>0</v>
      </c>
      <c r="S284" s="66">
        <f t="shared" si="278"/>
        <v>0</v>
      </c>
      <c r="T284" s="66">
        <f t="shared" si="278"/>
        <v>0</v>
      </c>
      <c r="U284" s="66">
        <f t="shared" si="278"/>
        <v>0</v>
      </c>
      <c r="V284" s="66">
        <f t="shared" si="278"/>
        <v>0</v>
      </c>
      <c r="W284" s="66">
        <f t="shared" si="278"/>
        <v>0</v>
      </c>
      <c r="X284" s="66">
        <f t="shared" si="278"/>
        <v>0</v>
      </c>
      <c r="Y284" s="66">
        <f t="shared" si="278"/>
        <v>0</v>
      </c>
      <c r="Z284" s="66">
        <f t="shared" si="278"/>
        <v>0</v>
      </c>
      <c r="AA284" s="66">
        <f t="shared" si="278"/>
        <v>0</v>
      </c>
      <c r="AB284" s="66">
        <f t="shared" si="278"/>
        <v>0</v>
      </c>
      <c r="AC284" s="66">
        <f t="shared" si="278"/>
        <v>0</v>
      </c>
    </row>
    <row r="285" spans="1:29" ht="15.75" thickBot="1" x14ac:dyDescent="0.3">
      <c r="A285" s="31" t="s">
        <v>63</v>
      </c>
      <c r="B285" s="76">
        <f>B276+B277+B278-B279+B280+B281+B282+B283+B284</f>
        <v>16.533431850954774</v>
      </c>
      <c r="C285" s="76">
        <f t="shared" ref="C285:AC285" si="279">C276+C277+C278-C279+C280+C281+C282+C283+C284</f>
        <v>16.533431850954774</v>
      </c>
      <c r="D285" s="76">
        <f t="shared" si="279"/>
        <v>16.533431850954774</v>
      </c>
      <c r="E285" s="76">
        <f t="shared" si="279"/>
        <v>16.533431850954774</v>
      </c>
      <c r="F285" s="76">
        <f t="shared" si="279"/>
        <v>16.533431850954774</v>
      </c>
      <c r="G285" s="76">
        <f t="shared" si="279"/>
        <v>16.533431850954774</v>
      </c>
      <c r="H285" s="76">
        <f t="shared" si="279"/>
        <v>16.533431850954774</v>
      </c>
      <c r="I285" s="76">
        <f t="shared" si="279"/>
        <v>16.533431850954774</v>
      </c>
      <c r="J285" s="76">
        <f t="shared" si="279"/>
        <v>16.598768076578011</v>
      </c>
      <c r="K285" s="76">
        <f t="shared" si="279"/>
        <v>16.664104302201252</v>
      </c>
      <c r="L285" s="76">
        <f t="shared" si="279"/>
        <v>16.729440527824494</v>
      </c>
      <c r="M285" s="76">
        <f t="shared" si="279"/>
        <v>16.794776753447731</v>
      </c>
      <c r="N285" s="76">
        <f t="shared" si="279"/>
        <v>16.860112979070969</v>
      </c>
      <c r="O285" s="76">
        <f t="shared" si="279"/>
        <v>16.832713916712837</v>
      </c>
      <c r="P285" s="76">
        <f t="shared" si="279"/>
        <v>16.805314854354705</v>
      </c>
      <c r="Q285" s="76">
        <f t="shared" si="279"/>
        <v>16.777915791996573</v>
      </c>
      <c r="R285" s="76">
        <f t="shared" si="279"/>
        <v>16.750516729638441</v>
      </c>
      <c r="S285" s="76">
        <f t="shared" si="279"/>
        <v>16.723117667280306</v>
      </c>
      <c r="T285" s="76">
        <f t="shared" si="279"/>
        <v>16.695718604922174</v>
      </c>
      <c r="U285" s="76">
        <f t="shared" si="279"/>
        <v>16.668319542564042</v>
      </c>
      <c r="V285" s="76">
        <f t="shared" si="279"/>
        <v>16.64092048020591</v>
      </c>
      <c r="W285" s="76">
        <f t="shared" si="279"/>
        <v>16.613521417847775</v>
      </c>
      <c r="X285" s="76">
        <f t="shared" si="279"/>
        <v>16.586122355489643</v>
      </c>
      <c r="Y285" s="76">
        <f t="shared" si="279"/>
        <v>16.558723293131511</v>
      </c>
      <c r="Z285" s="76">
        <f t="shared" si="279"/>
        <v>16.531324230773379</v>
      </c>
      <c r="AA285" s="76">
        <f t="shared" si="279"/>
        <v>16.503925168415247</v>
      </c>
      <c r="AB285" s="76">
        <f t="shared" si="279"/>
        <v>16.476526106057115</v>
      </c>
      <c r="AC285" s="76">
        <f t="shared" si="279"/>
        <v>16.449127043698979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0">A264</f>
        <v>Capex vehicle</v>
      </c>
      <c r="B288" s="65">
        <f>((1+B249)^B256)*B249/(((1+B249)^B256)-1)*(B245)/B261/(B258)</f>
        <v>1.0902430594344164E-3</v>
      </c>
      <c r="C288" s="65">
        <f t="shared" ref="C288:AC288" si="281">((1+C249)^C256)*C249/(((1+C249)^C256)-1)*(C245)/C261/(C258)</f>
        <v>1.0902430594344164E-3</v>
      </c>
      <c r="D288" s="65">
        <f t="shared" si="281"/>
        <v>1.0902430594344164E-3</v>
      </c>
      <c r="E288" s="65">
        <f t="shared" si="281"/>
        <v>1.0902430594344164E-3</v>
      </c>
      <c r="F288" s="65">
        <f t="shared" si="281"/>
        <v>1.0902430594344164E-3</v>
      </c>
      <c r="G288" s="65">
        <f t="shared" si="281"/>
        <v>1.0902430594344164E-3</v>
      </c>
      <c r="H288" s="65">
        <f t="shared" si="281"/>
        <v>1.0902430594344164E-3</v>
      </c>
      <c r="I288" s="65">
        <f t="shared" si="281"/>
        <v>1.0902430594344164E-3</v>
      </c>
      <c r="J288" s="65">
        <f t="shared" si="281"/>
        <v>1.0902430594344164E-3</v>
      </c>
      <c r="K288" s="65">
        <f t="shared" si="281"/>
        <v>1.0902430594344164E-3</v>
      </c>
      <c r="L288" s="65">
        <f t="shared" si="281"/>
        <v>1.0902430594344164E-3</v>
      </c>
      <c r="M288" s="65">
        <f t="shared" si="281"/>
        <v>1.0902430594344164E-3</v>
      </c>
      <c r="N288" s="65">
        <f t="shared" si="281"/>
        <v>1.0902430594344164E-3</v>
      </c>
      <c r="O288" s="65">
        <f t="shared" si="281"/>
        <v>1.0902430594344164E-3</v>
      </c>
      <c r="P288" s="65">
        <f t="shared" si="281"/>
        <v>1.0902430594344164E-3</v>
      </c>
      <c r="Q288" s="65">
        <f t="shared" si="281"/>
        <v>1.0902430594344164E-3</v>
      </c>
      <c r="R288" s="65">
        <f t="shared" si="281"/>
        <v>1.0902430594344164E-3</v>
      </c>
      <c r="S288" s="65">
        <f t="shared" si="281"/>
        <v>1.0902430594344164E-3</v>
      </c>
      <c r="T288" s="65">
        <f t="shared" si="281"/>
        <v>1.0902430594344164E-3</v>
      </c>
      <c r="U288" s="65">
        <f t="shared" si="281"/>
        <v>1.0902430594344164E-3</v>
      </c>
      <c r="V288" s="65">
        <f t="shared" si="281"/>
        <v>1.0902430594344164E-3</v>
      </c>
      <c r="W288" s="65">
        <f t="shared" si="281"/>
        <v>1.0902430594344164E-3</v>
      </c>
      <c r="X288" s="65">
        <f t="shared" si="281"/>
        <v>1.0902430594344164E-3</v>
      </c>
      <c r="Y288" s="65">
        <f t="shared" si="281"/>
        <v>1.0902430594344164E-3</v>
      </c>
      <c r="Z288" s="65">
        <f t="shared" si="281"/>
        <v>1.0902430594344164E-3</v>
      </c>
      <c r="AA288" s="65">
        <f t="shared" si="281"/>
        <v>1.0902430594344164E-3</v>
      </c>
      <c r="AB288" s="65">
        <f t="shared" si="281"/>
        <v>1.0902430594344164E-3</v>
      </c>
      <c r="AC288" s="65">
        <f t="shared" si="281"/>
        <v>1.0902430594344164E-3</v>
      </c>
    </row>
    <row r="289" spans="1:29" x14ac:dyDescent="0.25">
      <c r="A289" s="30" t="str">
        <f t="shared" si="280"/>
        <v>Residual value (vehicle)</v>
      </c>
      <c r="B289" s="68">
        <f>((1+B249)^B256)*B249/(((1+B249)^B256)-1)*(B246)/B261/(B258)</f>
        <v>-1.6353645891516245E-4</v>
      </c>
      <c r="C289" s="68">
        <f t="shared" ref="C289:AC289" si="282">((1+C249)^C256)*C249/(((1+C249)^C256)-1)*(C246)/C261/(C258)</f>
        <v>-1.6353645891516245E-4</v>
      </c>
      <c r="D289" s="68">
        <f t="shared" si="282"/>
        <v>-1.6353645891516245E-4</v>
      </c>
      <c r="E289" s="68">
        <f t="shared" si="282"/>
        <v>-1.6353645891516245E-4</v>
      </c>
      <c r="F289" s="68">
        <f t="shared" si="282"/>
        <v>-1.6353645891516245E-4</v>
      </c>
      <c r="G289" s="68">
        <f t="shared" si="282"/>
        <v>-1.6353645891516245E-4</v>
      </c>
      <c r="H289" s="68">
        <f t="shared" si="282"/>
        <v>-1.6353645891516245E-4</v>
      </c>
      <c r="I289" s="68">
        <f t="shared" si="282"/>
        <v>-1.6353645891516245E-4</v>
      </c>
      <c r="J289" s="68">
        <f t="shared" si="282"/>
        <v>-1.6353645891516245E-4</v>
      </c>
      <c r="K289" s="68">
        <f t="shared" si="282"/>
        <v>-1.6353645891516245E-4</v>
      </c>
      <c r="L289" s="68">
        <f t="shared" si="282"/>
        <v>-1.6353645891516245E-4</v>
      </c>
      <c r="M289" s="68">
        <f t="shared" si="282"/>
        <v>-1.6353645891516245E-4</v>
      </c>
      <c r="N289" s="68">
        <f t="shared" si="282"/>
        <v>-1.6353645891516245E-4</v>
      </c>
      <c r="O289" s="68">
        <f t="shared" si="282"/>
        <v>-1.6353645891516245E-4</v>
      </c>
      <c r="P289" s="68">
        <f t="shared" si="282"/>
        <v>-1.6353645891516245E-4</v>
      </c>
      <c r="Q289" s="68">
        <f t="shared" si="282"/>
        <v>-1.6353645891516245E-4</v>
      </c>
      <c r="R289" s="68">
        <f t="shared" si="282"/>
        <v>-1.6353645891516245E-4</v>
      </c>
      <c r="S289" s="68">
        <f t="shared" si="282"/>
        <v>-1.6353645891516245E-4</v>
      </c>
      <c r="T289" s="68">
        <f t="shared" si="282"/>
        <v>-1.6353645891516245E-4</v>
      </c>
      <c r="U289" s="68">
        <f t="shared" si="282"/>
        <v>-1.6353645891516245E-4</v>
      </c>
      <c r="V289" s="68">
        <f t="shared" si="282"/>
        <v>-1.6353645891516245E-4</v>
      </c>
      <c r="W289" s="68">
        <f t="shared" si="282"/>
        <v>-1.6353645891516245E-4</v>
      </c>
      <c r="X289" s="68">
        <f t="shared" si="282"/>
        <v>-1.6353645891516245E-4</v>
      </c>
      <c r="Y289" s="68">
        <f t="shared" si="282"/>
        <v>-1.6353645891516245E-4</v>
      </c>
      <c r="Z289" s="68">
        <f t="shared" si="282"/>
        <v>-1.6353645891516245E-4</v>
      </c>
      <c r="AA289" s="68">
        <f t="shared" si="282"/>
        <v>-1.6353645891516245E-4</v>
      </c>
      <c r="AB289" s="68">
        <f t="shared" si="282"/>
        <v>-1.6353645891516245E-4</v>
      </c>
      <c r="AC289" s="68">
        <f t="shared" si="282"/>
        <v>-1.6353645891516245E-4</v>
      </c>
    </row>
    <row r="290" spans="1:29" x14ac:dyDescent="0.25">
      <c r="A290" s="30" t="str">
        <f t="shared" si="280"/>
        <v>Capex costumization</v>
      </c>
      <c r="B290" s="66">
        <f>((1+B249)^B257)*B249/(((1+B249)^B257)-1)*(B247)/B261/(B258)</f>
        <v>5.087458787818432E-4</v>
      </c>
      <c r="C290" s="66">
        <f t="shared" ref="C290:AC290" si="283">((1+C249)^C257)*C249/(((1+C249)^C257)-1)*(C247)/C261/(C258)</f>
        <v>5.087458787818432E-4</v>
      </c>
      <c r="D290" s="66">
        <f t="shared" si="283"/>
        <v>5.087458787818432E-4</v>
      </c>
      <c r="E290" s="66">
        <f t="shared" si="283"/>
        <v>5.087458787818432E-4</v>
      </c>
      <c r="F290" s="66">
        <f t="shared" si="283"/>
        <v>5.087458787818432E-4</v>
      </c>
      <c r="G290" s="66">
        <f t="shared" si="283"/>
        <v>5.087458787818432E-4</v>
      </c>
      <c r="H290" s="66">
        <f t="shared" si="283"/>
        <v>5.087458787818432E-4</v>
      </c>
      <c r="I290" s="66">
        <f t="shared" si="283"/>
        <v>5.087458787818432E-4</v>
      </c>
      <c r="J290" s="66">
        <f t="shared" si="283"/>
        <v>5.087458787818432E-4</v>
      </c>
      <c r="K290" s="66">
        <f t="shared" si="283"/>
        <v>5.087458787818432E-4</v>
      </c>
      <c r="L290" s="66">
        <f t="shared" si="283"/>
        <v>5.087458787818432E-4</v>
      </c>
      <c r="M290" s="66">
        <f t="shared" si="283"/>
        <v>5.087458787818432E-4</v>
      </c>
      <c r="N290" s="66">
        <f t="shared" si="283"/>
        <v>5.087458787818432E-4</v>
      </c>
      <c r="O290" s="66">
        <f t="shared" si="283"/>
        <v>5.087458787818432E-4</v>
      </c>
      <c r="P290" s="66">
        <f t="shared" si="283"/>
        <v>5.087458787818432E-4</v>
      </c>
      <c r="Q290" s="66">
        <f t="shared" si="283"/>
        <v>5.087458787818432E-4</v>
      </c>
      <c r="R290" s="66">
        <f t="shared" si="283"/>
        <v>5.087458787818432E-4</v>
      </c>
      <c r="S290" s="66">
        <f t="shared" si="283"/>
        <v>5.087458787818432E-4</v>
      </c>
      <c r="T290" s="66">
        <f t="shared" si="283"/>
        <v>5.087458787818432E-4</v>
      </c>
      <c r="U290" s="66">
        <f t="shared" si="283"/>
        <v>5.087458787818432E-4</v>
      </c>
      <c r="V290" s="66">
        <f t="shared" si="283"/>
        <v>5.087458787818432E-4</v>
      </c>
      <c r="W290" s="66">
        <f t="shared" si="283"/>
        <v>5.087458787818432E-4</v>
      </c>
      <c r="X290" s="66">
        <f t="shared" si="283"/>
        <v>5.087458787818432E-4</v>
      </c>
      <c r="Y290" s="66">
        <f t="shared" si="283"/>
        <v>5.087458787818432E-4</v>
      </c>
      <c r="Z290" s="66">
        <f t="shared" si="283"/>
        <v>5.087458787818432E-4</v>
      </c>
      <c r="AA290" s="66">
        <f t="shared" si="283"/>
        <v>5.087458787818432E-4</v>
      </c>
      <c r="AB290" s="66">
        <f t="shared" si="283"/>
        <v>5.087458787818432E-4</v>
      </c>
      <c r="AC290" s="66">
        <f t="shared" si="283"/>
        <v>5.087458787818432E-4</v>
      </c>
    </row>
    <row r="291" spans="1:29" x14ac:dyDescent="0.25">
      <c r="A291" s="30" t="str">
        <f t="shared" si="280"/>
        <v>Residual value (costumization)</v>
      </c>
      <c r="B291" s="69">
        <f>((1+B249)^B257)*B249/(((1+B249)^B257)-1)*(B248)/B261/(B258)</f>
        <v>-2.5437293939092156E-5</v>
      </c>
      <c r="C291" s="69">
        <f t="shared" ref="C291:AC291" si="284">((1+C249)^C257)*C249/(((1+C249)^C257)-1)*(C248)/C261/(C258)</f>
        <v>-2.5437293939092156E-5</v>
      </c>
      <c r="D291" s="69">
        <f t="shared" si="284"/>
        <v>-2.5437293939092156E-5</v>
      </c>
      <c r="E291" s="69">
        <f t="shared" si="284"/>
        <v>-2.5437293939092156E-5</v>
      </c>
      <c r="F291" s="69">
        <f t="shared" si="284"/>
        <v>-2.5437293939092156E-5</v>
      </c>
      <c r="G291" s="69">
        <f t="shared" si="284"/>
        <v>-2.5437293939092156E-5</v>
      </c>
      <c r="H291" s="69">
        <f t="shared" si="284"/>
        <v>-2.5437293939092156E-5</v>
      </c>
      <c r="I291" s="69">
        <f t="shared" si="284"/>
        <v>-2.5437293939092156E-5</v>
      </c>
      <c r="J291" s="69">
        <f t="shared" si="284"/>
        <v>-2.5437293939092156E-5</v>
      </c>
      <c r="K291" s="69">
        <f t="shared" si="284"/>
        <v>-2.5437293939092156E-5</v>
      </c>
      <c r="L291" s="69">
        <f t="shared" si="284"/>
        <v>-2.5437293939092156E-5</v>
      </c>
      <c r="M291" s="69">
        <f t="shared" si="284"/>
        <v>-2.5437293939092156E-5</v>
      </c>
      <c r="N291" s="69">
        <f t="shared" si="284"/>
        <v>-2.5437293939092156E-5</v>
      </c>
      <c r="O291" s="69">
        <f t="shared" si="284"/>
        <v>-2.5437293939092156E-5</v>
      </c>
      <c r="P291" s="69">
        <f t="shared" si="284"/>
        <v>-2.5437293939092156E-5</v>
      </c>
      <c r="Q291" s="69">
        <f t="shared" si="284"/>
        <v>-2.5437293939092156E-5</v>
      </c>
      <c r="R291" s="69">
        <f t="shared" si="284"/>
        <v>-2.5437293939092156E-5</v>
      </c>
      <c r="S291" s="69">
        <f t="shared" si="284"/>
        <v>-2.5437293939092156E-5</v>
      </c>
      <c r="T291" s="69">
        <f t="shared" si="284"/>
        <v>-2.5437293939092156E-5</v>
      </c>
      <c r="U291" s="69">
        <f t="shared" si="284"/>
        <v>-2.5437293939092156E-5</v>
      </c>
      <c r="V291" s="69">
        <f t="shared" si="284"/>
        <v>-2.5437293939092156E-5</v>
      </c>
      <c r="W291" s="69">
        <f t="shared" si="284"/>
        <v>-2.5437293939092156E-5</v>
      </c>
      <c r="X291" s="69">
        <f t="shared" si="284"/>
        <v>-2.5437293939092156E-5</v>
      </c>
      <c r="Y291" s="69">
        <f t="shared" si="284"/>
        <v>-2.5437293939092156E-5</v>
      </c>
      <c r="Z291" s="69">
        <f t="shared" si="284"/>
        <v>-2.5437293939092156E-5</v>
      </c>
      <c r="AA291" s="69">
        <f t="shared" si="284"/>
        <v>-2.5437293939092156E-5</v>
      </c>
      <c r="AB291" s="69">
        <f t="shared" si="284"/>
        <v>-2.5437293939092156E-5</v>
      </c>
      <c r="AC291" s="69">
        <f t="shared" si="284"/>
        <v>-2.5437293939092156E-5</v>
      </c>
    </row>
    <row r="292" spans="1:29" x14ac:dyDescent="0.25">
      <c r="A292" s="30" t="str">
        <f t="shared" si="280"/>
        <v>Opex fix (admin, crew, insurance)</v>
      </c>
      <c r="B292" s="66">
        <f>B250/B261/(B258)</f>
        <v>1.525610244097639E-3</v>
      </c>
      <c r="C292" s="66">
        <f t="shared" ref="C292:AC292" si="285">C250/C261/(C258)</f>
        <v>1.525610244097639E-3</v>
      </c>
      <c r="D292" s="66">
        <f t="shared" si="285"/>
        <v>1.525610244097639E-3</v>
      </c>
      <c r="E292" s="66">
        <f t="shared" si="285"/>
        <v>1.525610244097639E-3</v>
      </c>
      <c r="F292" s="66">
        <f t="shared" si="285"/>
        <v>1.525610244097639E-3</v>
      </c>
      <c r="G292" s="66">
        <f t="shared" si="285"/>
        <v>1.525610244097639E-3</v>
      </c>
      <c r="H292" s="66">
        <f t="shared" si="285"/>
        <v>1.525610244097639E-3</v>
      </c>
      <c r="I292" s="66">
        <f t="shared" si="285"/>
        <v>1.525610244097639E-3</v>
      </c>
      <c r="J292" s="66">
        <f t="shared" si="285"/>
        <v>1.525610244097639E-3</v>
      </c>
      <c r="K292" s="66">
        <f t="shared" si="285"/>
        <v>1.525610244097639E-3</v>
      </c>
      <c r="L292" s="66">
        <f t="shared" si="285"/>
        <v>1.525610244097639E-3</v>
      </c>
      <c r="M292" s="66">
        <f t="shared" si="285"/>
        <v>1.525610244097639E-3</v>
      </c>
      <c r="N292" s="66">
        <f t="shared" si="285"/>
        <v>1.525610244097639E-3</v>
      </c>
      <c r="O292" s="66">
        <f t="shared" si="285"/>
        <v>1.525610244097639E-3</v>
      </c>
      <c r="P292" s="66">
        <f t="shared" si="285"/>
        <v>1.525610244097639E-3</v>
      </c>
      <c r="Q292" s="66">
        <f t="shared" si="285"/>
        <v>1.525610244097639E-3</v>
      </c>
      <c r="R292" s="66">
        <f t="shared" si="285"/>
        <v>1.525610244097639E-3</v>
      </c>
      <c r="S292" s="66">
        <f t="shared" si="285"/>
        <v>1.525610244097639E-3</v>
      </c>
      <c r="T292" s="66">
        <f t="shared" si="285"/>
        <v>1.525610244097639E-3</v>
      </c>
      <c r="U292" s="66">
        <f t="shared" si="285"/>
        <v>1.525610244097639E-3</v>
      </c>
      <c r="V292" s="66">
        <f t="shared" si="285"/>
        <v>1.525610244097639E-3</v>
      </c>
      <c r="W292" s="66">
        <f t="shared" si="285"/>
        <v>1.525610244097639E-3</v>
      </c>
      <c r="X292" s="66">
        <f t="shared" si="285"/>
        <v>1.525610244097639E-3</v>
      </c>
      <c r="Y292" s="66">
        <f t="shared" si="285"/>
        <v>1.525610244097639E-3</v>
      </c>
      <c r="Z292" s="66">
        <f t="shared" si="285"/>
        <v>1.525610244097639E-3</v>
      </c>
      <c r="AA292" s="66">
        <f t="shared" si="285"/>
        <v>1.525610244097639E-3</v>
      </c>
      <c r="AB292" s="66">
        <f t="shared" si="285"/>
        <v>1.525610244097639E-3</v>
      </c>
      <c r="AC292" s="66">
        <f t="shared" si="285"/>
        <v>1.525610244097639E-3</v>
      </c>
    </row>
    <row r="293" spans="1:29" x14ac:dyDescent="0.25">
      <c r="A293" s="30" t="str">
        <f t="shared" si="280"/>
        <v>Opex maintenance &amp; repair</v>
      </c>
      <c r="B293" s="66">
        <f>B251/B261/(B258)</f>
        <v>1.6256502601040416E-3</v>
      </c>
      <c r="C293" s="66">
        <f t="shared" ref="C293:AC293" si="286">C251/C261/(C258)</f>
        <v>1.6256502601040416E-3</v>
      </c>
      <c r="D293" s="66">
        <f t="shared" si="286"/>
        <v>1.6256502601040416E-3</v>
      </c>
      <c r="E293" s="66">
        <f t="shared" si="286"/>
        <v>1.6256502601040416E-3</v>
      </c>
      <c r="F293" s="66">
        <f t="shared" si="286"/>
        <v>1.6256502601040416E-3</v>
      </c>
      <c r="G293" s="66">
        <f t="shared" si="286"/>
        <v>1.6256502601040416E-3</v>
      </c>
      <c r="H293" s="66">
        <f t="shared" si="286"/>
        <v>1.6256502601040416E-3</v>
      </c>
      <c r="I293" s="66">
        <f t="shared" si="286"/>
        <v>1.6256502601040416E-3</v>
      </c>
      <c r="J293" s="66">
        <f t="shared" si="286"/>
        <v>1.6256502601040416E-3</v>
      </c>
      <c r="K293" s="66">
        <f t="shared" si="286"/>
        <v>1.6256502601040416E-3</v>
      </c>
      <c r="L293" s="66">
        <f t="shared" si="286"/>
        <v>1.6256502601040416E-3</v>
      </c>
      <c r="M293" s="66">
        <f t="shared" si="286"/>
        <v>1.6256502601040416E-3</v>
      </c>
      <c r="N293" s="66">
        <f t="shared" si="286"/>
        <v>1.6256502601040416E-3</v>
      </c>
      <c r="O293" s="66">
        <f t="shared" si="286"/>
        <v>1.6256502601040416E-3</v>
      </c>
      <c r="P293" s="66">
        <f t="shared" si="286"/>
        <v>1.6256502601040416E-3</v>
      </c>
      <c r="Q293" s="66">
        <f t="shared" si="286"/>
        <v>1.6256502601040416E-3</v>
      </c>
      <c r="R293" s="66">
        <f t="shared" si="286"/>
        <v>1.6256502601040416E-3</v>
      </c>
      <c r="S293" s="66">
        <f t="shared" si="286"/>
        <v>1.6256502601040416E-3</v>
      </c>
      <c r="T293" s="66">
        <f t="shared" si="286"/>
        <v>1.6256502601040416E-3</v>
      </c>
      <c r="U293" s="66">
        <f t="shared" si="286"/>
        <v>1.6256502601040416E-3</v>
      </c>
      <c r="V293" s="66">
        <f t="shared" si="286"/>
        <v>1.6256502601040416E-3</v>
      </c>
      <c r="W293" s="66">
        <f t="shared" si="286"/>
        <v>1.6256502601040416E-3</v>
      </c>
      <c r="X293" s="66">
        <f t="shared" si="286"/>
        <v>1.6256502601040416E-3</v>
      </c>
      <c r="Y293" s="66">
        <f t="shared" si="286"/>
        <v>1.6256502601040416E-3</v>
      </c>
      <c r="Z293" s="66">
        <f t="shared" si="286"/>
        <v>1.6256502601040416E-3</v>
      </c>
      <c r="AA293" s="66">
        <f t="shared" si="286"/>
        <v>1.6256502601040416E-3</v>
      </c>
      <c r="AB293" s="66">
        <f t="shared" si="286"/>
        <v>1.6256502601040416E-3</v>
      </c>
      <c r="AC293" s="66">
        <f t="shared" si="286"/>
        <v>1.6256502601040416E-3</v>
      </c>
    </row>
    <row r="294" spans="1:29" x14ac:dyDescent="0.25">
      <c r="A294" s="30" t="str">
        <f t="shared" si="280"/>
        <v>Opex var (mode-fees, shunting)</v>
      </c>
      <c r="B294" s="66">
        <f>B252*B261/B261/(B258)</f>
        <v>1.6256502601040416E-3</v>
      </c>
      <c r="C294" s="66">
        <f t="shared" ref="C294:AC294" si="287">C252*C261/C261/(C258)</f>
        <v>1.6256502601040416E-3</v>
      </c>
      <c r="D294" s="66">
        <f t="shared" si="287"/>
        <v>1.6256502601040416E-3</v>
      </c>
      <c r="E294" s="66">
        <f t="shared" si="287"/>
        <v>1.6256502601040416E-3</v>
      </c>
      <c r="F294" s="66">
        <f t="shared" si="287"/>
        <v>1.6256502601040416E-3</v>
      </c>
      <c r="G294" s="66">
        <f t="shared" si="287"/>
        <v>1.6256502601040416E-3</v>
      </c>
      <c r="H294" s="66">
        <f t="shared" si="287"/>
        <v>1.6256502601040416E-3</v>
      </c>
      <c r="I294" s="66">
        <f t="shared" si="287"/>
        <v>1.6256502601040416E-3</v>
      </c>
      <c r="J294" s="66">
        <f t="shared" si="287"/>
        <v>1.6256502601040416E-3</v>
      </c>
      <c r="K294" s="66">
        <f t="shared" si="287"/>
        <v>1.6256502601040416E-3</v>
      </c>
      <c r="L294" s="66">
        <f t="shared" si="287"/>
        <v>1.6256502601040416E-3</v>
      </c>
      <c r="M294" s="66">
        <f t="shared" si="287"/>
        <v>1.6256502601040416E-3</v>
      </c>
      <c r="N294" s="66">
        <f t="shared" si="287"/>
        <v>1.6256502601040416E-3</v>
      </c>
      <c r="O294" s="66">
        <f t="shared" si="287"/>
        <v>1.6256502601040416E-3</v>
      </c>
      <c r="P294" s="66">
        <f t="shared" si="287"/>
        <v>1.6256502601040416E-3</v>
      </c>
      <c r="Q294" s="66">
        <f t="shared" si="287"/>
        <v>1.6256502601040416E-3</v>
      </c>
      <c r="R294" s="66">
        <f t="shared" si="287"/>
        <v>1.6256502601040416E-3</v>
      </c>
      <c r="S294" s="66">
        <f t="shared" si="287"/>
        <v>1.6256502601040416E-3</v>
      </c>
      <c r="T294" s="66">
        <f t="shared" si="287"/>
        <v>1.6256502601040416E-3</v>
      </c>
      <c r="U294" s="66">
        <f t="shared" si="287"/>
        <v>1.6256502601040416E-3</v>
      </c>
      <c r="V294" s="66">
        <f t="shared" si="287"/>
        <v>1.6256502601040416E-3</v>
      </c>
      <c r="W294" s="66">
        <f t="shared" si="287"/>
        <v>1.6256502601040416E-3</v>
      </c>
      <c r="X294" s="66">
        <f t="shared" si="287"/>
        <v>1.6256502601040416E-3</v>
      </c>
      <c r="Y294" s="66">
        <f t="shared" si="287"/>
        <v>1.6256502601040416E-3</v>
      </c>
      <c r="Z294" s="66">
        <f t="shared" si="287"/>
        <v>1.6256502601040416E-3</v>
      </c>
      <c r="AA294" s="66">
        <f t="shared" si="287"/>
        <v>1.6256502601040416E-3</v>
      </c>
      <c r="AB294" s="66">
        <f t="shared" si="287"/>
        <v>1.6256502601040416E-3</v>
      </c>
      <c r="AC294" s="66">
        <f t="shared" si="287"/>
        <v>1.6256502601040416E-3</v>
      </c>
    </row>
    <row r="295" spans="1:29" x14ac:dyDescent="0.25">
      <c r="A295" s="30" t="str">
        <f t="shared" si="280"/>
        <v>Fuel Cost</v>
      </c>
      <c r="B295" s="66">
        <f>B253*B254*B261/B261/(B258)</f>
        <v>1.1431958244874703E-3</v>
      </c>
      <c r="C295" s="66">
        <f t="shared" ref="C295:AC295" si="288">C253*C254*C261/C261/(C258)</f>
        <v>1.1431958244874703E-3</v>
      </c>
      <c r="D295" s="66">
        <f t="shared" si="288"/>
        <v>1.1431958244874703E-3</v>
      </c>
      <c r="E295" s="66">
        <f t="shared" si="288"/>
        <v>1.1431958244874703E-3</v>
      </c>
      <c r="F295" s="66">
        <f t="shared" si="288"/>
        <v>1.1431958244874703E-3</v>
      </c>
      <c r="G295" s="66">
        <f t="shared" si="288"/>
        <v>1.1431958244874703E-3</v>
      </c>
      <c r="H295" s="66">
        <f t="shared" si="288"/>
        <v>1.1431958244874703E-3</v>
      </c>
      <c r="I295" s="66">
        <f t="shared" si="288"/>
        <v>1.1431958244874703E-3</v>
      </c>
      <c r="J295" s="66">
        <f t="shared" si="288"/>
        <v>1.1723637823549879E-3</v>
      </c>
      <c r="K295" s="66">
        <f t="shared" si="288"/>
        <v>1.2015317402225059E-3</v>
      </c>
      <c r="L295" s="66">
        <f t="shared" si="288"/>
        <v>1.2306996980900235E-3</v>
      </c>
      <c r="M295" s="66">
        <f t="shared" si="288"/>
        <v>1.2598676559575413E-3</v>
      </c>
      <c r="N295" s="66">
        <f t="shared" si="288"/>
        <v>1.2890356138250585E-3</v>
      </c>
      <c r="O295" s="66">
        <f t="shared" si="288"/>
        <v>1.2768038895580351E-3</v>
      </c>
      <c r="P295" s="66">
        <f t="shared" si="288"/>
        <v>1.2645721652910116E-3</v>
      </c>
      <c r="Q295" s="66">
        <f t="shared" si="288"/>
        <v>1.2523404410239877E-3</v>
      </c>
      <c r="R295" s="66">
        <f t="shared" si="288"/>
        <v>1.2401087167569641E-3</v>
      </c>
      <c r="S295" s="66">
        <f t="shared" si="288"/>
        <v>1.2278769924899411E-3</v>
      </c>
      <c r="T295" s="66">
        <f t="shared" si="288"/>
        <v>1.2156452682229172E-3</v>
      </c>
      <c r="U295" s="66">
        <f t="shared" si="288"/>
        <v>1.2034135439558937E-3</v>
      </c>
      <c r="V295" s="66">
        <f t="shared" si="288"/>
        <v>1.1911818196888703E-3</v>
      </c>
      <c r="W295" s="66">
        <f t="shared" si="288"/>
        <v>1.1789500954218464E-3</v>
      </c>
      <c r="X295" s="66">
        <f t="shared" si="288"/>
        <v>1.1667183711548232E-3</v>
      </c>
      <c r="Y295" s="66">
        <f t="shared" si="288"/>
        <v>1.1544866468877998E-3</v>
      </c>
      <c r="Z295" s="66">
        <f t="shared" si="288"/>
        <v>1.1422549226207761E-3</v>
      </c>
      <c r="AA295" s="66">
        <f t="shared" si="288"/>
        <v>1.1300231983537524E-3</v>
      </c>
      <c r="AB295" s="66">
        <f t="shared" si="288"/>
        <v>1.1177914740867292E-3</v>
      </c>
      <c r="AC295" s="66">
        <f t="shared" si="288"/>
        <v>1.1055597498197058E-3</v>
      </c>
    </row>
    <row r="296" spans="1:29" x14ac:dyDescent="0.25">
      <c r="A296" s="59" t="str">
        <f>A259</f>
        <v>Market failure (av. utilization)</v>
      </c>
      <c r="B296" s="66">
        <f t="shared" ref="B296:AC296" si="289">B285/B259-B285/B258</f>
        <v>9.9182138614823563E-3</v>
      </c>
      <c r="C296" s="66">
        <f t="shared" si="289"/>
        <v>9.9182138614823563E-3</v>
      </c>
      <c r="D296" s="66">
        <f t="shared" si="289"/>
        <v>9.9182138614823563E-3</v>
      </c>
      <c r="E296" s="66">
        <f t="shared" si="289"/>
        <v>9.9182138614823563E-3</v>
      </c>
      <c r="F296" s="66">
        <f t="shared" si="289"/>
        <v>9.9182138614823563E-3</v>
      </c>
      <c r="G296" s="66">
        <f t="shared" si="289"/>
        <v>9.9182138614823563E-3</v>
      </c>
      <c r="H296" s="66">
        <f t="shared" si="289"/>
        <v>9.9182138614823563E-3</v>
      </c>
      <c r="I296" s="66">
        <f t="shared" si="289"/>
        <v>9.9182138614823563E-3</v>
      </c>
      <c r="J296" s="66">
        <f t="shared" si="289"/>
        <v>9.9574083048668306E-3</v>
      </c>
      <c r="K296" s="66">
        <f t="shared" si="289"/>
        <v>9.9966027482513084E-3</v>
      </c>
      <c r="L296" s="66">
        <f t="shared" si="289"/>
        <v>1.0035797191635786E-2</v>
      </c>
      <c r="M296" s="66">
        <f t="shared" si="289"/>
        <v>1.0074991635020264E-2</v>
      </c>
      <c r="N296" s="66">
        <f t="shared" si="289"/>
        <v>1.011418607840474E-2</v>
      </c>
      <c r="O296" s="66">
        <f t="shared" si="289"/>
        <v>1.0097749698920926E-2</v>
      </c>
      <c r="P296" s="66">
        <f t="shared" si="289"/>
        <v>1.0081313319437114E-2</v>
      </c>
      <c r="Q296" s="66">
        <f t="shared" si="289"/>
        <v>1.0064876939953303E-2</v>
      </c>
      <c r="R296" s="66">
        <f t="shared" si="289"/>
        <v>1.0048440560469489E-2</v>
      </c>
      <c r="S296" s="66">
        <f t="shared" si="289"/>
        <v>1.0032004180985673E-2</v>
      </c>
      <c r="T296" s="66">
        <f t="shared" si="289"/>
        <v>1.0015567801501863E-2</v>
      </c>
      <c r="U296" s="66">
        <f t="shared" si="289"/>
        <v>9.9991314220180504E-3</v>
      </c>
      <c r="V296" s="66">
        <f t="shared" si="289"/>
        <v>9.9826950425342363E-3</v>
      </c>
      <c r="W296" s="66">
        <f t="shared" si="289"/>
        <v>9.9662586630504223E-3</v>
      </c>
      <c r="X296" s="66">
        <f t="shared" si="289"/>
        <v>9.94982228356661E-3</v>
      </c>
      <c r="Y296" s="66">
        <f t="shared" si="289"/>
        <v>9.9333859040827959E-3</v>
      </c>
      <c r="Z296" s="66">
        <f t="shared" si="289"/>
        <v>9.9169495245989871E-3</v>
      </c>
      <c r="AA296" s="66">
        <f t="shared" si="289"/>
        <v>9.900513145115173E-3</v>
      </c>
      <c r="AB296" s="66">
        <f t="shared" si="289"/>
        <v>9.884076765631359E-3</v>
      </c>
      <c r="AC296" s="66">
        <f t="shared" si="289"/>
        <v>9.8676403861475467E-3</v>
      </c>
    </row>
    <row r="297" spans="1:29" x14ac:dyDescent="0.25">
      <c r="A297" s="59" t="str">
        <f>A260</f>
        <v>Payload loss (fuel)</v>
      </c>
      <c r="B297" s="66">
        <f>B285/(B258-B260)-B285/B258</f>
        <v>0</v>
      </c>
      <c r="C297" s="66">
        <f t="shared" ref="C297:AC297" si="290">C285/(C258-C260)-C285/C258</f>
        <v>0</v>
      </c>
      <c r="D297" s="66">
        <f t="shared" si="290"/>
        <v>0</v>
      </c>
      <c r="E297" s="66">
        <f t="shared" si="290"/>
        <v>0</v>
      </c>
      <c r="F297" s="66">
        <f t="shared" si="290"/>
        <v>0</v>
      </c>
      <c r="G297" s="66">
        <f t="shared" si="290"/>
        <v>0</v>
      </c>
      <c r="H297" s="66">
        <f t="shared" si="290"/>
        <v>0</v>
      </c>
      <c r="I297" s="66">
        <f t="shared" si="290"/>
        <v>0</v>
      </c>
      <c r="J297" s="66">
        <f t="shared" si="290"/>
        <v>0</v>
      </c>
      <c r="K297" s="66">
        <f t="shared" si="290"/>
        <v>0</v>
      </c>
      <c r="L297" s="66">
        <f t="shared" si="290"/>
        <v>0</v>
      </c>
      <c r="M297" s="66">
        <f t="shared" si="290"/>
        <v>0</v>
      </c>
      <c r="N297" s="66">
        <f t="shared" si="290"/>
        <v>0</v>
      </c>
      <c r="O297" s="66">
        <f t="shared" si="290"/>
        <v>0</v>
      </c>
      <c r="P297" s="66">
        <f t="shared" si="290"/>
        <v>0</v>
      </c>
      <c r="Q297" s="66">
        <f t="shared" si="290"/>
        <v>0</v>
      </c>
      <c r="R297" s="66">
        <f t="shared" si="290"/>
        <v>0</v>
      </c>
      <c r="S297" s="66">
        <f t="shared" si="290"/>
        <v>0</v>
      </c>
      <c r="T297" s="66">
        <f t="shared" si="290"/>
        <v>0</v>
      </c>
      <c r="U297" s="66">
        <f t="shared" si="290"/>
        <v>0</v>
      </c>
      <c r="V297" s="66">
        <f t="shared" si="290"/>
        <v>0</v>
      </c>
      <c r="W297" s="66">
        <f t="shared" si="290"/>
        <v>0</v>
      </c>
      <c r="X297" s="66">
        <f t="shared" si="290"/>
        <v>0</v>
      </c>
      <c r="Y297" s="66">
        <f t="shared" si="290"/>
        <v>0</v>
      </c>
      <c r="Z297" s="66">
        <f t="shared" si="290"/>
        <v>0</v>
      </c>
      <c r="AA297" s="66">
        <f t="shared" si="290"/>
        <v>0</v>
      </c>
      <c r="AB297" s="66">
        <f t="shared" si="290"/>
        <v>0</v>
      </c>
      <c r="AC297" s="66">
        <f t="shared" si="290"/>
        <v>0</v>
      </c>
    </row>
    <row r="298" spans="1:29" ht="15.75" thickBot="1" x14ac:dyDescent="0.3">
      <c r="A298" s="59" t="str">
        <f>A235</f>
        <v>Emission Cost</v>
      </c>
      <c r="B298" s="68">
        <f>B255*B261/B261/(B258)</f>
        <v>0</v>
      </c>
      <c r="C298" s="68">
        <f t="shared" ref="C298:AC298" si="291">C255*C261/C261/(C258)</f>
        <v>0</v>
      </c>
      <c r="D298" s="68">
        <f t="shared" si="291"/>
        <v>0</v>
      </c>
      <c r="E298" s="68">
        <f t="shared" si="291"/>
        <v>0</v>
      </c>
      <c r="F298" s="68">
        <f t="shared" si="291"/>
        <v>0</v>
      </c>
      <c r="G298" s="68">
        <f t="shared" si="291"/>
        <v>0</v>
      </c>
      <c r="H298" s="68">
        <f t="shared" si="291"/>
        <v>0</v>
      </c>
      <c r="I298" s="68">
        <f t="shared" si="291"/>
        <v>0</v>
      </c>
      <c r="J298" s="68">
        <f t="shared" si="291"/>
        <v>0</v>
      </c>
      <c r="K298" s="68">
        <f t="shared" si="291"/>
        <v>0</v>
      </c>
      <c r="L298" s="68">
        <f t="shared" si="291"/>
        <v>0</v>
      </c>
      <c r="M298" s="68">
        <f t="shared" si="291"/>
        <v>0</v>
      </c>
      <c r="N298" s="68">
        <f t="shared" si="291"/>
        <v>0</v>
      </c>
      <c r="O298" s="68">
        <f t="shared" si="291"/>
        <v>0</v>
      </c>
      <c r="P298" s="68">
        <f t="shared" si="291"/>
        <v>0</v>
      </c>
      <c r="Q298" s="68">
        <f t="shared" si="291"/>
        <v>0</v>
      </c>
      <c r="R298" s="68">
        <f t="shared" si="291"/>
        <v>0</v>
      </c>
      <c r="S298" s="68">
        <f t="shared" si="291"/>
        <v>0</v>
      </c>
      <c r="T298" s="68">
        <f t="shared" si="291"/>
        <v>0</v>
      </c>
      <c r="U298" s="68">
        <f t="shared" si="291"/>
        <v>0</v>
      </c>
      <c r="V298" s="68">
        <f t="shared" si="291"/>
        <v>0</v>
      </c>
      <c r="W298" s="68">
        <f t="shared" si="291"/>
        <v>0</v>
      </c>
      <c r="X298" s="68">
        <f t="shared" si="291"/>
        <v>0</v>
      </c>
      <c r="Y298" s="68">
        <f t="shared" si="291"/>
        <v>0</v>
      </c>
      <c r="Z298" s="68">
        <f t="shared" si="291"/>
        <v>0</v>
      </c>
      <c r="AA298" s="68">
        <f t="shared" si="291"/>
        <v>0</v>
      </c>
      <c r="AB298" s="68">
        <f t="shared" si="291"/>
        <v>0</v>
      </c>
      <c r="AC298" s="68">
        <f t="shared" si="291"/>
        <v>0</v>
      </c>
    </row>
    <row r="299" spans="1:29" ht="15.75" thickBot="1" x14ac:dyDescent="0.3">
      <c r="A299" s="31" t="s">
        <v>210</v>
      </c>
      <c r="B299" s="77">
        <f>B288+B289+B290+B291+B292+B293+B294+B295+B296+B297+B298</f>
        <v>1.7248335635637553E-2</v>
      </c>
      <c r="C299" s="67">
        <f t="shared" ref="C299:AC299" si="292">C288+C289+C290+C291+C292+C293+C294+C295+C296+C297+C298</f>
        <v>1.7248335635637553E-2</v>
      </c>
      <c r="D299" s="67">
        <f t="shared" si="292"/>
        <v>1.7248335635637553E-2</v>
      </c>
      <c r="E299" s="67">
        <f t="shared" si="292"/>
        <v>1.7248335635637553E-2</v>
      </c>
      <c r="F299" s="67">
        <f t="shared" si="292"/>
        <v>1.7248335635637553E-2</v>
      </c>
      <c r="G299" s="67">
        <f t="shared" si="292"/>
        <v>1.7248335635637553E-2</v>
      </c>
      <c r="H299" s="67">
        <f t="shared" si="292"/>
        <v>1.7248335635637553E-2</v>
      </c>
      <c r="I299" s="67">
        <f t="shared" si="292"/>
        <v>1.7248335635637553E-2</v>
      </c>
      <c r="J299" s="67">
        <f t="shared" si="292"/>
        <v>1.7316698036889545E-2</v>
      </c>
      <c r="K299" s="67">
        <f t="shared" si="292"/>
        <v>1.7385060438141541E-2</v>
      </c>
      <c r="L299" s="67">
        <f t="shared" si="292"/>
        <v>1.7453422839393537E-2</v>
      </c>
      <c r="M299" s="67">
        <f t="shared" si="292"/>
        <v>1.7521785240645533E-2</v>
      </c>
      <c r="N299" s="67">
        <f t="shared" si="292"/>
        <v>1.7590147641897525E-2</v>
      </c>
      <c r="O299" s="67">
        <f t="shared" si="292"/>
        <v>1.7561479538146688E-2</v>
      </c>
      <c r="P299" s="67">
        <f t="shared" si="292"/>
        <v>1.7532811434395855E-2</v>
      </c>
      <c r="Q299" s="67">
        <f t="shared" si="292"/>
        <v>1.7504143330645018E-2</v>
      </c>
      <c r="R299" s="67">
        <f t="shared" si="292"/>
        <v>1.7475475226894181E-2</v>
      </c>
      <c r="S299" s="67">
        <f t="shared" si="292"/>
        <v>1.7446807123143341E-2</v>
      </c>
      <c r="T299" s="67">
        <f t="shared" si="292"/>
        <v>1.7418139019392508E-2</v>
      </c>
      <c r="U299" s="67">
        <f t="shared" si="292"/>
        <v>1.7389470915641671E-2</v>
      </c>
      <c r="V299" s="67">
        <f t="shared" si="292"/>
        <v>1.7360802811890834E-2</v>
      </c>
      <c r="W299" s="67">
        <f t="shared" si="292"/>
        <v>1.7332134708139997E-2</v>
      </c>
      <c r="X299" s="67">
        <f t="shared" si="292"/>
        <v>1.730346660438916E-2</v>
      </c>
      <c r="Y299" s="67">
        <f t="shared" si="292"/>
        <v>1.7274798500638323E-2</v>
      </c>
      <c r="Z299" s="67">
        <f t="shared" si="292"/>
        <v>1.724613039688749E-2</v>
      </c>
      <c r="AA299" s="67">
        <f t="shared" si="292"/>
        <v>1.7217462293136653E-2</v>
      </c>
      <c r="AB299" s="67">
        <f t="shared" si="292"/>
        <v>1.7188794189385816E-2</v>
      </c>
      <c r="AC299" s="67">
        <f t="shared" si="292"/>
        <v>1.716012608563498E-2</v>
      </c>
    </row>
    <row r="301" spans="1:29" x14ac:dyDescent="0.25">
      <c r="B301" s="40"/>
    </row>
    <row r="324" spans="1:44" s="3" customFormat="1" ht="21" x14ac:dyDescent="0.35">
      <c r="A324" s="2" t="str">
        <f>'Parameter Input'!A182</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Input'!$L$159</f>
        <v>5000000</v>
      </c>
      <c r="C334" s="42">
        <f>'Parameter Input'!$M$159</f>
        <v>5000000</v>
      </c>
      <c r="D334" s="1" t="s">
        <v>15</v>
      </c>
      <c r="L334" s="51">
        <f>'Parameter Input'!$O$159</f>
        <v>12</v>
      </c>
      <c r="M334" s="52">
        <v>0</v>
      </c>
      <c r="N334" s="52">
        <v>1</v>
      </c>
      <c r="O334" s="52">
        <f>'Parameter Input'!$P$159</f>
        <v>0.9</v>
      </c>
      <c r="P334" s="53">
        <f>'Parameter Input'!$Q$159</f>
        <v>0.4</v>
      </c>
      <c r="Q334" s="4">
        <f t="shared" ref="Q334:AR343" si="293">$N334+($M334-$N334)*((1/(1+EXP(-$P334*(Q$9-$L334)))^$O334))</f>
        <v>0.9867978615748374</v>
      </c>
      <c r="R334" s="4">
        <f t="shared" si="293"/>
        <v>0.98114509762858249</v>
      </c>
      <c r="S334" s="4">
        <f t="shared" si="293"/>
        <v>0.97311898315872036</v>
      </c>
      <c r="T334" s="4">
        <f t="shared" si="293"/>
        <v>0.96177484161592774</v>
      </c>
      <c r="U334" s="4">
        <f t="shared" si="293"/>
        <v>0.94584787155511363</v>
      </c>
      <c r="V334" s="4">
        <f t="shared" si="293"/>
        <v>0.92370360150141495</v>
      </c>
      <c r="W334" s="4">
        <f t="shared" si="293"/>
        <v>0.89334463567658451</v>
      </c>
      <c r="X334" s="4">
        <f t="shared" si="293"/>
        <v>0.85254543874327005</v>
      </c>
      <c r="Y334" s="4">
        <f t="shared" si="293"/>
        <v>0.79921300652623883</v>
      </c>
      <c r="Z334" s="4">
        <f t="shared" si="293"/>
        <v>0.73204982249993378</v>
      </c>
      <c r="AA334" s="4">
        <f t="shared" si="293"/>
        <v>0.65145592958786691</v>
      </c>
      <c r="AB334" s="4">
        <f t="shared" si="293"/>
        <v>0.56032247880849573</v>
      </c>
      <c r="AC334" s="4">
        <f t="shared" si="293"/>
        <v>0.46411326873185343</v>
      </c>
      <c r="AD334" s="4">
        <f t="shared" si="293"/>
        <v>0.36979727595523937</v>
      </c>
      <c r="AE334" s="4">
        <f t="shared" si="293"/>
        <v>0.28393948637231203</v>
      </c>
      <c r="AF334" s="4">
        <f t="shared" si="293"/>
        <v>0.21097259161117732</v>
      </c>
      <c r="AG334" s="4">
        <f t="shared" si="293"/>
        <v>0.15253917653798199</v>
      </c>
      <c r="AH334" s="4">
        <f t="shared" si="293"/>
        <v>0.10795188737709993</v>
      </c>
      <c r="AI334" s="4">
        <f t="shared" si="293"/>
        <v>7.5176653938091809E-2</v>
      </c>
      <c r="AJ334" s="4">
        <f t="shared" si="293"/>
        <v>5.1742836177502194E-2</v>
      </c>
      <c r="AK334" s="4">
        <f t="shared" si="293"/>
        <v>3.5319190625345942E-2</v>
      </c>
      <c r="AL334" s="4">
        <f t="shared" si="293"/>
        <v>2.3969442072658165E-2</v>
      </c>
      <c r="AM334" s="4">
        <f t="shared" si="293"/>
        <v>1.6202243558389728E-2</v>
      </c>
      <c r="AN334" s="4">
        <f t="shared" si="293"/>
        <v>1.0922240564108399E-2</v>
      </c>
      <c r="AO334" s="4">
        <f t="shared" si="293"/>
        <v>7.3493212906090566E-3</v>
      </c>
      <c r="AP334" s="4">
        <f t="shared" si="293"/>
        <v>4.9390262185057265E-3</v>
      </c>
      <c r="AQ334" s="4">
        <f t="shared" si="293"/>
        <v>3.3164275492956197E-3</v>
      </c>
      <c r="AR334" s="4">
        <f t="shared" si="293"/>
        <v>2.2256362146679809E-3</v>
      </c>
    </row>
    <row r="335" spans="1:44" x14ac:dyDescent="0.25">
      <c r="A335" s="24" t="s">
        <v>28</v>
      </c>
      <c r="B335" s="60">
        <f>'Parameter Input'!$L$160</f>
        <v>-750000</v>
      </c>
      <c r="C335" s="61">
        <f>'Parameter Input'!$M$160</f>
        <v>-750000</v>
      </c>
      <c r="D335" s="1" t="s">
        <v>15</v>
      </c>
      <c r="L335" s="54">
        <f>'Parameter Input'!$O$160</f>
        <v>12</v>
      </c>
      <c r="M335" s="37">
        <v>0</v>
      </c>
      <c r="N335" s="37">
        <v>1</v>
      </c>
      <c r="O335" s="37">
        <f>'Parameter Input'!$P$160</f>
        <v>0.9</v>
      </c>
      <c r="P335" s="55">
        <f>'Parameter Input'!$Q$160</f>
        <v>0.4</v>
      </c>
      <c r="Q335" s="4">
        <f t="shared" si="293"/>
        <v>0.9867978615748374</v>
      </c>
      <c r="R335" s="4">
        <f t="shared" si="293"/>
        <v>0.98114509762858249</v>
      </c>
      <c r="S335" s="4">
        <f t="shared" si="293"/>
        <v>0.97311898315872036</v>
      </c>
      <c r="T335" s="4">
        <f t="shared" si="293"/>
        <v>0.96177484161592774</v>
      </c>
      <c r="U335" s="4">
        <f t="shared" si="293"/>
        <v>0.94584787155511363</v>
      </c>
      <c r="V335" s="4">
        <f t="shared" si="293"/>
        <v>0.92370360150141495</v>
      </c>
      <c r="W335" s="4">
        <f t="shared" si="293"/>
        <v>0.89334463567658451</v>
      </c>
      <c r="X335" s="4">
        <f t="shared" si="293"/>
        <v>0.85254543874327005</v>
      </c>
      <c r="Y335" s="4">
        <f t="shared" si="293"/>
        <v>0.79921300652623883</v>
      </c>
      <c r="Z335" s="4">
        <f t="shared" si="293"/>
        <v>0.73204982249993378</v>
      </c>
      <c r="AA335" s="4">
        <f t="shared" si="293"/>
        <v>0.65145592958786691</v>
      </c>
      <c r="AB335" s="4">
        <f t="shared" si="293"/>
        <v>0.56032247880849573</v>
      </c>
      <c r="AC335" s="4">
        <f t="shared" si="293"/>
        <v>0.46411326873185343</v>
      </c>
      <c r="AD335" s="4">
        <f t="shared" si="293"/>
        <v>0.36979727595523937</v>
      </c>
      <c r="AE335" s="4">
        <f t="shared" si="293"/>
        <v>0.28393948637231203</v>
      </c>
      <c r="AF335" s="4">
        <f t="shared" si="293"/>
        <v>0.21097259161117732</v>
      </c>
      <c r="AG335" s="4">
        <f t="shared" si="293"/>
        <v>0.15253917653798199</v>
      </c>
      <c r="AH335" s="4">
        <f t="shared" si="293"/>
        <v>0.10795188737709993</v>
      </c>
      <c r="AI335" s="4">
        <f t="shared" si="293"/>
        <v>7.5176653938091809E-2</v>
      </c>
      <c r="AJ335" s="4">
        <f t="shared" si="293"/>
        <v>5.1742836177502194E-2</v>
      </c>
      <c r="AK335" s="4">
        <f t="shared" si="293"/>
        <v>3.5319190625345942E-2</v>
      </c>
      <c r="AL335" s="4">
        <f t="shared" si="293"/>
        <v>2.3969442072658165E-2</v>
      </c>
      <c r="AM335" s="4">
        <f t="shared" si="293"/>
        <v>1.6202243558389728E-2</v>
      </c>
      <c r="AN335" s="4">
        <f t="shared" si="293"/>
        <v>1.0922240564108399E-2</v>
      </c>
      <c r="AO335" s="4">
        <f t="shared" si="293"/>
        <v>7.3493212906090566E-3</v>
      </c>
      <c r="AP335" s="4">
        <f t="shared" si="293"/>
        <v>4.9390262185057265E-3</v>
      </c>
      <c r="AQ335" s="4">
        <f t="shared" si="293"/>
        <v>3.3164275492956197E-3</v>
      </c>
      <c r="AR335" s="4">
        <f t="shared" si="293"/>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93"/>
        <v>0.9867978615748374</v>
      </c>
      <c r="R336" s="4">
        <f t="shared" si="293"/>
        <v>0.98114509762858249</v>
      </c>
      <c r="S336" s="4">
        <f t="shared" si="293"/>
        <v>0.97311898315872036</v>
      </c>
      <c r="T336" s="4">
        <f t="shared" si="293"/>
        <v>0.96177484161592774</v>
      </c>
      <c r="U336" s="4">
        <f t="shared" si="293"/>
        <v>0.94584787155511363</v>
      </c>
      <c r="V336" s="4">
        <f t="shared" si="293"/>
        <v>0.92370360150141495</v>
      </c>
      <c r="W336" s="4">
        <f t="shared" si="293"/>
        <v>0.89334463567658451</v>
      </c>
      <c r="X336" s="4">
        <f t="shared" si="293"/>
        <v>0.85254543874327005</v>
      </c>
      <c r="Y336" s="4">
        <f t="shared" si="293"/>
        <v>0.79921300652623883</v>
      </c>
      <c r="Z336" s="4">
        <f t="shared" si="293"/>
        <v>0.73204982249993378</v>
      </c>
      <c r="AA336" s="4">
        <f t="shared" si="293"/>
        <v>0.65145592958786691</v>
      </c>
      <c r="AB336" s="4">
        <f t="shared" si="293"/>
        <v>0.56032247880849573</v>
      </c>
      <c r="AC336" s="4">
        <f t="shared" si="293"/>
        <v>0.46411326873185343</v>
      </c>
      <c r="AD336" s="4">
        <f t="shared" si="293"/>
        <v>0.36979727595523937</v>
      </c>
      <c r="AE336" s="4">
        <f t="shared" si="293"/>
        <v>0.28393948637231203</v>
      </c>
      <c r="AF336" s="4">
        <f t="shared" si="293"/>
        <v>0.21097259161117732</v>
      </c>
      <c r="AG336" s="4">
        <f t="shared" si="293"/>
        <v>0.15253917653798199</v>
      </c>
      <c r="AH336" s="4">
        <f t="shared" si="293"/>
        <v>0.10795188737709993</v>
      </c>
      <c r="AI336" s="4">
        <f t="shared" si="293"/>
        <v>7.5176653938091809E-2</v>
      </c>
      <c r="AJ336" s="4">
        <f t="shared" si="293"/>
        <v>5.1742836177502194E-2</v>
      </c>
      <c r="AK336" s="4">
        <f t="shared" si="293"/>
        <v>3.5319190625345942E-2</v>
      </c>
      <c r="AL336" s="4">
        <f t="shared" si="293"/>
        <v>2.3969442072658165E-2</v>
      </c>
      <c r="AM336" s="4">
        <f t="shared" si="293"/>
        <v>1.6202243558389728E-2</v>
      </c>
      <c r="AN336" s="4">
        <f t="shared" si="293"/>
        <v>1.0922240564108399E-2</v>
      </c>
      <c r="AO336" s="4">
        <f t="shared" si="293"/>
        <v>7.3493212906090566E-3</v>
      </c>
      <c r="AP336" s="4">
        <f t="shared" si="293"/>
        <v>4.9390262185057265E-3</v>
      </c>
      <c r="AQ336" s="4">
        <f t="shared" si="293"/>
        <v>3.3164275492956197E-3</v>
      </c>
      <c r="AR336" s="4">
        <f t="shared" si="293"/>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93"/>
        <v>0.9867978615748374</v>
      </c>
      <c r="R337" s="4">
        <f t="shared" si="293"/>
        <v>0.98114509762858249</v>
      </c>
      <c r="S337" s="4">
        <f t="shared" si="293"/>
        <v>0.97311898315872036</v>
      </c>
      <c r="T337" s="4">
        <f t="shared" si="293"/>
        <v>0.96177484161592774</v>
      </c>
      <c r="U337" s="4">
        <f t="shared" si="293"/>
        <v>0.94584787155511363</v>
      </c>
      <c r="V337" s="4">
        <f t="shared" si="293"/>
        <v>0.92370360150141495</v>
      </c>
      <c r="W337" s="4">
        <f t="shared" si="293"/>
        <v>0.89334463567658451</v>
      </c>
      <c r="X337" s="4">
        <f t="shared" si="293"/>
        <v>0.85254543874327005</v>
      </c>
      <c r="Y337" s="4">
        <f t="shared" si="293"/>
        <v>0.79921300652623883</v>
      </c>
      <c r="Z337" s="4">
        <f t="shared" si="293"/>
        <v>0.73204982249993378</v>
      </c>
      <c r="AA337" s="4">
        <f t="shared" si="293"/>
        <v>0.65145592958786691</v>
      </c>
      <c r="AB337" s="4">
        <f t="shared" si="293"/>
        <v>0.56032247880849573</v>
      </c>
      <c r="AC337" s="4">
        <f t="shared" si="293"/>
        <v>0.46411326873185343</v>
      </c>
      <c r="AD337" s="4">
        <f t="shared" si="293"/>
        <v>0.36979727595523937</v>
      </c>
      <c r="AE337" s="4">
        <f t="shared" si="293"/>
        <v>0.28393948637231203</v>
      </c>
      <c r="AF337" s="4">
        <f t="shared" si="293"/>
        <v>0.21097259161117732</v>
      </c>
      <c r="AG337" s="4">
        <f t="shared" si="293"/>
        <v>0.15253917653798199</v>
      </c>
      <c r="AH337" s="4">
        <f t="shared" si="293"/>
        <v>0.10795188737709993</v>
      </c>
      <c r="AI337" s="4">
        <f t="shared" si="293"/>
        <v>7.5176653938091809E-2</v>
      </c>
      <c r="AJ337" s="4">
        <f t="shared" si="293"/>
        <v>5.1742836177502194E-2</v>
      </c>
      <c r="AK337" s="4">
        <f t="shared" si="293"/>
        <v>3.5319190625345942E-2</v>
      </c>
      <c r="AL337" s="4">
        <f t="shared" si="293"/>
        <v>2.3969442072658165E-2</v>
      </c>
      <c r="AM337" s="4">
        <f t="shared" si="293"/>
        <v>1.6202243558389728E-2</v>
      </c>
      <c r="AN337" s="4">
        <f t="shared" si="293"/>
        <v>1.0922240564108399E-2</v>
      </c>
      <c r="AO337" s="4">
        <f t="shared" si="293"/>
        <v>7.3493212906090566E-3</v>
      </c>
      <c r="AP337" s="4">
        <f t="shared" si="293"/>
        <v>4.9390262185057265E-3</v>
      </c>
      <c r="AQ337" s="4">
        <f t="shared" si="293"/>
        <v>3.3164275492956197E-3</v>
      </c>
      <c r="AR337" s="4">
        <f t="shared" si="293"/>
        <v>2.2256362146679809E-3</v>
      </c>
    </row>
    <row r="338" spans="1:44" x14ac:dyDescent="0.25">
      <c r="A338" s="24" t="s">
        <v>79</v>
      </c>
      <c r="B338" s="45">
        <f>'Parameter Input'!$L$166</f>
        <v>0.06</v>
      </c>
      <c r="C338" s="46">
        <f>'Parameter Input'!$M$166</f>
        <v>0.06</v>
      </c>
      <c r="D338" s="1" t="s">
        <v>57</v>
      </c>
      <c r="L338" s="54">
        <f>'Parameter Input'!$O$166</f>
        <v>12</v>
      </c>
      <c r="M338" s="37">
        <v>0</v>
      </c>
      <c r="N338" s="37">
        <v>1</v>
      </c>
      <c r="O338" s="37">
        <f>'Parameter Input'!$P$166</f>
        <v>0.9</v>
      </c>
      <c r="P338" s="55">
        <f>'Parameter Input'!$Q$166</f>
        <v>0.4</v>
      </c>
      <c r="Q338" s="4">
        <f t="shared" si="293"/>
        <v>0.9867978615748374</v>
      </c>
      <c r="R338" s="4">
        <f t="shared" si="293"/>
        <v>0.98114509762858249</v>
      </c>
      <c r="S338" s="4">
        <f t="shared" si="293"/>
        <v>0.97311898315872036</v>
      </c>
      <c r="T338" s="4">
        <f t="shared" si="293"/>
        <v>0.96177484161592774</v>
      </c>
      <c r="U338" s="4">
        <f t="shared" si="293"/>
        <v>0.94584787155511363</v>
      </c>
      <c r="V338" s="4">
        <f t="shared" si="293"/>
        <v>0.92370360150141495</v>
      </c>
      <c r="W338" s="4">
        <f t="shared" si="293"/>
        <v>0.89334463567658451</v>
      </c>
      <c r="X338" s="4">
        <f t="shared" si="293"/>
        <v>0.85254543874327005</v>
      </c>
      <c r="Y338" s="4">
        <f t="shared" si="293"/>
        <v>0.79921300652623883</v>
      </c>
      <c r="Z338" s="4">
        <f t="shared" si="293"/>
        <v>0.73204982249993378</v>
      </c>
      <c r="AA338" s="4">
        <f t="shared" si="293"/>
        <v>0.65145592958786691</v>
      </c>
      <c r="AB338" s="4">
        <f t="shared" si="293"/>
        <v>0.56032247880849573</v>
      </c>
      <c r="AC338" s="4">
        <f t="shared" si="293"/>
        <v>0.46411326873185343</v>
      </c>
      <c r="AD338" s="4">
        <f t="shared" si="293"/>
        <v>0.36979727595523937</v>
      </c>
      <c r="AE338" s="4">
        <f t="shared" si="293"/>
        <v>0.28393948637231203</v>
      </c>
      <c r="AF338" s="4">
        <f t="shared" si="293"/>
        <v>0.21097259161117732</v>
      </c>
      <c r="AG338" s="4">
        <f t="shared" si="293"/>
        <v>0.15253917653798199</v>
      </c>
      <c r="AH338" s="4">
        <f t="shared" si="293"/>
        <v>0.10795188737709993</v>
      </c>
      <c r="AI338" s="4">
        <f t="shared" si="293"/>
        <v>7.5176653938091809E-2</v>
      </c>
      <c r="AJ338" s="4">
        <f t="shared" si="293"/>
        <v>5.1742836177502194E-2</v>
      </c>
      <c r="AK338" s="4">
        <f t="shared" si="293"/>
        <v>3.5319190625345942E-2</v>
      </c>
      <c r="AL338" s="4">
        <f t="shared" si="293"/>
        <v>2.3969442072658165E-2</v>
      </c>
      <c r="AM338" s="4">
        <f t="shared" si="293"/>
        <v>1.6202243558389728E-2</v>
      </c>
      <c r="AN338" s="4">
        <f t="shared" si="293"/>
        <v>1.0922240564108399E-2</v>
      </c>
      <c r="AO338" s="4">
        <f t="shared" si="293"/>
        <v>7.3493212906090566E-3</v>
      </c>
      <c r="AP338" s="4">
        <f t="shared" si="293"/>
        <v>4.9390262185057265E-3</v>
      </c>
      <c r="AQ338" s="4">
        <f t="shared" si="293"/>
        <v>3.3164275492956197E-3</v>
      </c>
      <c r="AR338" s="4">
        <f t="shared" si="293"/>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93"/>
        <v>0.9867978615748374</v>
      </c>
      <c r="R339" s="4">
        <f t="shared" si="293"/>
        <v>0.98114509762858249</v>
      </c>
      <c r="S339" s="4">
        <f t="shared" si="293"/>
        <v>0.97311898315872036</v>
      </c>
      <c r="T339" s="4">
        <f t="shared" si="293"/>
        <v>0.96177484161592774</v>
      </c>
      <c r="U339" s="4">
        <f t="shared" si="293"/>
        <v>0.94584787155511363</v>
      </c>
      <c r="V339" s="4">
        <f t="shared" si="293"/>
        <v>0.92370360150141495</v>
      </c>
      <c r="W339" s="4">
        <f t="shared" si="293"/>
        <v>0.89334463567658451</v>
      </c>
      <c r="X339" s="4">
        <f t="shared" si="293"/>
        <v>0.85254543874327005</v>
      </c>
      <c r="Y339" s="4">
        <f t="shared" si="293"/>
        <v>0.79921300652623883</v>
      </c>
      <c r="Z339" s="4">
        <f t="shared" si="293"/>
        <v>0.73204982249993378</v>
      </c>
      <c r="AA339" s="4">
        <f t="shared" si="293"/>
        <v>0.65145592958786691</v>
      </c>
      <c r="AB339" s="4">
        <f t="shared" si="293"/>
        <v>0.56032247880849573</v>
      </c>
      <c r="AC339" s="4">
        <f t="shared" si="293"/>
        <v>0.46411326873185343</v>
      </c>
      <c r="AD339" s="4">
        <f t="shared" si="293"/>
        <v>0.36979727595523937</v>
      </c>
      <c r="AE339" s="4">
        <f t="shared" si="293"/>
        <v>0.28393948637231203</v>
      </c>
      <c r="AF339" s="4">
        <f t="shared" si="293"/>
        <v>0.21097259161117732</v>
      </c>
      <c r="AG339" s="4">
        <f t="shared" si="293"/>
        <v>0.15253917653798199</v>
      </c>
      <c r="AH339" s="4">
        <f t="shared" si="293"/>
        <v>0.10795188737709993</v>
      </c>
      <c r="AI339" s="4">
        <f t="shared" si="293"/>
        <v>7.5176653938091809E-2</v>
      </c>
      <c r="AJ339" s="4">
        <f t="shared" si="293"/>
        <v>5.1742836177502194E-2</v>
      </c>
      <c r="AK339" s="4">
        <f t="shared" si="293"/>
        <v>3.5319190625345942E-2</v>
      </c>
      <c r="AL339" s="4">
        <f t="shared" si="293"/>
        <v>2.3969442072658165E-2</v>
      </c>
      <c r="AM339" s="4">
        <f t="shared" si="293"/>
        <v>1.6202243558389728E-2</v>
      </c>
      <c r="AN339" s="4">
        <f t="shared" si="293"/>
        <v>1.0922240564108399E-2</v>
      </c>
      <c r="AO339" s="4">
        <f t="shared" si="293"/>
        <v>7.3493212906090566E-3</v>
      </c>
      <c r="AP339" s="4">
        <f t="shared" si="293"/>
        <v>4.9390262185057265E-3</v>
      </c>
      <c r="AQ339" s="4">
        <f t="shared" si="293"/>
        <v>3.3164275492956197E-3</v>
      </c>
      <c r="AR339" s="4">
        <f t="shared" si="293"/>
        <v>2.2256362146679809E-3</v>
      </c>
    </row>
    <row r="340" spans="1:44" x14ac:dyDescent="0.25">
      <c r="A340" s="24" t="s">
        <v>52</v>
      </c>
      <c r="B340" s="43">
        <f>'Parameter Input'!$L$162</f>
        <v>650000</v>
      </c>
      <c r="C340" s="44">
        <f>'Parameter Input'!$M$162</f>
        <v>650000</v>
      </c>
      <c r="D340" s="1" t="s">
        <v>38</v>
      </c>
      <c r="L340" s="54">
        <f>'Parameter Input'!$O$162</f>
        <v>12</v>
      </c>
      <c r="M340" s="37">
        <v>0</v>
      </c>
      <c r="N340" s="37">
        <v>1</v>
      </c>
      <c r="O340" s="37">
        <f>'Parameter Input'!$P$162</f>
        <v>0.9</v>
      </c>
      <c r="P340" s="55">
        <f>'Parameter Input'!$Q$162</f>
        <v>0.4</v>
      </c>
      <c r="Q340" s="4">
        <f t="shared" si="293"/>
        <v>0.9867978615748374</v>
      </c>
      <c r="R340" s="4">
        <f t="shared" si="293"/>
        <v>0.98114509762858249</v>
      </c>
      <c r="S340" s="4">
        <f t="shared" si="293"/>
        <v>0.97311898315872036</v>
      </c>
      <c r="T340" s="4">
        <f t="shared" si="293"/>
        <v>0.96177484161592774</v>
      </c>
      <c r="U340" s="4">
        <f t="shared" si="293"/>
        <v>0.94584787155511363</v>
      </c>
      <c r="V340" s="4">
        <f t="shared" si="293"/>
        <v>0.92370360150141495</v>
      </c>
      <c r="W340" s="4">
        <f t="shared" si="293"/>
        <v>0.89334463567658451</v>
      </c>
      <c r="X340" s="4">
        <f t="shared" si="293"/>
        <v>0.85254543874327005</v>
      </c>
      <c r="Y340" s="4">
        <f t="shared" si="293"/>
        <v>0.79921300652623883</v>
      </c>
      <c r="Z340" s="4">
        <f t="shared" si="293"/>
        <v>0.73204982249993378</v>
      </c>
      <c r="AA340" s="4">
        <f t="shared" si="293"/>
        <v>0.65145592958786691</v>
      </c>
      <c r="AB340" s="4">
        <f t="shared" si="293"/>
        <v>0.56032247880849573</v>
      </c>
      <c r="AC340" s="4">
        <f t="shared" si="293"/>
        <v>0.46411326873185343</v>
      </c>
      <c r="AD340" s="4">
        <f t="shared" si="293"/>
        <v>0.36979727595523937</v>
      </c>
      <c r="AE340" s="4">
        <f t="shared" si="293"/>
        <v>0.28393948637231203</v>
      </c>
      <c r="AF340" s="4">
        <f t="shared" si="293"/>
        <v>0.21097259161117732</v>
      </c>
      <c r="AG340" s="4">
        <f t="shared" si="293"/>
        <v>0.15253917653798199</v>
      </c>
      <c r="AH340" s="4">
        <f t="shared" si="293"/>
        <v>0.10795188737709993</v>
      </c>
      <c r="AI340" s="4">
        <f t="shared" si="293"/>
        <v>7.5176653938091809E-2</v>
      </c>
      <c r="AJ340" s="4">
        <f t="shared" si="293"/>
        <v>5.1742836177502194E-2</v>
      </c>
      <c r="AK340" s="4">
        <f t="shared" si="293"/>
        <v>3.5319190625345942E-2</v>
      </c>
      <c r="AL340" s="4">
        <f t="shared" si="293"/>
        <v>2.3969442072658165E-2</v>
      </c>
      <c r="AM340" s="4">
        <f t="shared" si="293"/>
        <v>1.6202243558389728E-2</v>
      </c>
      <c r="AN340" s="4">
        <f t="shared" si="293"/>
        <v>1.0922240564108399E-2</v>
      </c>
      <c r="AO340" s="4">
        <f t="shared" si="293"/>
        <v>7.3493212906090566E-3</v>
      </c>
      <c r="AP340" s="4">
        <f t="shared" si="293"/>
        <v>4.9390262185057265E-3</v>
      </c>
      <c r="AQ340" s="4">
        <f t="shared" si="293"/>
        <v>3.3164275492956197E-3</v>
      </c>
      <c r="AR340" s="4">
        <f t="shared" si="293"/>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93"/>
        <v>0.9867978615748374</v>
      </c>
      <c r="R341" s="4">
        <f t="shared" si="293"/>
        <v>0.98114509762858249</v>
      </c>
      <c r="S341" s="4">
        <f t="shared" si="293"/>
        <v>0.97311898315872036</v>
      </c>
      <c r="T341" s="4">
        <f t="shared" si="293"/>
        <v>0.96177484161592774</v>
      </c>
      <c r="U341" s="4">
        <f t="shared" si="293"/>
        <v>0.94584787155511363</v>
      </c>
      <c r="V341" s="4">
        <f t="shared" si="293"/>
        <v>0.92370360150141495</v>
      </c>
      <c r="W341" s="4">
        <f t="shared" si="293"/>
        <v>0.89334463567658451</v>
      </c>
      <c r="X341" s="4">
        <f t="shared" si="293"/>
        <v>0.85254543874327005</v>
      </c>
      <c r="Y341" s="4">
        <f t="shared" si="293"/>
        <v>0.79921300652623883</v>
      </c>
      <c r="Z341" s="4">
        <f t="shared" si="293"/>
        <v>0.73204982249993378</v>
      </c>
      <c r="AA341" s="4">
        <f t="shared" si="293"/>
        <v>0.65145592958786691</v>
      </c>
      <c r="AB341" s="4">
        <f t="shared" si="293"/>
        <v>0.56032247880849573</v>
      </c>
      <c r="AC341" s="4">
        <f t="shared" si="293"/>
        <v>0.46411326873185343</v>
      </c>
      <c r="AD341" s="4">
        <f t="shared" si="293"/>
        <v>0.36979727595523937</v>
      </c>
      <c r="AE341" s="4">
        <f t="shared" si="293"/>
        <v>0.28393948637231203</v>
      </c>
      <c r="AF341" s="4">
        <f t="shared" si="293"/>
        <v>0.21097259161117732</v>
      </c>
      <c r="AG341" s="4">
        <f t="shared" si="293"/>
        <v>0.15253917653798199</v>
      </c>
      <c r="AH341" s="4">
        <f t="shared" si="293"/>
        <v>0.10795188737709993</v>
      </c>
      <c r="AI341" s="4">
        <f t="shared" si="293"/>
        <v>7.5176653938091809E-2</v>
      </c>
      <c r="AJ341" s="4">
        <f t="shared" si="293"/>
        <v>5.1742836177502194E-2</v>
      </c>
      <c r="AK341" s="4">
        <f t="shared" si="293"/>
        <v>3.5319190625345942E-2</v>
      </c>
      <c r="AL341" s="4">
        <f t="shared" si="293"/>
        <v>2.3969442072658165E-2</v>
      </c>
      <c r="AM341" s="4">
        <f t="shared" si="293"/>
        <v>1.6202243558389728E-2</v>
      </c>
      <c r="AN341" s="4">
        <f t="shared" si="293"/>
        <v>1.0922240564108399E-2</v>
      </c>
      <c r="AO341" s="4">
        <f t="shared" si="293"/>
        <v>7.3493212906090566E-3</v>
      </c>
      <c r="AP341" s="4">
        <f t="shared" si="293"/>
        <v>4.9390262185057265E-3</v>
      </c>
      <c r="AQ341" s="4">
        <f t="shared" si="293"/>
        <v>3.3164275492956197E-3</v>
      </c>
      <c r="AR341" s="4">
        <f t="shared" si="293"/>
        <v>2.2256362146679809E-3</v>
      </c>
    </row>
    <row r="342" spans="1:44" x14ac:dyDescent="0.25">
      <c r="A342" s="24" t="s">
        <v>59</v>
      </c>
      <c r="B342" s="47">
        <f>'Parameter Input'!$L$163</f>
        <v>31.614305882352937</v>
      </c>
      <c r="C342" s="48">
        <f>'Parameter Input'!$M$163</f>
        <v>31.614305882352937</v>
      </c>
      <c r="D342" s="1" t="s">
        <v>60</v>
      </c>
      <c r="L342" s="54">
        <f>'Parameter Input'!$O$163</f>
        <v>12</v>
      </c>
      <c r="M342" s="37">
        <v>0</v>
      </c>
      <c r="N342" s="37">
        <v>1</v>
      </c>
      <c r="O342" s="37">
        <f>'Parameter Input'!$P$163</f>
        <v>0.9</v>
      </c>
      <c r="P342" s="55">
        <f>'Parameter Input'!$Q$163</f>
        <v>0.4</v>
      </c>
      <c r="Q342" s="4">
        <f t="shared" si="293"/>
        <v>0.9867978615748374</v>
      </c>
      <c r="R342" s="4">
        <f t="shared" si="293"/>
        <v>0.98114509762858249</v>
      </c>
      <c r="S342" s="4">
        <f t="shared" si="293"/>
        <v>0.97311898315872036</v>
      </c>
      <c r="T342" s="4">
        <f t="shared" si="293"/>
        <v>0.96177484161592774</v>
      </c>
      <c r="U342" s="4">
        <f t="shared" si="293"/>
        <v>0.94584787155511363</v>
      </c>
      <c r="V342" s="4">
        <f t="shared" si="293"/>
        <v>0.92370360150141495</v>
      </c>
      <c r="W342" s="4">
        <f t="shared" si="293"/>
        <v>0.89334463567658451</v>
      </c>
      <c r="X342" s="4">
        <f t="shared" si="293"/>
        <v>0.85254543874327005</v>
      </c>
      <c r="Y342" s="4">
        <f t="shared" si="293"/>
        <v>0.79921300652623883</v>
      </c>
      <c r="Z342" s="4">
        <f t="shared" si="293"/>
        <v>0.73204982249993378</v>
      </c>
      <c r="AA342" s="4">
        <f t="shared" si="293"/>
        <v>0.65145592958786691</v>
      </c>
      <c r="AB342" s="4">
        <f t="shared" si="293"/>
        <v>0.56032247880849573</v>
      </c>
      <c r="AC342" s="4">
        <f t="shared" si="293"/>
        <v>0.46411326873185343</v>
      </c>
      <c r="AD342" s="4">
        <f t="shared" si="293"/>
        <v>0.36979727595523937</v>
      </c>
      <c r="AE342" s="4">
        <f t="shared" si="293"/>
        <v>0.28393948637231203</v>
      </c>
      <c r="AF342" s="4">
        <f t="shared" si="293"/>
        <v>0.21097259161117732</v>
      </c>
      <c r="AG342" s="4">
        <f t="shared" si="293"/>
        <v>0.15253917653798199</v>
      </c>
      <c r="AH342" s="4">
        <f t="shared" si="293"/>
        <v>0.10795188737709993</v>
      </c>
      <c r="AI342" s="4">
        <f t="shared" si="293"/>
        <v>7.5176653938091809E-2</v>
      </c>
      <c r="AJ342" s="4">
        <f t="shared" si="293"/>
        <v>5.1742836177502194E-2</v>
      </c>
      <c r="AK342" s="4">
        <f t="shared" si="293"/>
        <v>3.5319190625345942E-2</v>
      </c>
      <c r="AL342" s="4">
        <f t="shared" si="293"/>
        <v>2.3969442072658165E-2</v>
      </c>
      <c r="AM342" s="4">
        <f t="shared" si="293"/>
        <v>1.6202243558389728E-2</v>
      </c>
      <c r="AN342" s="4">
        <f t="shared" si="293"/>
        <v>1.0922240564108399E-2</v>
      </c>
      <c r="AO342" s="4">
        <f t="shared" si="293"/>
        <v>7.3493212906090566E-3</v>
      </c>
      <c r="AP342" s="4">
        <f t="shared" si="293"/>
        <v>4.9390262185057265E-3</v>
      </c>
      <c r="AQ342" s="4">
        <f t="shared" si="293"/>
        <v>3.3164275492956197E-3</v>
      </c>
      <c r="AR342" s="4">
        <f t="shared" si="293"/>
        <v>2.2256362146679809E-3</v>
      </c>
    </row>
    <row r="343" spans="1:44" x14ac:dyDescent="0.25">
      <c r="A343" s="24" t="s">
        <v>67</v>
      </c>
      <c r="B343" s="45">
        <f>'Parameter Input'!$L$164</f>
        <v>0.13371034051801745</v>
      </c>
      <c r="C343" s="46">
        <f>'Parameter Input'!$M$164</f>
        <v>8.7585019329602734E-2</v>
      </c>
      <c r="D343" s="1" t="s">
        <v>68</v>
      </c>
      <c r="L343" s="54">
        <f>'Parameter Input'!$O$164</f>
        <v>12</v>
      </c>
      <c r="M343" s="37">
        <v>0</v>
      </c>
      <c r="N343" s="37">
        <v>1</v>
      </c>
      <c r="O343" s="37">
        <f>'Parameter Input'!$P$164</f>
        <v>0.9</v>
      </c>
      <c r="P343" s="55">
        <f>'Parameter Input'!$Q$164</f>
        <v>0.4</v>
      </c>
      <c r="Q343" s="4">
        <f t="shared" si="293"/>
        <v>0.9867978615748374</v>
      </c>
      <c r="R343" s="4">
        <f t="shared" si="293"/>
        <v>0.98114509762858249</v>
      </c>
      <c r="S343" s="4">
        <f t="shared" si="293"/>
        <v>0.97311898315872036</v>
      </c>
      <c r="T343" s="4">
        <f t="shared" ref="T343:AI350" si="294">$N343+($M343-$N343)*((1/(1+EXP(-$P343*(T$9-$L343)))^$O343))</f>
        <v>0.96177484161592774</v>
      </c>
      <c r="U343" s="4">
        <f t="shared" si="294"/>
        <v>0.94584787155511363</v>
      </c>
      <c r="V343" s="4">
        <f t="shared" si="294"/>
        <v>0.92370360150141495</v>
      </c>
      <c r="W343" s="4">
        <f t="shared" si="294"/>
        <v>0.89334463567658451</v>
      </c>
      <c r="X343" s="4">
        <f t="shared" si="294"/>
        <v>0.85254543874327005</v>
      </c>
      <c r="Y343" s="4">
        <f t="shared" si="294"/>
        <v>0.79921300652623883</v>
      </c>
      <c r="Z343" s="4">
        <f t="shared" si="294"/>
        <v>0.73204982249993378</v>
      </c>
      <c r="AA343" s="4">
        <f t="shared" si="294"/>
        <v>0.65145592958786691</v>
      </c>
      <c r="AB343" s="4">
        <f t="shared" si="294"/>
        <v>0.56032247880849573</v>
      </c>
      <c r="AC343" s="4">
        <f t="shared" si="294"/>
        <v>0.46411326873185343</v>
      </c>
      <c r="AD343" s="4">
        <f t="shared" si="294"/>
        <v>0.36979727595523937</v>
      </c>
      <c r="AE343" s="4">
        <f t="shared" si="294"/>
        <v>0.28393948637231203</v>
      </c>
      <c r="AF343" s="4">
        <f t="shared" si="294"/>
        <v>0.21097259161117732</v>
      </c>
      <c r="AG343" s="4">
        <f t="shared" si="294"/>
        <v>0.15253917653798199</v>
      </c>
      <c r="AH343" s="4">
        <f t="shared" si="294"/>
        <v>0.10795188737709993</v>
      </c>
      <c r="AI343" s="4">
        <f t="shared" si="294"/>
        <v>7.5176653938091809E-2</v>
      </c>
      <c r="AJ343" s="4">
        <f t="shared" ref="AJ343:AR350" si="295">$N343+($M343-$N343)*((1/(1+EXP(-$P343*(AJ$9-$L343)))^$O343))</f>
        <v>5.1742836177502194E-2</v>
      </c>
      <c r="AK343" s="4">
        <f t="shared" si="295"/>
        <v>3.5319190625345942E-2</v>
      </c>
      <c r="AL343" s="4">
        <f t="shared" si="295"/>
        <v>2.3969442072658165E-2</v>
      </c>
      <c r="AM343" s="4">
        <f t="shared" si="295"/>
        <v>1.6202243558389728E-2</v>
      </c>
      <c r="AN343" s="4">
        <f t="shared" si="295"/>
        <v>1.0922240564108399E-2</v>
      </c>
      <c r="AO343" s="4">
        <f t="shared" si="295"/>
        <v>7.3493212906090566E-3</v>
      </c>
      <c r="AP343" s="4">
        <f t="shared" si="295"/>
        <v>4.9390262185057265E-3</v>
      </c>
      <c r="AQ343" s="4">
        <f t="shared" si="295"/>
        <v>3.3164275492956197E-3</v>
      </c>
      <c r="AR343" s="4">
        <f t="shared" si="295"/>
        <v>2.2256362146679809E-3</v>
      </c>
    </row>
    <row r="344" spans="1:44" x14ac:dyDescent="0.25">
      <c r="A344" s="24" t="s">
        <v>206</v>
      </c>
      <c r="B344" s="115">
        <f>'Parameter Input'!$L$167</f>
        <v>0</v>
      </c>
      <c r="C344" s="116">
        <f>'Parameter Input'!$M$167</f>
        <v>0</v>
      </c>
      <c r="D344" s="1" t="s">
        <v>76</v>
      </c>
      <c r="L344" s="54">
        <f>'Parameter Input'!$O$167</f>
        <v>17</v>
      </c>
      <c r="M344" s="37">
        <v>0</v>
      </c>
      <c r="N344" s="37">
        <v>1</v>
      </c>
      <c r="O344" s="37">
        <f>'Parameter Input'!$P$167</f>
        <v>0.9</v>
      </c>
      <c r="P344" s="55">
        <f>'Parameter Input'!$Q$167</f>
        <v>0.4</v>
      </c>
      <c r="Q344" s="4">
        <f t="shared" ref="Q344:AR344" si="296">$N344+($M344-$N344)*((1/(1+EXP(-$P344*(Q$9-$L344)))^$O344))</f>
        <v>0.99780374543478534</v>
      </c>
      <c r="R344" s="4">
        <f t="shared" si="296"/>
        <v>0.99685359315256394</v>
      </c>
      <c r="S344" s="4">
        <f t="shared" si="296"/>
        <v>0.99549347132349975</v>
      </c>
      <c r="T344" s="4">
        <f t="shared" si="296"/>
        <v>0.99354772139898062</v>
      </c>
      <c r="U344" s="4">
        <f t="shared" si="296"/>
        <v>0.99076681540580536</v>
      </c>
      <c r="V344" s="4">
        <f t="shared" si="296"/>
        <v>0.9867978615748374</v>
      </c>
      <c r="W344" s="4">
        <f t="shared" si="296"/>
        <v>0.98114509762858249</v>
      </c>
      <c r="X344" s="4">
        <f t="shared" si="296"/>
        <v>0.97311898315872036</v>
      </c>
      <c r="Y344" s="4">
        <f t="shared" si="296"/>
        <v>0.96177484161592774</v>
      </c>
      <c r="Z344" s="4">
        <f t="shared" si="296"/>
        <v>0.94584787155511363</v>
      </c>
      <c r="AA344" s="4">
        <f t="shared" si="296"/>
        <v>0.92370360150141495</v>
      </c>
      <c r="AB344" s="4">
        <f t="shared" si="296"/>
        <v>0.89334463567658451</v>
      </c>
      <c r="AC344" s="4">
        <f t="shared" si="296"/>
        <v>0.85254543874327005</v>
      </c>
      <c r="AD344" s="4">
        <f t="shared" si="296"/>
        <v>0.79921300652623883</v>
      </c>
      <c r="AE344" s="4">
        <f t="shared" si="296"/>
        <v>0.73204982249993378</v>
      </c>
      <c r="AF344" s="4">
        <f t="shared" si="296"/>
        <v>0.65145592958786691</v>
      </c>
      <c r="AG344" s="4">
        <f t="shared" si="296"/>
        <v>0.56032247880849573</v>
      </c>
      <c r="AH344" s="4">
        <f t="shared" si="296"/>
        <v>0.46411326873185343</v>
      </c>
      <c r="AI344" s="4">
        <f t="shared" si="296"/>
        <v>0.36979727595523937</v>
      </c>
      <c r="AJ344" s="4">
        <f t="shared" si="296"/>
        <v>0.28393948637231203</v>
      </c>
      <c r="AK344" s="4">
        <f t="shared" si="296"/>
        <v>0.21097259161117732</v>
      </c>
      <c r="AL344" s="4">
        <f t="shared" si="296"/>
        <v>0.15253917653798199</v>
      </c>
      <c r="AM344" s="4">
        <f t="shared" si="296"/>
        <v>0.10795188737709993</v>
      </c>
      <c r="AN344" s="4">
        <f t="shared" si="296"/>
        <v>7.5176653938091809E-2</v>
      </c>
      <c r="AO344" s="4">
        <f t="shared" si="296"/>
        <v>5.1742836177502194E-2</v>
      </c>
      <c r="AP344" s="4">
        <f t="shared" si="296"/>
        <v>3.5319190625345942E-2</v>
      </c>
      <c r="AQ344" s="4">
        <f t="shared" si="296"/>
        <v>2.3969442072658165E-2</v>
      </c>
      <c r="AR344" s="4">
        <f t="shared" si="296"/>
        <v>1.6202243558389728E-2</v>
      </c>
    </row>
    <row r="345" spans="1:44" x14ac:dyDescent="0.25">
      <c r="A345" s="24" t="s">
        <v>41</v>
      </c>
      <c r="B345" s="43">
        <f>'Parameter Input'!$L$161</f>
        <v>20</v>
      </c>
      <c r="C345" s="44">
        <f>'Parameter Input'!$M$161</f>
        <v>20</v>
      </c>
      <c r="D345" s="1" t="s">
        <v>42</v>
      </c>
      <c r="L345" s="54">
        <f>'Parameter Input'!$O$161</f>
        <v>12</v>
      </c>
      <c r="M345" s="37">
        <v>0</v>
      </c>
      <c r="N345" s="37">
        <v>1</v>
      </c>
      <c r="O345" s="37">
        <f>'Parameter Input'!$P$161</f>
        <v>0.9</v>
      </c>
      <c r="P345" s="55">
        <f>'Parameter Input'!$Q$161</f>
        <v>0.4</v>
      </c>
      <c r="Q345" s="4">
        <f t="shared" ref="Q345:AF350" si="297">$N345+($M345-$N345)*((1/(1+EXP(-$P345*(Q$9-$L345)))^$O345))</f>
        <v>0.9867978615748374</v>
      </c>
      <c r="R345" s="4">
        <f t="shared" si="297"/>
        <v>0.98114509762858249</v>
      </c>
      <c r="S345" s="4">
        <f t="shared" si="297"/>
        <v>0.97311898315872036</v>
      </c>
      <c r="T345" s="4">
        <f t="shared" si="297"/>
        <v>0.96177484161592774</v>
      </c>
      <c r="U345" s="4">
        <f t="shared" si="297"/>
        <v>0.94584787155511363</v>
      </c>
      <c r="V345" s="4">
        <f t="shared" si="297"/>
        <v>0.92370360150141495</v>
      </c>
      <c r="W345" s="4">
        <f t="shared" si="297"/>
        <v>0.89334463567658451</v>
      </c>
      <c r="X345" s="4">
        <f t="shared" si="297"/>
        <v>0.85254543874327005</v>
      </c>
      <c r="Y345" s="4">
        <f t="shared" si="297"/>
        <v>0.79921300652623883</v>
      </c>
      <c r="Z345" s="4">
        <f t="shared" si="297"/>
        <v>0.73204982249993378</v>
      </c>
      <c r="AA345" s="4">
        <f t="shared" si="297"/>
        <v>0.65145592958786691</v>
      </c>
      <c r="AB345" s="4">
        <f t="shared" si="297"/>
        <v>0.56032247880849573</v>
      </c>
      <c r="AC345" s="4">
        <f t="shared" si="297"/>
        <v>0.46411326873185343</v>
      </c>
      <c r="AD345" s="4">
        <f t="shared" si="297"/>
        <v>0.36979727595523937</v>
      </c>
      <c r="AE345" s="4">
        <f t="shared" si="297"/>
        <v>0.28393948637231203</v>
      </c>
      <c r="AF345" s="4">
        <f t="shared" si="297"/>
        <v>0.21097259161117732</v>
      </c>
      <c r="AG345" s="4">
        <f t="shared" si="294"/>
        <v>0.15253917653798199</v>
      </c>
      <c r="AH345" s="4">
        <f t="shared" si="294"/>
        <v>0.10795188737709993</v>
      </c>
      <c r="AI345" s="4">
        <f t="shared" si="294"/>
        <v>7.5176653938091809E-2</v>
      </c>
      <c r="AJ345" s="4">
        <f t="shared" si="295"/>
        <v>5.1742836177502194E-2</v>
      </c>
      <c r="AK345" s="4">
        <f t="shared" si="295"/>
        <v>3.5319190625345942E-2</v>
      </c>
      <c r="AL345" s="4">
        <f t="shared" si="295"/>
        <v>2.3969442072658165E-2</v>
      </c>
      <c r="AM345" s="4">
        <f t="shared" si="295"/>
        <v>1.6202243558389728E-2</v>
      </c>
      <c r="AN345" s="4">
        <f t="shared" si="295"/>
        <v>1.0922240564108399E-2</v>
      </c>
      <c r="AO345" s="4">
        <f t="shared" si="295"/>
        <v>7.3493212906090566E-3</v>
      </c>
      <c r="AP345" s="4">
        <f t="shared" si="295"/>
        <v>4.9390262185057265E-3</v>
      </c>
      <c r="AQ345" s="4">
        <f t="shared" si="295"/>
        <v>3.3164275492956197E-3</v>
      </c>
      <c r="AR345" s="4">
        <f t="shared" si="295"/>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97"/>
        <v>0.9867978615748374</v>
      </c>
      <c r="R346" s="4">
        <f t="shared" si="297"/>
        <v>0.98114509762858249</v>
      </c>
      <c r="S346" s="4">
        <f t="shared" si="297"/>
        <v>0.97311898315872036</v>
      </c>
      <c r="T346" s="4">
        <f t="shared" si="297"/>
        <v>0.96177484161592774</v>
      </c>
      <c r="U346" s="4">
        <f t="shared" si="297"/>
        <v>0.94584787155511363</v>
      </c>
      <c r="V346" s="4">
        <f t="shared" si="297"/>
        <v>0.92370360150141495</v>
      </c>
      <c r="W346" s="4">
        <f t="shared" si="297"/>
        <v>0.89334463567658451</v>
      </c>
      <c r="X346" s="4">
        <f t="shared" si="297"/>
        <v>0.85254543874327005</v>
      </c>
      <c r="Y346" s="4">
        <f t="shared" si="297"/>
        <v>0.79921300652623883</v>
      </c>
      <c r="Z346" s="4">
        <f t="shared" si="297"/>
        <v>0.73204982249993378</v>
      </c>
      <c r="AA346" s="4">
        <f t="shared" si="297"/>
        <v>0.65145592958786691</v>
      </c>
      <c r="AB346" s="4">
        <f t="shared" si="297"/>
        <v>0.56032247880849573</v>
      </c>
      <c r="AC346" s="4">
        <f t="shared" si="297"/>
        <v>0.46411326873185343</v>
      </c>
      <c r="AD346" s="4">
        <f t="shared" si="297"/>
        <v>0.36979727595523937</v>
      </c>
      <c r="AE346" s="4">
        <f t="shared" si="297"/>
        <v>0.28393948637231203</v>
      </c>
      <c r="AF346" s="4">
        <f t="shared" si="297"/>
        <v>0.21097259161117732</v>
      </c>
      <c r="AG346" s="4">
        <f t="shared" si="294"/>
        <v>0.15253917653798199</v>
      </c>
      <c r="AH346" s="4">
        <f t="shared" si="294"/>
        <v>0.10795188737709993</v>
      </c>
      <c r="AI346" s="4">
        <f t="shared" si="294"/>
        <v>7.5176653938091809E-2</v>
      </c>
      <c r="AJ346" s="4">
        <f t="shared" si="295"/>
        <v>5.1742836177502194E-2</v>
      </c>
      <c r="AK346" s="4">
        <f t="shared" si="295"/>
        <v>3.5319190625345942E-2</v>
      </c>
      <c r="AL346" s="4">
        <f t="shared" si="295"/>
        <v>2.3969442072658165E-2</v>
      </c>
      <c r="AM346" s="4">
        <f t="shared" si="295"/>
        <v>1.6202243558389728E-2</v>
      </c>
      <c r="AN346" s="4">
        <f t="shared" si="295"/>
        <v>1.0922240564108399E-2</v>
      </c>
      <c r="AO346" s="4">
        <f t="shared" si="295"/>
        <v>7.3493212906090566E-3</v>
      </c>
      <c r="AP346" s="4">
        <f t="shared" si="295"/>
        <v>4.9390262185057265E-3</v>
      </c>
      <c r="AQ346" s="4">
        <f t="shared" si="295"/>
        <v>3.3164275492956197E-3</v>
      </c>
      <c r="AR346" s="4">
        <f t="shared" si="295"/>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97"/>
        <v>0.9867978615748374</v>
      </c>
      <c r="R347" s="4">
        <f t="shared" si="297"/>
        <v>0.98114509762858249</v>
      </c>
      <c r="S347" s="4">
        <f t="shared" si="297"/>
        <v>0.97311898315872036</v>
      </c>
      <c r="T347" s="4">
        <f t="shared" si="297"/>
        <v>0.96177484161592774</v>
      </c>
      <c r="U347" s="4">
        <f t="shared" si="297"/>
        <v>0.94584787155511363</v>
      </c>
      <c r="V347" s="4">
        <f t="shared" si="297"/>
        <v>0.92370360150141495</v>
      </c>
      <c r="W347" s="4">
        <f t="shared" si="297"/>
        <v>0.89334463567658451</v>
      </c>
      <c r="X347" s="4">
        <f t="shared" si="297"/>
        <v>0.85254543874327005</v>
      </c>
      <c r="Y347" s="4">
        <f t="shared" si="297"/>
        <v>0.79921300652623883</v>
      </c>
      <c r="Z347" s="4">
        <f t="shared" si="297"/>
        <v>0.73204982249993378</v>
      </c>
      <c r="AA347" s="4">
        <f t="shared" si="297"/>
        <v>0.65145592958786691</v>
      </c>
      <c r="AB347" s="4">
        <f t="shared" si="297"/>
        <v>0.56032247880849573</v>
      </c>
      <c r="AC347" s="4">
        <f t="shared" si="297"/>
        <v>0.46411326873185343</v>
      </c>
      <c r="AD347" s="4">
        <f t="shared" si="297"/>
        <v>0.36979727595523937</v>
      </c>
      <c r="AE347" s="4">
        <f t="shared" si="297"/>
        <v>0.28393948637231203</v>
      </c>
      <c r="AF347" s="4">
        <f t="shared" si="297"/>
        <v>0.21097259161117732</v>
      </c>
      <c r="AG347" s="4">
        <f t="shared" si="294"/>
        <v>0.15253917653798199</v>
      </c>
      <c r="AH347" s="4">
        <f t="shared" si="294"/>
        <v>0.10795188737709993</v>
      </c>
      <c r="AI347" s="4">
        <f t="shared" si="294"/>
        <v>7.5176653938091809E-2</v>
      </c>
      <c r="AJ347" s="4">
        <f t="shared" si="295"/>
        <v>5.1742836177502194E-2</v>
      </c>
      <c r="AK347" s="4">
        <f t="shared" si="295"/>
        <v>3.5319190625345942E-2</v>
      </c>
      <c r="AL347" s="4">
        <f t="shared" si="295"/>
        <v>2.3969442072658165E-2</v>
      </c>
      <c r="AM347" s="4">
        <f t="shared" si="295"/>
        <v>1.6202243558389728E-2</v>
      </c>
      <c r="AN347" s="4">
        <f t="shared" si="295"/>
        <v>1.0922240564108399E-2</v>
      </c>
      <c r="AO347" s="4">
        <f t="shared" si="295"/>
        <v>7.3493212906090566E-3</v>
      </c>
      <c r="AP347" s="4">
        <f t="shared" si="295"/>
        <v>4.9390262185057265E-3</v>
      </c>
      <c r="AQ347" s="4">
        <f t="shared" si="295"/>
        <v>3.3164275492956197E-3</v>
      </c>
      <c r="AR347" s="4">
        <f t="shared" si="295"/>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97"/>
        <v>0.9867978615748374</v>
      </c>
      <c r="R348" s="4">
        <f t="shared" si="297"/>
        <v>0.98114509762858249</v>
      </c>
      <c r="S348" s="4">
        <f t="shared" si="297"/>
        <v>0.97311898315872036</v>
      </c>
      <c r="T348" s="4">
        <f t="shared" si="297"/>
        <v>0.96177484161592774</v>
      </c>
      <c r="U348" s="4">
        <f t="shared" si="297"/>
        <v>0.94584787155511363</v>
      </c>
      <c r="V348" s="4">
        <f t="shared" si="297"/>
        <v>0.92370360150141495</v>
      </c>
      <c r="W348" s="4">
        <f t="shared" si="297"/>
        <v>0.89334463567658451</v>
      </c>
      <c r="X348" s="4">
        <f t="shared" si="297"/>
        <v>0.85254543874327005</v>
      </c>
      <c r="Y348" s="4">
        <f t="shared" si="297"/>
        <v>0.79921300652623883</v>
      </c>
      <c r="Z348" s="4">
        <f t="shared" si="297"/>
        <v>0.73204982249993378</v>
      </c>
      <c r="AA348" s="4">
        <f t="shared" si="297"/>
        <v>0.65145592958786691</v>
      </c>
      <c r="AB348" s="4">
        <f t="shared" si="297"/>
        <v>0.56032247880849573</v>
      </c>
      <c r="AC348" s="4">
        <f t="shared" si="297"/>
        <v>0.46411326873185343</v>
      </c>
      <c r="AD348" s="4">
        <f t="shared" si="297"/>
        <v>0.36979727595523937</v>
      </c>
      <c r="AE348" s="4">
        <f t="shared" si="297"/>
        <v>0.28393948637231203</v>
      </c>
      <c r="AF348" s="4">
        <f t="shared" si="297"/>
        <v>0.21097259161117732</v>
      </c>
      <c r="AG348" s="4">
        <f t="shared" si="294"/>
        <v>0.15253917653798199</v>
      </c>
      <c r="AH348" s="4">
        <f t="shared" si="294"/>
        <v>0.10795188737709993</v>
      </c>
      <c r="AI348" s="4">
        <f t="shared" si="294"/>
        <v>7.5176653938091809E-2</v>
      </c>
      <c r="AJ348" s="4">
        <f t="shared" si="295"/>
        <v>5.1742836177502194E-2</v>
      </c>
      <c r="AK348" s="4">
        <f t="shared" si="295"/>
        <v>3.5319190625345942E-2</v>
      </c>
      <c r="AL348" s="4">
        <f t="shared" si="295"/>
        <v>2.3969442072658165E-2</v>
      </c>
      <c r="AM348" s="4">
        <f t="shared" si="295"/>
        <v>1.6202243558389728E-2</v>
      </c>
      <c r="AN348" s="4">
        <f t="shared" si="295"/>
        <v>1.0922240564108399E-2</v>
      </c>
      <c r="AO348" s="4">
        <f t="shared" si="295"/>
        <v>7.3493212906090566E-3</v>
      </c>
      <c r="AP348" s="4">
        <f t="shared" si="295"/>
        <v>4.9390262185057265E-3</v>
      </c>
      <c r="AQ348" s="4">
        <f t="shared" si="295"/>
        <v>3.3164275492956197E-3</v>
      </c>
      <c r="AR348" s="4">
        <f t="shared" si="295"/>
        <v>2.2256362146679809E-3</v>
      </c>
    </row>
    <row r="349" spans="1:44" x14ac:dyDescent="0.25">
      <c r="A349" s="24" t="s">
        <v>73</v>
      </c>
      <c r="B349" s="72">
        <f>'Parameter Input'!$L$165</f>
        <v>0</v>
      </c>
      <c r="C349" s="73">
        <f>'Parameter Input'!$M$165</f>
        <v>0</v>
      </c>
      <c r="D349" s="1" t="s">
        <v>57</v>
      </c>
      <c r="L349" s="54">
        <f>'Parameter Input'!$O$165</f>
        <v>12</v>
      </c>
      <c r="M349" s="37">
        <v>0</v>
      </c>
      <c r="N349" s="37">
        <v>1</v>
      </c>
      <c r="O349" s="37">
        <f>'Parameter Input'!$P$165</f>
        <v>0.9</v>
      </c>
      <c r="P349" s="55">
        <f>'Parameter Input'!$Q$165</f>
        <v>0.4</v>
      </c>
      <c r="Q349" s="4">
        <f t="shared" si="297"/>
        <v>0.9867978615748374</v>
      </c>
      <c r="R349" s="4">
        <f t="shared" si="297"/>
        <v>0.98114509762858249</v>
      </c>
      <c r="S349" s="4">
        <f t="shared" si="297"/>
        <v>0.97311898315872036</v>
      </c>
      <c r="T349" s="4">
        <f t="shared" si="297"/>
        <v>0.96177484161592774</v>
      </c>
      <c r="U349" s="4">
        <f t="shared" si="297"/>
        <v>0.94584787155511363</v>
      </c>
      <c r="V349" s="4">
        <f t="shared" si="297"/>
        <v>0.92370360150141495</v>
      </c>
      <c r="W349" s="4">
        <f t="shared" si="297"/>
        <v>0.89334463567658451</v>
      </c>
      <c r="X349" s="4">
        <f t="shared" si="297"/>
        <v>0.85254543874327005</v>
      </c>
      <c r="Y349" s="4">
        <f t="shared" si="297"/>
        <v>0.79921300652623883</v>
      </c>
      <c r="Z349" s="4">
        <f t="shared" si="297"/>
        <v>0.73204982249993378</v>
      </c>
      <c r="AA349" s="4">
        <f t="shared" si="297"/>
        <v>0.65145592958786691</v>
      </c>
      <c r="AB349" s="4">
        <f t="shared" si="297"/>
        <v>0.56032247880849573</v>
      </c>
      <c r="AC349" s="4">
        <f t="shared" si="297"/>
        <v>0.46411326873185343</v>
      </c>
      <c r="AD349" s="4">
        <f t="shared" si="297"/>
        <v>0.36979727595523937</v>
      </c>
      <c r="AE349" s="4">
        <f t="shared" si="297"/>
        <v>0.28393948637231203</v>
      </c>
      <c r="AF349" s="4">
        <f t="shared" si="297"/>
        <v>0.21097259161117732</v>
      </c>
      <c r="AG349" s="4">
        <f t="shared" si="294"/>
        <v>0.15253917653798199</v>
      </c>
      <c r="AH349" s="4">
        <f t="shared" si="294"/>
        <v>0.10795188737709993</v>
      </c>
      <c r="AI349" s="4">
        <f t="shared" si="294"/>
        <v>7.5176653938091809E-2</v>
      </c>
      <c r="AJ349" s="4">
        <f t="shared" si="295"/>
        <v>5.1742836177502194E-2</v>
      </c>
      <c r="AK349" s="4">
        <f t="shared" si="295"/>
        <v>3.5319190625345942E-2</v>
      </c>
      <c r="AL349" s="4">
        <f t="shared" si="295"/>
        <v>2.3969442072658165E-2</v>
      </c>
      <c r="AM349" s="4">
        <f t="shared" si="295"/>
        <v>1.6202243558389728E-2</v>
      </c>
      <c r="AN349" s="4">
        <f t="shared" si="295"/>
        <v>1.0922240564108399E-2</v>
      </c>
      <c r="AO349" s="4">
        <f t="shared" si="295"/>
        <v>7.3493212906090566E-3</v>
      </c>
      <c r="AP349" s="4">
        <f t="shared" si="295"/>
        <v>4.9390262185057265E-3</v>
      </c>
      <c r="AQ349" s="4">
        <f t="shared" si="295"/>
        <v>3.3164275492956197E-3</v>
      </c>
      <c r="AR349" s="4">
        <f t="shared" si="295"/>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97"/>
        <v>0.9867978615748374</v>
      </c>
      <c r="R350" s="4">
        <f t="shared" si="297"/>
        <v>0.98114509762858249</v>
      </c>
      <c r="S350" s="4">
        <f t="shared" si="297"/>
        <v>0.97311898315872036</v>
      </c>
      <c r="T350" s="4">
        <f t="shared" si="297"/>
        <v>0.96177484161592774</v>
      </c>
      <c r="U350" s="4">
        <f t="shared" si="297"/>
        <v>0.94584787155511363</v>
      </c>
      <c r="V350" s="4">
        <f t="shared" si="297"/>
        <v>0.92370360150141495</v>
      </c>
      <c r="W350" s="4">
        <f t="shared" si="297"/>
        <v>0.89334463567658451</v>
      </c>
      <c r="X350" s="4">
        <f t="shared" si="297"/>
        <v>0.85254543874327005</v>
      </c>
      <c r="Y350" s="4">
        <f t="shared" si="297"/>
        <v>0.79921300652623883</v>
      </c>
      <c r="Z350" s="4">
        <f t="shared" si="297"/>
        <v>0.73204982249993378</v>
      </c>
      <c r="AA350" s="4">
        <f t="shared" si="297"/>
        <v>0.65145592958786691</v>
      </c>
      <c r="AB350" s="4">
        <f t="shared" si="297"/>
        <v>0.56032247880849573</v>
      </c>
      <c r="AC350" s="4">
        <f t="shared" si="297"/>
        <v>0.46411326873185343</v>
      </c>
      <c r="AD350" s="4">
        <f t="shared" si="297"/>
        <v>0.36979727595523937</v>
      </c>
      <c r="AE350" s="4">
        <f t="shared" si="297"/>
        <v>0.28393948637231203</v>
      </c>
      <c r="AF350" s="4">
        <f t="shared" si="297"/>
        <v>0.21097259161117732</v>
      </c>
      <c r="AG350" s="4">
        <f t="shared" si="294"/>
        <v>0.15253917653798199</v>
      </c>
      <c r="AH350" s="4">
        <f t="shared" si="294"/>
        <v>0.10795188737709993</v>
      </c>
      <c r="AI350" s="4">
        <f t="shared" si="294"/>
        <v>7.5176653938091809E-2</v>
      </c>
      <c r="AJ350" s="4">
        <f t="shared" si="295"/>
        <v>5.1742836177502194E-2</v>
      </c>
      <c r="AK350" s="4">
        <f t="shared" si="295"/>
        <v>3.5319190625345942E-2</v>
      </c>
      <c r="AL350" s="4">
        <f t="shared" si="295"/>
        <v>2.3969442072658165E-2</v>
      </c>
      <c r="AM350" s="4">
        <f t="shared" si="295"/>
        <v>1.6202243558389728E-2</v>
      </c>
      <c r="AN350" s="4">
        <f t="shared" si="295"/>
        <v>1.0922240564108399E-2</v>
      </c>
      <c r="AO350" s="4">
        <f t="shared" si="295"/>
        <v>7.3493212906090566E-3</v>
      </c>
      <c r="AP350" s="4">
        <f t="shared" si="295"/>
        <v>4.9390262185057265E-3</v>
      </c>
      <c r="AQ350" s="4">
        <f t="shared" si="295"/>
        <v>3.3164275492956197E-3</v>
      </c>
      <c r="AR350" s="4">
        <f t="shared" si="29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8">A334</f>
        <v>Capex vehicle</v>
      </c>
      <c r="B354" s="62">
        <f t="shared" ref="B354:B362" si="299">$B334+($C334-$B334)*(1-Q334)</f>
        <v>5000000</v>
      </c>
      <c r="C354" s="62">
        <f t="shared" ref="C354:C362" si="300">$B334+($C334-$B334)*(1-R334)</f>
        <v>5000000</v>
      </c>
      <c r="D354" s="62">
        <f t="shared" ref="D354:D362" si="301">$B334+($C334-$B334)*(1-S334)</f>
        <v>5000000</v>
      </c>
      <c r="E354" s="62">
        <f t="shared" ref="E354:E362" si="302">$B334+($C334-$B334)*(1-T334)</f>
        <v>5000000</v>
      </c>
      <c r="F354" s="62">
        <f t="shared" ref="F354:F362" si="303">$B334+($C334-$B334)*(1-U334)</f>
        <v>5000000</v>
      </c>
      <c r="G354" s="62">
        <f t="shared" ref="G354:G362" si="304">$B334+($C334-$B334)*(1-V334)</f>
        <v>5000000</v>
      </c>
      <c r="H354" s="62">
        <f t="shared" ref="H354:H362" si="305">$B334+($C334-$B334)*(1-W334)</f>
        <v>5000000</v>
      </c>
      <c r="I354" s="62">
        <f t="shared" ref="I354:I362" si="306">$B334+($C334-$B334)*(1-X334)</f>
        <v>5000000</v>
      </c>
      <c r="J354" s="62">
        <f t="shared" ref="J354:J362" si="307">$B334+($C334-$B334)*(1-Y334)</f>
        <v>5000000</v>
      </c>
      <c r="K354" s="62">
        <f t="shared" ref="K354:K362" si="308">$B334+($C334-$B334)*(1-Z334)</f>
        <v>5000000</v>
      </c>
      <c r="L354" s="62">
        <f t="shared" ref="L354:L362" si="309">$B334+($C334-$B334)*(1-AA334)</f>
        <v>5000000</v>
      </c>
      <c r="M354" s="62">
        <f t="shared" ref="M354:M362" si="310">$B334+($C334-$B334)*(1-AB334)</f>
        <v>5000000</v>
      </c>
      <c r="N354" s="62">
        <f t="shared" ref="N354:N362" si="311">$B334+($C334-$B334)*(1-AC334)</f>
        <v>5000000</v>
      </c>
      <c r="O354" s="62">
        <f t="shared" ref="O354:O362" si="312">$B334+($C334-$B334)*(1-AD334)</f>
        <v>5000000</v>
      </c>
      <c r="P354" s="62">
        <f t="shared" ref="P354:P362" si="313">$B334+($C334-$B334)*(1-AE334)</f>
        <v>5000000</v>
      </c>
      <c r="Q354" s="62">
        <f t="shared" ref="Q354:Q362" si="314">$B334+($C334-$B334)*(1-AF334)</f>
        <v>5000000</v>
      </c>
      <c r="R354" s="62">
        <f t="shared" ref="R354:R362" si="315">$B334+($C334-$B334)*(1-AG334)</f>
        <v>5000000</v>
      </c>
      <c r="S354" s="62">
        <f t="shared" ref="S354:S362" si="316">$B334+($C334-$B334)*(1-AH334)</f>
        <v>5000000</v>
      </c>
      <c r="T354" s="62">
        <f t="shared" ref="T354:T362" si="317">$B334+($C334-$B334)*(1-AI334)</f>
        <v>5000000</v>
      </c>
      <c r="U354" s="62">
        <f t="shared" ref="U354:U362" si="318">$B334+($C334-$B334)*(1-AJ334)</f>
        <v>5000000</v>
      </c>
      <c r="V354" s="62">
        <f t="shared" ref="V354:V362" si="319">$B334+($C334-$B334)*(1-AK334)</f>
        <v>5000000</v>
      </c>
      <c r="W354" s="62">
        <f t="shared" ref="W354:W362" si="320">$B334+($C334-$B334)*(1-AL334)</f>
        <v>5000000</v>
      </c>
      <c r="X354" s="62">
        <f t="shared" ref="X354:X362" si="321">$B334+($C334-$B334)*(1-AM334)</f>
        <v>5000000</v>
      </c>
      <c r="Y354" s="62">
        <f t="shared" ref="Y354:Y362" si="322">$B334+($C334-$B334)*(1-AN334)</f>
        <v>5000000</v>
      </c>
      <c r="Z354" s="62">
        <f t="shared" ref="Z354:Z362" si="323">$B334+($C334-$B334)*(1-AO334)</f>
        <v>5000000</v>
      </c>
      <c r="AA354" s="62">
        <f t="shared" ref="AA354:AA362" si="324">$B334+($C334-$B334)*(1-AP334)</f>
        <v>5000000</v>
      </c>
      <c r="AB354" s="62">
        <f t="shared" ref="AB354:AB362" si="325">$B334+($C334-$B334)*(1-AQ334)</f>
        <v>5000000</v>
      </c>
      <c r="AC354" s="62">
        <f t="shared" ref="AC354:AC362" si="326">$B334+($C334-$B334)*(1-AR334)</f>
        <v>5000000</v>
      </c>
    </row>
    <row r="355" spans="1:29" x14ac:dyDescent="0.25">
      <c r="A355" s="30" t="str">
        <f t="shared" si="298"/>
        <v>Residual value (vehicle)</v>
      </c>
      <c r="B355" s="62">
        <f t="shared" si="299"/>
        <v>-750000</v>
      </c>
      <c r="C355" s="62">
        <f t="shared" si="300"/>
        <v>-750000</v>
      </c>
      <c r="D355" s="62">
        <f t="shared" si="301"/>
        <v>-750000</v>
      </c>
      <c r="E355" s="62">
        <f t="shared" si="302"/>
        <v>-750000</v>
      </c>
      <c r="F355" s="62">
        <f t="shared" si="303"/>
        <v>-750000</v>
      </c>
      <c r="G355" s="62">
        <f t="shared" si="304"/>
        <v>-750000</v>
      </c>
      <c r="H355" s="62">
        <f t="shared" si="305"/>
        <v>-750000</v>
      </c>
      <c r="I355" s="62">
        <f t="shared" si="306"/>
        <v>-750000</v>
      </c>
      <c r="J355" s="62">
        <f t="shared" si="307"/>
        <v>-750000</v>
      </c>
      <c r="K355" s="62">
        <f t="shared" si="308"/>
        <v>-750000</v>
      </c>
      <c r="L355" s="62">
        <f t="shared" si="309"/>
        <v>-750000</v>
      </c>
      <c r="M355" s="62">
        <f t="shared" si="310"/>
        <v>-750000</v>
      </c>
      <c r="N355" s="62">
        <f t="shared" si="311"/>
        <v>-750000</v>
      </c>
      <c r="O355" s="62">
        <f t="shared" si="312"/>
        <v>-750000</v>
      </c>
      <c r="P355" s="62">
        <f t="shared" si="313"/>
        <v>-750000</v>
      </c>
      <c r="Q355" s="62">
        <f t="shared" si="314"/>
        <v>-750000</v>
      </c>
      <c r="R355" s="62">
        <f t="shared" si="315"/>
        <v>-750000</v>
      </c>
      <c r="S355" s="62">
        <f t="shared" si="316"/>
        <v>-750000</v>
      </c>
      <c r="T355" s="62">
        <f t="shared" si="317"/>
        <v>-750000</v>
      </c>
      <c r="U355" s="62">
        <f t="shared" si="318"/>
        <v>-750000</v>
      </c>
      <c r="V355" s="62">
        <f t="shared" si="319"/>
        <v>-750000</v>
      </c>
      <c r="W355" s="62">
        <f t="shared" si="320"/>
        <v>-750000</v>
      </c>
      <c r="X355" s="62">
        <f t="shared" si="321"/>
        <v>-750000</v>
      </c>
      <c r="Y355" s="62">
        <f t="shared" si="322"/>
        <v>-750000</v>
      </c>
      <c r="Z355" s="62">
        <f t="shared" si="323"/>
        <v>-750000</v>
      </c>
      <c r="AA355" s="62">
        <f t="shared" si="324"/>
        <v>-750000</v>
      </c>
      <c r="AB355" s="62">
        <f t="shared" si="325"/>
        <v>-750000</v>
      </c>
      <c r="AC355" s="62">
        <f t="shared" si="326"/>
        <v>-750000</v>
      </c>
    </row>
    <row r="356" spans="1:29" x14ac:dyDescent="0.25">
      <c r="A356" s="30" t="str">
        <f t="shared" si="298"/>
        <v>Capex costumization</v>
      </c>
      <c r="B356" s="62">
        <f t="shared" si="299"/>
        <v>4200000</v>
      </c>
      <c r="C356" s="62">
        <f t="shared" si="300"/>
        <v>4200000</v>
      </c>
      <c r="D356" s="62">
        <f t="shared" si="301"/>
        <v>4200000</v>
      </c>
      <c r="E356" s="62">
        <f t="shared" si="302"/>
        <v>4200000</v>
      </c>
      <c r="F356" s="62">
        <f t="shared" si="303"/>
        <v>4200000</v>
      </c>
      <c r="G356" s="62">
        <f t="shared" si="304"/>
        <v>4200000</v>
      </c>
      <c r="H356" s="62">
        <f t="shared" si="305"/>
        <v>4200000</v>
      </c>
      <c r="I356" s="62">
        <f t="shared" si="306"/>
        <v>4200000</v>
      </c>
      <c r="J356" s="62">
        <f t="shared" si="307"/>
        <v>4200000</v>
      </c>
      <c r="K356" s="62">
        <f t="shared" si="308"/>
        <v>4200000</v>
      </c>
      <c r="L356" s="62">
        <f t="shared" si="309"/>
        <v>4200000</v>
      </c>
      <c r="M356" s="62">
        <f t="shared" si="310"/>
        <v>4200000</v>
      </c>
      <c r="N356" s="62">
        <f t="shared" si="311"/>
        <v>4200000</v>
      </c>
      <c r="O356" s="62">
        <f t="shared" si="312"/>
        <v>4200000</v>
      </c>
      <c r="P356" s="62">
        <f t="shared" si="313"/>
        <v>4200000</v>
      </c>
      <c r="Q356" s="62">
        <f t="shared" si="314"/>
        <v>4200000</v>
      </c>
      <c r="R356" s="62">
        <f t="shared" si="315"/>
        <v>4200000</v>
      </c>
      <c r="S356" s="62">
        <f t="shared" si="316"/>
        <v>4200000</v>
      </c>
      <c r="T356" s="62">
        <f t="shared" si="317"/>
        <v>4200000</v>
      </c>
      <c r="U356" s="62">
        <f t="shared" si="318"/>
        <v>4200000</v>
      </c>
      <c r="V356" s="62">
        <f t="shared" si="319"/>
        <v>4200000</v>
      </c>
      <c r="W356" s="62">
        <f t="shared" si="320"/>
        <v>4200000</v>
      </c>
      <c r="X356" s="62">
        <f t="shared" si="321"/>
        <v>4200000</v>
      </c>
      <c r="Y356" s="62">
        <f t="shared" si="322"/>
        <v>4200000</v>
      </c>
      <c r="Z356" s="62">
        <f t="shared" si="323"/>
        <v>4200000</v>
      </c>
      <c r="AA356" s="62">
        <f t="shared" si="324"/>
        <v>4200000</v>
      </c>
      <c r="AB356" s="62">
        <f t="shared" si="325"/>
        <v>4200000</v>
      </c>
      <c r="AC356" s="62">
        <f t="shared" si="326"/>
        <v>4200000</v>
      </c>
    </row>
    <row r="357" spans="1:29" x14ac:dyDescent="0.25">
      <c r="A357" s="30" t="str">
        <f t="shared" si="298"/>
        <v>Residual value (costumization)</v>
      </c>
      <c r="B357" s="62">
        <f t="shared" si="299"/>
        <v>-210000</v>
      </c>
      <c r="C357" s="62">
        <f t="shared" si="300"/>
        <v>-210000</v>
      </c>
      <c r="D357" s="62">
        <f t="shared" si="301"/>
        <v>-210000</v>
      </c>
      <c r="E357" s="62">
        <f t="shared" si="302"/>
        <v>-210000</v>
      </c>
      <c r="F357" s="62">
        <f t="shared" si="303"/>
        <v>-210000</v>
      </c>
      <c r="G357" s="62">
        <f t="shared" si="304"/>
        <v>-210000</v>
      </c>
      <c r="H357" s="62">
        <f t="shared" si="305"/>
        <v>-210000</v>
      </c>
      <c r="I357" s="62">
        <f t="shared" si="306"/>
        <v>-210000</v>
      </c>
      <c r="J357" s="62">
        <f t="shared" si="307"/>
        <v>-210000</v>
      </c>
      <c r="K357" s="62">
        <f t="shared" si="308"/>
        <v>-210000</v>
      </c>
      <c r="L357" s="62">
        <f t="shared" si="309"/>
        <v>-210000</v>
      </c>
      <c r="M357" s="62">
        <f t="shared" si="310"/>
        <v>-210000</v>
      </c>
      <c r="N357" s="62">
        <f t="shared" si="311"/>
        <v>-210000</v>
      </c>
      <c r="O357" s="62">
        <f t="shared" si="312"/>
        <v>-210000</v>
      </c>
      <c r="P357" s="62">
        <f t="shared" si="313"/>
        <v>-210000</v>
      </c>
      <c r="Q357" s="62">
        <f t="shared" si="314"/>
        <v>-210000</v>
      </c>
      <c r="R357" s="62">
        <f t="shared" si="315"/>
        <v>-210000</v>
      </c>
      <c r="S357" s="62">
        <f t="shared" si="316"/>
        <v>-210000</v>
      </c>
      <c r="T357" s="62">
        <f t="shared" si="317"/>
        <v>-210000</v>
      </c>
      <c r="U357" s="62">
        <f t="shared" si="318"/>
        <v>-210000</v>
      </c>
      <c r="V357" s="62">
        <f t="shared" si="319"/>
        <v>-210000</v>
      </c>
      <c r="W357" s="62">
        <f t="shared" si="320"/>
        <v>-210000</v>
      </c>
      <c r="X357" s="62">
        <f t="shared" si="321"/>
        <v>-210000</v>
      </c>
      <c r="Y357" s="62">
        <f t="shared" si="322"/>
        <v>-210000</v>
      </c>
      <c r="Z357" s="62">
        <f t="shared" si="323"/>
        <v>-210000</v>
      </c>
      <c r="AA357" s="62">
        <f t="shared" si="324"/>
        <v>-210000</v>
      </c>
      <c r="AB357" s="62">
        <f t="shared" si="325"/>
        <v>-210000</v>
      </c>
      <c r="AC357" s="62">
        <f t="shared" si="326"/>
        <v>-210000</v>
      </c>
    </row>
    <row r="358" spans="1:29" x14ac:dyDescent="0.25">
      <c r="A358" s="30" t="str">
        <f t="shared" si="298"/>
        <v>WACC</v>
      </c>
      <c r="B358" s="62">
        <f t="shared" si="299"/>
        <v>0.06</v>
      </c>
      <c r="C358" s="62">
        <f t="shared" si="300"/>
        <v>0.06</v>
      </c>
      <c r="D358" s="62">
        <f t="shared" si="301"/>
        <v>0.06</v>
      </c>
      <c r="E358" s="62">
        <f t="shared" si="302"/>
        <v>0.06</v>
      </c>
      <c r="F358" s="62">
        <f t="shared" si="303"/>
        <v>0.06</v>
      </c>
      <c r="G358" s="62">
        <f t="shared" si="304"/>
        <v>0.06</v>
      </c>
      <c r="H358" s="62">
        <f t="shared" si="305"/>
        <v>0.06</v>
      </c>
      <c r="I358" s="62">
        <f t="shared" si="306"/>
        <v>0.06</v>
      </c>
      <c r="J358" s="62">
        <f t="shared" si="307"/>
        <v>0.06</v>
      </c>
      <c r="K358" s="62">
        <f t="shared" si="308"/>
        <v>0.06</v>
      </c>
      <c r="L358" s="62">
        <f t="shared" si="309"/>
        <v>0.06</v>
      </c>
      <c r="M358" s="62">
        <f t="shared" si="310"/>
        <v>0.06</v>
      </c>
      <c r="N358" s="62">
        <f t="shared" si="311"/>
        <v>0.06</v>
      </c>
      <c r="O358" s="62">
        <f t="shared" si="312"/>
        <v>0.06</v>
      </c>
      <c r="P358" s="62">
        <f t="shared" si="313"/>
        <v>0.06</v>
      </c>
      <c r="Q358" s="62">
        <f t="shared" si="314"/>
        <v>0.06</v>
      </c>
      <c r="R358" s="62">
        <f t="shared" si="315"/>
        <v>0.06</v>
      </c>
      <c r="S358" s="62">
        <f t="shared" si="316"/>
        <v>0.06</v>
      </c>
      <c r="T358" s="62">
        <f t="shared" si="317"/>
        <v>0.06</v>
      </c>
      <c r="U358" s="62">
        <f t="shared" si="318"/>
        <v>0.06</v>
      </c>
      <c r="V358" s="62">
        <f t="shared" si="319"/>
        <v>0.06</v>
      </c>
      <c r="W358" s="62">
        <f t="shared" si="320"/>
        <v>0.06</v>
      </c>
      <c r="X358" s="62">
        <f t="shared" si="321"/>
        <v>0.06</v>
      </c>
      <c r="Y358" s="62">
        <f t="shared" si="322"/>
        <v>0.06</v>
      </c>
      <c r="Z358" s="62">
        <f t="shared" si="323"/>
        <v>0.06</v>
      </c>
      <c r="AA358" s="62">
        <f t="shared" si="324"/>
        <v>0.06</v>
      </c>
      <c r="AB358" s="62">
        <f t="shared" si="325"/>
        <v>0.06</v>
      </c>
      <c r="AC358" s="62">
        <f t="shared" si="326"/>
        <v>0.06</v>
      </c>
    </row>
    <row r="359" spans="1:29" x14ac:dyDescent="0.25">
      <c r="A359" s="30" t="str">
        <f t="shared" si="298"/>
        <v>Opex fix (admin, crew, insurance)</v>
      </c>
      <c r="B359" s="62">
        <f t="shared" si="299"/>
        <v>1450000</v>
      </c>
      <c r="C359" s="62">
        <f t="shared" si="300"/>
        <v>1450000</v>
      </c>
      <c r="D359" s="62">
        <f t="shared" si="301"/>
        <v>1450000</v>
      </c>
      <c r="E359" s="62">
        <f t="shared" si="302"/>
        <v>1450000</v>
      </c>
      <c r="F359" s="62">
        <f t="shared" si="303"/>
        <v>1450000</v>
      </c>
      <c r="G359" s="62">
        <f t="shared" si="304"/>
        <v>1450000</v>
      </c>
      <c r="H359" s="62">
        <f t="shared" si="305"/>
        <v>1450000</v>
      </c>
      <c r="I359" s="62">
        <f t="shared" si="306"/>
        <v>1450000</v>
      </c>
      <c r="J359" s="62">
        <f t="shared" si="307"/>
        <v>1450000</v>
      </c>
      <c r="K359" s="62">
        <f t="shared" si="308"/>
        <v>1450000</v>
      </c>
      <c r="L359" s="62">
        <f t="shared" si="309"/>
        <v>1450000</v>
      </c>
      <c r="M359" s="62">
        <f t="shared" si="310"/>
        <v>1450000</v>
      </c>
      <c r="N359" s="62">
        <f t="shared" si="311"/>
        <v>1450000</v>
      </c>
      <c r="O359" s="62">
        <f t="shared" si="312"/>
        <v>1450000</v>
      </c>
      <c r="P359" s="62">
        <f t="shared" si="313"/>
        <v>1450000</v>
      </c>
      <c r="Q359" s="62">
        <f t="shared" si="314"/>
        <v>1450000</v>
      </c>
      <c r="R359" s="62">
        <f t="shared" si="315"/>
        <v>1450000</v>
      </c>
      <c r="S359" s="62">
        <f t="shared" si="316"/>
        <v>1450000</v>
      </c>
      <c r="T359" s="62">
        <f t="shared" si="317"/>
        <v>1450000</v>
      </c>
      <c r="U359" s="62">
        <f t="shared" si="318"/>
        <v>1450000</v>
      </c>
      <c r="V359" s="62">
        <f t="shared" si="319"/>
        <v>1450000</v>
      </c>
      <c r="W359" s="62">
        <f t="shared" si="320"/>
        <v>1450000</v>
      </c>
      <c r="X359" s="62">
        <f t="shared" si="321"/>
        <v>1450000</v>
      </c>
      <c r="Y359" s="62">
        <f t="shared" si="322"/>
        <v>1450000</v>
      </c>
      <c r="Z359" s="62">
        <f t="shared" si="323"/>
        <v>1450000</v>
      </c>
      <c r="AA359" s="62">
        <f t="shared" si="324"/>
        <v>1450000</v>
      </c>
      <c r="AB359" s="62">
        <f t="shared" si="325"/>
        <v>1450000</v>
      </c>
      <c r="AC359" s="62">
        <f t="shared" si="326"/>
        <v>1450000</v>
      </c>
    </row>
    <row r="360" spans="1:29" x14ac:dyDescent="0.25">
      <c r="A360" s="30" t="str">
        <f t="shared" si="298"/>
        <v>Opex maintenance &amp; repair</v>
      </c>
      <c r="B360" s="62">
        <f t="shared" si="299"/>
        <v>650000</v>
      </c>
      <c r="C360" s="62">
        <f t="shared" si="300"/>
        <v>650000</v>
      </c>
      <c r="D360" s="62">
        <f t="shared" si="301"/>
        <v>650000</v>
      </c>
      <c r="E360" s="62">
        <f t="shared" si="302"/>
        <v>650000</v>
      </c>
      <c r="F360" s="62">
        <f t="shared" si="303"/>
        <v>650000</v>
      </c>
      <c r="G360" s="62">
        <f t="shared" si="304"/>
        <v>650000</v>
      </c>
      <c r="H360" s="62">
        <f t="shared" si="305"/>
        <v>650000</v>
      </c>
      <c r="I360" s="62">
        <f t="shared" si="306"/>
        <v>650000</v>
      </c>
      <c r="J360" s="62">
        <f t="shared" si="307"/>
        <v>650000</v>
      </c>
      <c r="K360" s="62">
        <f t="shared" si="308"/>
        <v>650000</v>
      </c>
      <c r="L360" s="62">
        <f t="shared" si="309"/>
        <v>650000</v>
      </c>
      <c r="M360" s="62">
        <f t="shared" si="310"/>
        <v>650000</v>
      </c>
      <c r="N360" s="62">
        <f t="shared" si="311"/>
        <v>650000</v>
      </c>
      <c r="O360" s="62">
        <f t="shared" si="312"/>
        <v>650000</v>
      </c>
      <c r="P360" s="62">
        <f t="shared" si="313"/>
        <v>650000</v>
      </c>
      <c r="Q360" s="62">
        <f t="shared" si="314"/>
        <v>650000</v>
      </c>
      <c r="R360" s="62">
        <f t="shared" si="315"/>
        <v>650000</v>
      </c>
      <c r="S360" s="62">
        <f t="shared" si="316"/>
        <v>650000</v>
      </c>
      <c r="T360" s="62">
        <f t="shared" si="317"/>
        <v>650000</v>
      </c>
      <c r="U360" s="62">
        <f t="shared" si="318"/>
        <v>650000</v>
      </c>
      <c r="V360" s="62">
        <f t="shared" si="319"/>
        <v>650000</v>
      </c>
      <c r="W360" s="62">
        <f t="shared" si="320"/>
        <v>650000</v>
      </c>
      <c r="X360" s="62">
        <f t="shared" si="321"/>
        <v>650000</v>
      </c>
      <c r="Y360" s="62">
        <f t="shared" si="322"/>
        <v>650000</v>
      </c>
      <c r="Z360" s="62">
        <f t="shared" si="323"/>
        <v>650000</v>
      </c>
      <c r="AA360" s="62">
        <f t="shared" si="324"/>
        <v>650000</v>
      </c>
      <c r="AB360" s="62">
        <f t="shared" si="325"/>
        <v>650000</v>
      </c>
      <c r="AC360" s="62">
        <f t="shared" si="326"/>
        <v>650000</v>
      </c>
    </row>
    <row r="361" spans="1:29" x14ac:dyDescent="0.25">
      <c r="A361" s="30" t="str">
        <f t="shared" si="298"/>
        <v>Opex var (mode-fees, shunting)</v>
      </c>
      <c r="B361" s="62">
        <f t="shared" si="299"/>
        <v>8.9635854341736696</v>
      </c>
      <c r="C361" s="62">
        <f t="shared" si="300"/>
        <v>8.9635854341736696</v>
      </c>
      <c r="D361" s="62">
        <f t="shared" si="301"/>
        <v>8.9635854341736696</v>
      </c>
      <c r="E361" s="62">
        <f t="shared" si="302"/>
        <v>8.9635854341736696</v>
      </c>
      <c r="F361" s="62">
        <f t="shared" si="303"/>
        <v>8.9635854341736696</v>
      </c>
      <c r="G361" s="62">
        <f t="shared" si="304"/>
        <v>8.9635854341736696</v>
      </c>
      <c r="H361" s="62">
        <f t="shared" si="305"/>
        <v>8.9635854341736696</v>
      </c>
      <c r="I361" s="62">
        <f t="shared" si="306"/>
        <v>8.9635854341736696</v>
      </c>
      <c r="J361" s="62">
        <f t="shared" si="307"/>
        <v>8.9635854341736696</v>
      </c>
      <c r="K361" s="62">
        <f t="shared" si="308"/>
        <v>8.9635854341736696</v>
      </c>
      <c r="L361" s="62">
        <f t="shared" si="309"/>
        <v>8.9635854341736696</v>
      </c>
      <c r="M361" s="62">
        <f t="shared" si="310"/>
        <v>8.9635854341736696</v>
      </c>
      <c r="N361" s="62">
        <f t="shared" si="311"/>
        <v>8.9635854341736696</v>
      </c>
      <c r="O361" s="62">
        <f t="shared" si="312"/>
        <v>8.9635854341736696</v>
      </c>
      <c r="P361" s="62">
        <f t="shared" si="313"/>
        <v>8.9635854341736696</v>
      </c>
      <c r="Q361" s="62">
        <f t="shared" si="314"/>
        <v>8.9635854341736696</v>
      </c>
      <c r="R361" s="62">
        <f t="shared" si="315"/>
        <v>8.9635854341736696</v>
      </c>
      <c r="S361" s="62">
        <f t="shared" si="316"/>
        <v>8.9635854341736696</v>
      </c>
      <c r="T361" s="62">
        <f t="shared" si="317"/>
        <v>8.9635854341736696</v>
      </c>
      <c r="U361" s="62">
        <f t="shared" si="318"/>
        <v>8.9635854341736696</v>
      </c>
      <c r="V361" s="62">
        <f t="shared" si="319"/>
        <v>8.9635854341736696</v>
      </c>
      <c r="W361" s="62">
        <f t="shared" si="320"/>
        <v>8.9635854341736696</v>
      </c>
      <c r="X361" s="62">
        <f t="shared" si="321"/>
        <v>8.9635854341736696</v>
      </c>
      <c r="Y361" s="62">
        <f t="shared" si="322"/>
        <v>8.9635854341736696</v>
      </c>
      <c r="Z361" s="62">
        <f t="shared" si="323"/>
        <v>8.9635854341736696</v>
      </c>
      <c r="AA361" s="62">
        <f t="shared" si="324"/>
        <v>8.9635854341736696</v>
      </c>
      <c r="AB361" s="62">
        <f t="shared" si="325"/>
        <v>8.9635854341736696</v>
      </c>
      <c r="AC361" s="62">
        <f t="shared" si="326"/>
        <v>8.9635854341736696</v>
      </c>
    </row>
    <row r="362" spans="1:29" x14ac:dyDescent="0.25">
      <c r="A362" s="30" t="str">
        <f t="shared" si="298"/>
        <v>Fuel Economy</v>
      </c>
      <c r="B362" s="62">
        <f t="shared" si="299"/>
        <v>31.614305882352937</v>
      </c>
      <c r="C362" s="62">
        <f t="shared" si="300"/>
        <v>31.614305882352937</v>
      </c>
      <c r="D362" s="62">
        <f t="shared" si="301"/>
        <v>31.614305882352937</v>
      </c>
      <c r="E362" s="62">
        <f t="shared" si="302"/>
        <v>31.614305882352937</v>
      </c>
      <c r="F362" s="62">
        <f t="shared" si="303"/>
        <v>31.614305882352937</v>
      </c>
      <c r="G362" s="62">
        <f t="shared" si="304"/>
        <v>31.614305882352937</v>
      </c>
      <c r="H362" s="62">
        <f t="shared" si="305"/>
        <v>31.614305882352937</v>
      </c>
      <c r="I362" s="62">
        <f t="shared" si="306"/>
        <v>31.614305882352937</v>
      </c>
      <c r="J362" s="62">
        <f t="shared" si="307"/>
        <v>31.614305882352937</v>
      </c>
      <c r="K362" s="62">
        <f t="shared" si="308"/>
        <v>31.614305882352937</v>
      </c>
      <c r="L362" s="62">
        <f t="shared" si="309"/>
        <v>31.614305882352937</v>
      </c>
      <c r="M362" s="62">
        <f t="shared" si="310"/>
        <v>31.614305882352937</v>
      </c>
      <c r="N362" s="62">
        <f t="shared" si="311"/>
        <v>31.614305882352937</v>
      </c>
      <c r="O362" s="62">
        <f t="shared" si="312"/>
        <v>31.614305882352937</v>
      </c>
      <c r="P362" s="62">
        <f t="shared" si="313"/>
        <v>31.614305882352937</v>
      </c>
      <c r="Q362" s="62">
        <f t="shared" si="314"/>
        <v>31.614305882352937</v>
      </c>
      <c r="R362" s="62">
        <f t="shared" si="315"/>
        <v>31.614305882352937</v>
      </c>
      <c r="S362" s="62">
        <f t="shared" si="316"/>
        <v>31.614305882352937</v>
      </c>
      <c r="T362" s="62">
        <f t="shared" si="317"/>
        <v>31.614305882352937</v>
      </c>
      <c r="U362" s="62">
        <f t="shared" si="318"/>
        <v>31.614305882352937</v>
      </c>
      <c r="V362" s="62">
        <f t="shared" si="319"/>
        <v>31.614305882352937</v>
      </c>
      <c r="W362" s="62">
        <f t="shared" si="320"/>
        <v>31.614305882352937</v>
      </c>
      <c r="X362" s="62">
        <f t="shared" si="321"/>
        <v>31.614305882352937</v>
      </c>
      <c r="Y362" s="62">
        <f t="shared" si="322"/>
        <v>31.614305882352937</v>
      </c>
      <c r="Z362" s="62">
        <f t="shared" si="323"/>
        <v>31.614305882352937</v>
      </c>
      <c r="AA362" s="62">
        <f t="shared" si="324"/>
        <v>31.614305882352937</v>
      </c>
      <c r="AB362" s="62">
        <f t="shared" si="325"/>
        <v>31.614305882352937</v>
      </c>
      <c r="AC362" s="62">
        <f t="shared" si="326"/>
        <v>31.614305882352937</v>
      </c>
    </row>
    <row r="363" spans="1:29" x14ac:dyDescent="0.25">
      <c r="A363" s="30" t="str">
        <f t="shared" si="298"/>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327">A344</f>
        <v>Emission Cost</v>
      </c>
      <c r="B364" s="66">
        <f>$B344+($C344-$B344)*(1-Q344)</f>
        <v>0</v>
      </c>
      <c r="C364" s="66">
        <f t="shared" ref="C364" si="328">$B344+($C344-$B344)*(1-R344)</f>
        <v>0</v>
      </c>
      <c r="D364" s="66">
        <f t="shared" ref="D364" si="329">$B344+($C344-$B344)*(1-S344)</f>
        <v>0</v>
      </c>
      <c r="E364" s="66">
        <f t="shared" ref="E364" si="330">$B344+($C344-$B344)*(1-T344)</f>
        <v>0</v>
      </c>
      <c r="F364" s="66">
        <f t="shared" ref="F364" si="331">$B344+($C344-$B344)*(1-U344)</f>
        <v>0</v>
      </c>
      <c r="G364" s="66">
        <f t="shared" ref="G364" si="332">$B344+($C344-$B344)*(1-V344)</f>
        <v>0</v>
      </c>
      <c r="H364" s="66">
        <f t="shared" ref="H364" si="333">$B344+($C344-$B344)*(1-W344)</f>
        <v>0</v>
      </c>
      <c r="I364" s="66">
        <f t="shared" ref="I364" si="334">$B344+($C344-$B344)*(1-X344)</f>
        <v>0</v>
      </c>
      <c r="J364" s="66">
        <f t="shared" ref="J364" si="335">$B344+($C344-$B344)*(1-Y344)</f>
        <v>0</v>
      </c>
      <c r="K364" s="66">
        <f t="shared" ref="K364" si="336">$B344+($C344-$B344)*(1-Z344)</f>
        <v>0</v>
      </c>
      <c r="L364" s="66">
        <f t="shared" ref="L364" si="337">$B344+($C344-$B344)*(1-AA344)</f>
        <v>0</v>
      </c>
      <c r="M364" s="66">
        <f t="shared" ref="M364" si="338">$B344+($C344-$B344)*(1-AB344)</f>
        <v>0</v>
      </c>
      <c r="N364" s="66">
        <f t="shared" ref="N364" si="339">$B344+($C344-$B344)*(1-AC344)</f>
        <v>0</v>
      </c>
      <c r="O364" s="66">
        <f t="shared" ref="O364" si="340">$B344+($C344-$B344)*(1-AD344)</f>
        <v>0</v>
      </c>
      <c r="P364" s="66">
        <f t="shared" ref="P364" si="341">$B344+($C344-$B344)*(1-AE344)</f>
        <v>0</v>
      </c>
      <c r="Q364" s="66">
        <f t="shared" ref="Q364" si="342">$B344+($C344-$B344)*(1-AF344)</f>
        <v>0</v>
      </c>
      <c r="R364" s="66">
        <f t="shared" ref="R364" si="343">$B344+($C344-$B344)*(1-AG344)</f>
        <v>0</v>
      </c>
      <c r="S364" s="66">
        <f t="shared" ref="S364" si="344">$B344+($C344-$B344)*(1-AH344)</f>
        <v>0</v>
      </c>
      <c r="T364" s="66">
        <f t="shared" ref="T364" si="345">$B344+($C344-$B344)*(1-AI344)</f>
        <v>0</v>
      </c>
      <c r="U364" s="66">
        <f t="shared" ref="U364" si="346">$B344+($C344-$B344)*(1-AJ344)</f>
        <v>0</v>
      </c>
      <c r="V364" s="66">
        <f t="shared" ref="V364" si="347">$B344+($C344-$B344)*(1-AK344)</f>
        <v>0</v>
      </c>
      <c r="W364" s="66">
        <f t="shared" ref="W364" si="348">$B344+($C344-$B344)*(1-AL344)</f>
        <v>0</v>
      </c>
      <c r="X364" s="66">
        <f t="shared" ref="X364" si="349">$B344+($C344-$B344)*(1-AM344)</f>
        <v>0</v>
      </c>
      <c r="Y364" s="66">
        <f t="shared" ref="Y364" si="350">$B344+($C344-$B344)*(1-AN344)</f>
        <v>0</v>
      </c>
      <c r="Z364" s="66">
        <f t="shared" ref="Z364" si="351">$B344+($C344-$B344)*(1-AO344)</f>
        <v>0</v>
      </c>
      <c r="AA364" s="66">
        <f t="shared" ref="AA364" si="352">$B344+($C344-$B344)*(1-AP344)</f>
        <v>0</v>
      </c>
      <c r="AB364" s="66">
        <f t="shared" ref="AB364" si="353">$B344+($C344-$B344)*(1-AQ344)</f>
        <v>0</v>
      </c>
      <c r="AC364" s="66">
        <f t="shared" ref="AC364" si="354">$B344+($C344-$B344)*(1-AR344)</f>
        <v>0</v>
      </c>
    </row>
    <row r="365" spans="1:29" x14ac:dyDescent="0.25">
      <c r="A365" s="30" t="str">
        <f>A345</f>
        <v>Lifetime vehicle</v>
      </c>
      <c r="B365" s="62">
        <f>$B345+($C345-$B345)*(1-Q345)</f>
        <v>20</v>
      </c>
      <c r="C365" s="62">
        <f t="shared" ref="C365:L367" si="355">$B345+($C345-$B345)*(1-R345)</f>
        <v>20</v>
      </c>
      <c r="D365" s="62">
        <f t="shared" si="355"/>
        <v>20</v>
      </c>
      <c r="E365" s="62">
        <f t="shared" si="355"/>
        <v>20</v>
      </c>
      <c r="F365" s="62">
        <f t="shared" si="355"/>
        <v>20</v>
      </c>
      <c r="G365" s="62">
        <f t="shared" si="355"/>
        <v>20</v>
      </c>
      <c r="H365" s="62">
        <f t="shared" si="355"/>
        <v>20</v>
      </c>
      <c r="I365" s="62">
        <f t="shared" si="355"/>
        <v>20</v>
      </c>
      <c r="J365" s="62">
        <f t="shared" si="355"/>
        <v>20</v>
      </c>
      <c r="K365" s="62">
        <f t="shared" si="355"/>
        <v>20</v>
      </c>
      <c r="L365" s="62">
        <f t="shared" si="355"/>
        <v>20</v>
      </c>
      <c r="M365" s="62">
        <f t="shared" ref="M365:V367" si="356">$B345+($C345-$B345)*(1-AB345)</f>
        <v>20</v>
      </c>
      <c r="N365" s="62">
        <f t="shared" si="356"/>
        <v>20</v>
      </c>
      <c r="O365" s="62">
        <f t="shared" si="356"/>
        <v>20</v>
      </c>
      <c r="P365" s="62">
        <f t="shared" si="356"/>
        <v>20</v>
      </c>
      <c r="Q365" s="62">
        <f t="shared" si="356"/>
        <v>20</v>
      </c>
      <c r="R365" s="62">
        <f t="shared" si="356"/>
        <v>20</v>
      </c>
      <c r="S365" s="62">
        <f t="shared" si="356"/>
        <v>20</v>
      </c>
      <c r="T365" s="62">
        <f t="shared" si="356"/>
        <v>20</v>
      </c>
      <c r="U365" s="62">
        <f t="shared" si="356"/>
        <v>20</v>
      </c>
      <c r="V365" s="62">
        <f t="shared" si="356"/>
        <v>20</v>
      </c>
      <c r="W365" s="62">
        <f t="shared" ref="W365:AC367" si="357">$B345+($C345-$B345)*(1-AL345)</f>
        <v>20</v>
      </c>
      <c r="X365" s="62">
        <f t="shared" si="357"/>
        <v>20</v>
      </c>
      <c r="Y365" s="62">
        <f t="shared" si="357"/>
        <v>20</v>
      </c>
      <c r="Z365" s="62">
        <f t="shared" si="357"/>
        <v>20</v>
      </c>
      <c r="AA365" s="62">
        <f t="shared" si="357"/>
        <v>20</v>
      </c>
      <c r="AB365" s="62">
        <f t="shared" si="357"/>
        <v>20</v>
      </c>
      <c r="AC365" s="62">
        <f t="shared" si="357"/>
        <v>20</v>
      </c>
    </row>
    <row r="366" spans="1:29" x14ac:dyDescent="0.25">
      <c r="A366" s="30" t="str">
        <f>A346</f>
        <v>Lifetime costumization</v>
      </c>
      <c r="B366" s="62">
        <f>$B346+($C346-$B346)*(1-Q346)</f>
        <v>30</v>
      </c>
      <c r="C366" s="62">
        <f t="shared" si="355"/>
        <v>30</v>
      </c>
      <c r="D366" s="62">
        <f t="shared" si="355"/>
        <v>30</v>
      </c>
      <c r="E366" s="62">
        <f t="shared" si="355"/>
        <v>30</v>
      </c>
      <c r="F366" s="62">
        <f t="shared" si="355"/>
        <v>30</v>
      </c>
      <c r="G366" s="62">
        <f t="shared" si="355"/>
        <v>30</v>
      </c>
      <c r="H366" s="62">
        <f t="shared" si="355"/>
        <v>30</v>
      </c>
      <c r="I366" s="62">
        <f t="shared" si="355"/>
        <v>30</v>
      </c>
      <c r="J366" s="62">
        <f t="shared" si="355"/>
        <v>30</v>
      </c>
      <c r="K366" s="62">
        <f t="shared" si="355"/>
        <v>30</v>
      </c>
      <c r="L366" s="62">
        <f t="shared" si="355"/>
        <v>30</v>
      </c>
      <c r="M366" s="62">
        <f t="shared" si="356"/>
        <v>30</v>
      </c>
      <c r="N366" s="62">
        <f t="shared" si="356"/>
        <v>30</v>
      </c>
      <c r="O366" s="62">
        <f t="shared" si="356"/>
        <v>30</v>
      </c>
      <c r="P366" s="62">
        <f t="shared" si="356"/>
        <v>30</v>
      </c>
      <c r="Q366" s="62">
        <f t="shared" si="356"/>
        <v>30</v>
      </c>
      <c r="R366" s="62">
        <f t="shared" si="356"/>
        <v>30</v>
      </c>
      <c r="S366" s="62">
        <f t="shared" si="356"/>
        <v>30</v>
      </c>
      <c r="T366" s="62">
        <f t="shared" si="356"/>
        <v>30</v>
      </c>
      <c r="U366" s="62">
        <f t="shared" si="356"/>
        <v>30</v>
      </c>
      <c r="V366" s="62">
        <f t="shared" si="356"/>
        <v>30</v>
      </c>
      <c r="W366" s="62">
        <f t="shared" si="357"/>
        <v>30</v>
      </c>
      <c r="X366" s="62">
        <f t="shared" si="357"/>
        <v>30</v>
      </c>
      <c r="Y366" s="62">
        <f t="shared" si="357"/>
        <v>30</v>
      </c>
      <c r="Z366" s="62">
        <f t="shared" si="357"/>
        <v>30</v>
      </c>
      <c r="AA366" s="62">
        <f t="shared" si="357"/>
        <v>30</v>
      </c>
      <c r="AB366" s="62">
        <f t="shared" si="357"/>
        <v>30</v>
      </c>
      <c r="AC366" s="62">
        <f t="shared" si="357"/>
        <v>30</v>
      </c>
    </row>
    <row r="367" spans="1:29" x14ac:dyDescent="0.25">
      <c r="A367" s="30" t="str">
        <f>A347</f>
        <v>Tonnage .</v>
      </c>
      <c r="B367" s="62">
        <f>$B347+($C347-$B347)*(1-Q347)</f>
        <v>2240</v>
      </c>
      <c r="C367" s="62">
        <f t="shared" si="355"/>
        <v>2240</v>
      </c>
      <c r="D367" s="62">
        <f t="shared" si="355"/>
        <v>2240</v>
      </c>
      <c r="E367" s="62">
        <f t="shared" si="355"/>
        <v>2240</v>
      </c>
      <c r="F367" s="62">
        <f t="shared" si="355"/>
        <v>2240</v>
      </c>
      <c r="G367" s="62">
        <f t="shared" si="355"/>
        <v>2240</v>
      </c>
      <c r="H367" s="62">
        <f t="shared" si="355"/>
        <v>2240</v>
      </c>
      <c r="I367" s="62">
        <f t="shared" si="355"/>
        <v>2240</v>
      </c>
      <c r="J367" s="62">
        <f t="shared" si="355"/>
        <v>2240</v>
      </c>
      <c r="K367" s="62">
        <f t="shared" si="355"/>
        <v>2240</v>
      </c>
      <c r="L367" s="62">
        <f t="shared" si="355"/>
        <v>2240</v>
      </c>
      <c r="M367" s="62">
        <f t="shared" si="356"/>
        <v>2240</v>
      </c>
      <c r="N367" s="62">
        <f t="shared" si="356"/>
        <v>2240</v>
      </c>
      <c r="O367" s="62">
        <f t="shared" si="356"/>
        <v>2240</v>
      </c>
      <c r="P367" s="62">
        <f t="shared" si="356"/>
        <v>2240</v>
      </c>
      <c r="Q367" s="62">
        <f t="shared" si="356"/>
        <v>2240</v>
      </c>
      <c r="R367" s="62">
        <f t="shared" si="356"/>
        <v>2240</v>
      </c>
      <c r="S367" s="62">
        <f t="shared" si="356"/>
        <v>2240</v>
      </c>
      <c r="T367" s="62">
        <f t="shared" si="356"/>
        <v>2240</v>
      </c>
      <c r="U367" s="62">
        <f t="shared" si="356"/>
        <v>2240</v>
      </c>
      <c r="V367" s="62">
        <f t="shared" si="356"/>
        <v>2240</v>
      </c>
      <c r="W367" s="62">
        <f t="shared" si="357"/>
        <v>2240</v>
      </c>
      <c r="X367" s="62">
        <f t="shared" si="357"/>
        <v>2240</v>
      </c>
      <c r="Y367" s="62">
        <f t="shared" si="357"/>
        <v>2240</v>
      </c>
      <c r="Z367" s="62">
        <f t="shared" si="357"/>
        <v>2240</v>
      </c>
      <c r="AA367" s="62">
        <f t="shared" si="357"/>
        <v>2240</v>
      </c>
      <c r="AB367" s="62">
        <f t="shared" si="357"/>
        <v>2240</v>
      </c>
      <c r="AC367" s="62">
        <f t="shared" si="357"/>
        <v>2240</v>
      </c>
    </row>
    <row r="368" spans="1:29" x14ac:dyDescent="0.25">
      <c r="A368" s="30" t="str">
        <f>A348</f>
        <v>Market failure (av. utilization)</v>
      </c>
      <c r="B368" s="62">
        <f t="shared" ref="B368:K369" si="358">($B348+($C348-$B348)*(1-Q348))*B$44</f>
        <v>1612.8000000000002</v>
      </c>
      <c r="C368" s="62">
        <f t="shared" si="358"/>
        <v>1612.8000000000002</v>
      </c>
      <c r="D368" s="62">
        <f t="shared" si="358"/>
        <v>1612.8000000000002</v>
      </c>
      <c r="E368" s="62">
        <f t="shared" si="358"/>
        <v>1612.8000000000002</v>
      </c>
      <c r="F368" s="62">
        <f t="shared" si="358"/>
        <v>1612.8000000000002</v>
      </c>
      <c r="G368" s="62">
        <f t="shared" si="358"/>
        <v>1612.8000000000002</v>
      </c>
      <c r="H368" s="62">
        <f t="shared" si="358"/>
        <v>1612.8000000000002</v>
      </c>
      <c r="I368" s="62">
        <f t="shared" si="358"/>
        <v>1612.8000000000002</v>
      </c>
      <c r="J368" s="62">
        <f t="shared" si="358"/>
        <v>1612.8000000000002</v>
      </c>
      <c r="K368" s="62">
        <f t="shared" si="358"/>
        <v>1612.8000000000002</v>
      </c>
      <c r="L368" s="62">
        <f t="shared" ref="L368:U369" si="359">($B348+($C348-$B348)*(1-AA348))*L$44</f>
        <v>1612.8000000000002</v>
      </c>
      <c r="M368" s="62">
        <f t="shared" si="359"/>
        <v>1612.8000000000002</v>
      </c>
      <c r="N368" s="62">
        <f t="shared" si="359"/>
        <v>1612.8000000000002</v>
      </c>
      <c r="O368" s="62">
        <f t="shared" si="359"/>
        <v>1612.8000000000002</v>
      </c>
      <c r="P368" s="62">
        <f t="shared" si="359"/>
        <v>1612.8000000000002</v>
      </c>
      <c r="Q368" s="62">
        <f t="shared" si="359"/>
        <v>1612.8000000000002</v>
      </c>
      <c r="R368" s="62">
        <f t="shared" si="359"/>
        <v>1612.8000000000002</v>
      </c>
      <c r="S368" s="62">
        <f t="shared" si="359"/>
        <v>1612.8000000000002</v>
      </c>
      <c r="T368" s="62">
        <f t="shared" si="359"/>
        <v>1612.8000000000002</v>
      </c>
      <c r="U368" s="62">
        <f t="shared" si="359"/>
        <v>1612.8000000000002</v>
      </c>
      <c r="V368" s="62">
        <f t="shared" ref="V368:AC369" si="360">($B348+($C348-$B348)*(1-AK348))*V$44</f>
        <v>1612.8000000000002</v>
      </c>
      <c r="W368" s="62">
        <f t="shared" si="360"/>
        <v>1612.8000000000002</v>
      </c>
      <c r="X368" s="62">
        <f t="shared" si="360"/>
        <v>1612.8000000000002</v>
      </c>
      <c r="Y368" s="62">
        <f t="shared" si="360"/>
        <v>1612.8000000000002</v>
      </c>
      <c r="Z368" s="62">
        <f t="shared" si="360"/>
        <v>1612.8000000000002</v>
      </c>
      <c r="AA368" s="62">
        <f t="shared" si="360"/>
        <v>1612.8000000000002</v>
      </c>
      <c r="AB368" s="62">
        <f t="shared" si="360"/>
        <v>1612.8000000000002</v>
      </c>
      <c r="AC368" s="62">
        <f t="shared" si="360"/>
        <v>1612.8000000000002</v>
      </c>
    </row>
    <row r="369" spans="1:29" x14ac:dyDescent="0.25">
      <c r="A369" s="30" t="s">
        <v>73</v>
      </c>
      <c r="B369" s="62">
        <f t="shared" si="358"/>
        <v>0</v>
      </c>
      <c r="C369" s="62">
        <f t="shared" si="358"/>
        <v>0</v>
      </c>
      <c r="D369" s="62">
        <f t="shared" si="358"/>
        <v>0</v>
      </c>
      <c r="E369" s="62">
        <f t="shared" si="358"/>
        <v>0</v>
      </c>
      <c r="F369" s="62">
        <f t="shared" si="358"/>
        <v>0</v>
      </c>
      <c r="G369" s="62">
        <f t="shared" si="358"/>
        <v>0</v>
      </c>
      <c r="H369" s="62">
        <f t="shared" si="358"/>
        <v>0</v>
      </c>
      <c r="I369" s="62">
        <f t="shared" si="358"/>
        <v>0</v>
      </c>
      <c r="J369" s="62">
        <f t="shared" si="358"/>
        <v>0</v>
      </c>
      <c r="K369" s="62">
        <f t="shared" si="358"/>
        <v>0</v>
      </c>
      <c r="L369" s="62">
        <f t="shared" si="359"/>
        <v>0</v>
      </c>
      <c r="M369" s="62">
        <f t="shared" si="359"/>
        <v>0</v>
      </c>
      <c r="N369" s="62">
        <f t="shared" si="359"/>
        <v>0</v>
      </c>
      <c r="O369" s="62">
        <f t="shared" si="359"/>
        <v>0</v>
      </c>
      <c r="P369" s="62">
        <f t="shared" si="359"/>
        <v>0</v>
      </c>
      <c r="Q369" s="62">
        <f t="shared" si="359"/>
        <v>0</v>
      </c>
      <c r="R369" s="62">
        <f t="shared" si="359"/>
        <v>0</v>
      </c>
      <c r="S369" s="62">
        <f t="shared" si="359"/>
        <v>0</v>
      </c>
      <c r="T369" s="62">
        <f t="shared" si="359"/>
        <v>0</v>
      </c>
      <c r="U369" s="62">
        <f t="shared" si="359"/>
        <v>0</v>
      </c>
      <c r="V369" s="62">
        <f t="shared" si="360"/>
        <v>0</v>
      </c>
      <c r="W369" s="62">
        <f t="shared" si="360"/>
        <v>0</v>
      </c>
      <c r="X369" s="62">
        <f t="shared" si="360"/>
        <v>0</v>
      </c>
      <c r="Y369" s="62">
        <f t="shared" si="360"/>
        <v>0</v>
      </c>
      <c r="Z369" s="62">
        <f t="shared" si="360"/>
        <v>0</v>
      </c>
      <c r="AA369" s="62">
        <f t="shared" si="360"/>
        <v>0</v>
      </c>
      <c r="AB369" s="62">
        <f t="shared" si="360"/>
        <v>0</v>
      </c>
      <c r="AC369" s="62">
        <f t="shared" si="360"/>
        <v>0</v>
      </c>
    </row>
    <row r="370" spans="1:29" x14ac:dyDescent="0.25">
      <c r="A370" s="30" t="str">
        <f>A350</f>
        <v>Annual Mileage</v>
      </c>
      <c r="B370" s="62">
        <f t="shared" ref="B370:AC370" si="361">$B350+($C350-$B350)*(1-Q350)</f>
        <v>178500</v>
      </c>
      <c r="C370" s="62">
        <f t="shared" si="361"/>
        <v>178500</v>
      </c>
      <c r="D370" s="62">
        <f t="shared" si="361"/>
        <v>178500</v>
      </c>
      <c r="E370" s="62">
        <f t="shared" si="361"/>
        <v>178500</v>
      </c>
      <c r="F370" s="62">
        <f t="shared" si="361"/>
        <v>178500</v>
      </c>
      <c r="G370" s="62">
        <f t="shared" si="361"/>
        <v>178500</v>
      </c>
      <c r="H370" s="62">
        <f t="shared" si="361"/>
        <v>178500</v>
      </c>
      <c r="I370" s="62">
        <f t="shared" si="361"/>
        <v>178500</v>
      </c>
      <c r="J370" s="62">
        <f t="shared" si="361"/>
        <v>178500</v>
      </c>
      <c r="K370" s="62">
        <f t="shared" si="361"/>
        <v>178500</v>
      </c>
      <c r="L370" s="62">
        <f t="shared" si="361"/>
        <v>178500</v>
      </c>
      <c r="M370" s="62">
        <f t="shared" si="361"/>
        <v>178500</v>
      </c>
      <c r="N370" s="62">
        <f t="shared" si="361"/>
        <v>178500</v>
      </c>
      <c r="O370" s="62">
        <f t="shared" si="361"/>
        <v>178500</v>
      </c>
      <c r="P370" s="62">
        <f t="shared" si="361"/>
        <v>178500</v>
      </c>
      <c r="Q370" s="62">
        <f t="shared" si="361"/>
        <v>178500</v>
      </c>
      <c r="R370" s="62">
        <f t="shared" si="361"/>
        <v>178500</v>
      </c>
      <c r="S370" s="62">
        <f t="shared" si="361"/>
        <v>178500</v>
      </c>
      <c r="T370" s="62">
        <f t="shared" si="361"/>
        <v>178500</v>
      </c>
      <c r="U370" s="62">
        <f t="shared" si="361"/>
        <v>178500</v>
      </c>
      <c r="V370" s="62">
        <f t="shared" si="361"/>
        <v>178500</v>
      </c>
      <c r="W370" s="62">
        <f t="shared" si="361"/>
        <v>178500</v>
      </c>
      <c r="X370" s="62">
        <f t="shared" si="361"/>
        <v>178500</v>
      </c>
      <c r="Y370" s="62">
        <f t="shared" si="361"/>
        <v>178500</v>
      </c>
      <c r="Z370" s="62">
        <f t="shared" si="361"/>
        <v>178500</v>
      </c>
      <c r="AA370" s="62">
        <f t="shared" si="361"/>
        <v>178500</v>
      </c>
      <c r="AB370" s="62">
        <f t="shared" si="361"/>
        <v>178500</v>
      </c>
      <c r="AC370" s="62">
        <f t="shared" si="36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2">((1+C358)^C365)*C358/(((1+C358)^C365)-1)*(C354)</f>
        <v>435922.78488425701</v>
      </c>
      <c r="D373" s="63">
        <f t="shared" si="362"/>
        <v>435922.78488425701</v>
      </c>
      <c r="E373" s="63">
        <f t="shared" si="362"/>
        <v>435922.78488425701</v>
      </c>
      <c r="F373" s="63">
        <f t="shared" si="362"/>
        <v>435922.78488425701</v>
      </c>
      <c r="G373" s="63">
        <f t="shared" si="362"/>
        <v>435922.78488425701</v>
      </c>
      <c r="H373" s="63">
        <f t="shared" si="362"/>
        <v>435922.78488425701</v>
      </c>
      <c r="I373" s="63">
        <f t="shared" si="362"/>
        <v>435922.78488425701</v>
      </c>
      <c r="J373" s="63">
        <f t="shared" si="362"/>
        <v>435922.78488425701</v>
      </c>
      <c r="K373" s="63">
        <f t="shared" si="362"/>
        <v>435922.78488425701</v>
      </c>
      <c r="L373" s="63">
        <f t="shared" si="362"/>
        <v>435922.78488425701</v>
      </c>
      <c r="M373" s="63">
        <f t="shared" si="362"/>
        <v>435922.78488425701</v>
      </c>
      <c r="N373" s="63">
        <f t="shared" si="362"/>
        <v>435922.78488425701</v>
      </c>
      <c r="O373" s="63">
        <f t="shared" si="362"/>
        <v>435922.78488425701</v>
      </c>
      <c r="P373" s="63">
        <f t="shared" si="362"/>
        <v>435922.78488425701</v>
      </c>
      <c r="Q373" s="63">
        <f t="shared" si="362"/>
        <v>435922.78488425701</v>
      </c>
      <c r="R373" s="63">
        <f t="shared" si="362"/>
        <v>435922.78488425701</v>
      </c>
      <c r="S373" s="63">
        <f t="shared" si="362"/>
        <v>435922.78488425701</v>
      </c>
      <c r="T373" s="63">
        <f t="shared" si="362"/>
        <v>435922.78488425701</v>
      </c>
      <c r="U373" s="63">
        <f t="shared" si="362"/>
        <v>435922.78488425701</v>
      </c>
      <c r="V373" s="63">
        <f t="shared" si="362"/>
        <v>435922.78488425701</v>
      </c>
      <c r="W373" s="63">
        <f t="shared" si="362"/>
        <v>435922.78488425701</v>
      </c>
      <c r="X373" s="63">
        <f t="shared" si="362"/>
        <v>435922.78488425701</v>
      </c>
      <c r="Y373" s="63">
        <f t="shared" si="362"/>
        <v>435922.78488425701</v>
      </c>
      <c r="Z373" s="63">
        <f t="shared" si="362"/>
        <v>435922.78488425701</v>
      </c>
      <c r="AA373" s="63">
        <f t="shared" si="362"/>
        <v>435922.78488425701</v>
      </c>
      <c r="AB373" s="63">
        <f t="shared" si="362"/>
        <v>435922.78488425701</v>
      </c>
      <c r="AC373" s="63">
        <f t="shared" si="362"/>
        <v>435922.78488425701</v>
      </c>
    </row>
    <row r="374" spans="1:29" x14ac:dyDescent="0.25">
      <c r="A374" s="30" t="str">
        <f>A355</f>
        <v>Residual value (vehicle)</v>
      </c>
      <c r="B374" s="62">
        <f>((1+B358)^B365)*B358/(((1+B358)^B365)-1)*(B355)</f>
        <v>-65388.417732638554</v>
      </c>
      <c r="C374" s="62">
        <f t="shared" ref="C374:AC374" si="363">((1+C358)^C365)*C358/(((1+C358)^C365)-1)*(C355)</f>
        <v>-65388.417732638554</v>
      </c>
      <c r="D374" s="62">
        <f t="shared" si="363"/>
        <v>-65388.417732638554</v>
      </c>
      <c r="E374" s="62">
        <f t="shared" si="363"/>
        <v>-65388.417732638554</v>
      </c>
      <c r="F374" s="62">
        <f t="shared" si="363"/>
        <v>-65388.417732638554</v>
      </c>
      <c r="G374" s="62">
        <f t="shared" si="363"/>
        <v>-65388.417732638554</v>
      </c>
      <c r="H374" s="62">
        <f t="shared" si="363"/>
        <v>-65388.417732638554</v>
      </c>
      <c r="I374" s="62">
        <f t="shared" si="363"/>
        <v>-65388.417732638554</v>
      </c>
      <c r="J374" s="62">
        <f t="shared" si="363"/>
        <v>-65388.417732638554</v>
      </c>
      <c r="K374" s="62">
        <f t="shared" si="363"/>
        <v>-65388.417732638554</v>
      </c>
      <c r="L374" s="62">
        <f t="shared" si="363"/>
        <v>-65388.417732638554</v>
      </c>
      <c r="M374" s="62">
        <f t="shared" si="363"/>
        <v>-65388.417732638554</v>
      </c>
      <c r="N374" s="62">
        <f t="shared" si="363"/>
        <v>-65388.417732638554</v>
      </c>
      <c r="O374" s="62">
        <f t="shared" si="363"/>
        <v>-65388.417732638554</v>
      </c>
      <c r="P374" s="62">
        <f t="shared" si="363"/>
        <v>-65388.417732638554</v>
      </c>
      <c r="Q374" s="62">
        <f t="shared" si="363"/>
        <v>-65388.417732638554</v>
      </c>
      <c r="R374" s="62">
        <f t="shared" si="363"/>
        <v>-65388.417732638554</v>
      </c>
      <c r="S374" s="62">
        <f t="shared" si="363"/>
        <v>-65388.417732638554</v>
      </c>
      <c r="T374" s="62">
        <f t="shared" si="363"/>
        <v>-65388.417732638554</v>
      </c>
      <c r="U374" s="62">
        <f t="shared" si="363"/>
        <v>-65388.417732638554</v>
      </c>
      <c r="V374" s="62">
        <f t="shared" si="363"/>
        <v>-65388.417732638554</v>
      </c>
      <c r="W374" s="62">
        <f t="shared" si="363"/>
        <v>-65388.417732638554</v>
      </c>
      <c r="X374" s="62">
        <f t="shared" si="363"/>
        <v>-65388.417732638554</v>
      </c>
      <c r="Y374" s="62">
        <f t="shared" si="363"/>
        <v>-65388.417732638554</v>
      </c>
      <c r="Z374" s="62">
        <f t="shared" si="363"/>
        <v>-65388.417732638554</v>
      </c>
      <c r="AA374" s="62">
        <f t="shared" si="363"/>
        <v>-65388.417732638554</v>
      </c>
      <c r="AB374" s="62">
        <f t="shared" si="363"/>
        <v>-65388.417732638554</v>
      </c>
      <c r="AC374" s="62">
        <f t="shared" si="363"/>
        <v>-65388.417732638554</v>
      </c>
    </row>
    <row r="375" spans="1:29" x14ac:dyDescent="0.25">
      <c r="A375" s="30" t="str">
        <f>A356</f>
        <v>Capex costumization</v>
      </c>
      <c r="B375" s="62">
        <f>((1+B358)^B366)*B358/(((1+B358)^B366)-1)*(B356)</f>
        <v>305125.4282581982</v>
      </c>
      <c r="C375" s="62">
        <f t="shared" ref="C375:AC375" si="364">((1+C358)^C366)*C358/(((1+C358)^C366)-1)*(C356)</f>
        <v>305125.4282581982</v>
      </c>
      <c r="D375" s="62">
        <f t="shared" si="364"/>
        <v>305125.4282581982</v>
      </c>
      <c r="E375" s="62">
        <f t="shared" si="364"/>
        <v>305125.4282581982</v>
      </c>
      <c r="F375" s="62">
        <f t="shared" si="364"/>
        <v>305125.4282581982</v>
      </c>
      <c r="G375" s="62">
        <f t="shared" si="364"/>
        <v>305125.4282581982</v>
      </c>
      <c r="H375" s="62">
        <f t="shared" si="364"/>
        <v>305125.4282581982</v>
      </c>
      <c r="I375" s="62">
        <f t="shared" si="364"/>
        <v>305125.4282581982</v>
      </c>
      <c r="J375" s="62">
        <f t="shared" si="364"/>
        <v>305125.4282581982</v>
      </c>
      <c r="K375" s="62">
        <f t="shared" si="364"/>
        <v>305125.4282581982</v>
      </c>
      <c r="L375" s="62">
        <f t="shared" si="364"/>
        <v>305125.4282581982</v>
      </c>
      <c r="M375" s="62">
        <f t="shared" si="364"/>
        <v>305125.4282581982</v>
      </c>
      <c r="N375" s="62">
        <f t="shared" si="364"/>
        <v>305125.4282581982</v>
      </c>
      <c r="O375" s="62">
        <f t="shared" si="364"/>
        <v>305125.4282581982</v>
      </c>
      <c r="P375" s="62">
        <f t="shared" si="364"/>
        <v>305125.4282581982</v>
      </c>
      <c r="Q375" s="62">
        <f t="shared" si="364"/>
        <v>305125.4282581982</v>
      </c>
      <c r="R375" s="62">
        <f t="shared" si="364"/>
        <v>305125.4282581982</v>
      </c>
      <c r="S375" s="62">
        <f t="shared" si="364"/>
        <v>305125.4282581982</v>
      </c>
      <c r="T375" s="62">
        <f t="shared" si="364"/>
        <v>305125.4282581982</v>
      </c>
      <c r="U375" s="62">
        <f t="shared" si="364"/>
        <v>305125.4282581982</v>
      </c>
      <c r="V375" s="62">
        <f t="shared" si="364"/>
        <v>305125.4282581982</v>
      </c>
      <c r="W375" s="62">
        <f t="shared" si="364"/>
        <v>305125.4282581982</v>
      </c>
      <c r="X375" s="62">
        <f t="shared" si="364"/>
        <v>305125.4282581982</v>
      </c>
      <c r="Y375" s="62">
        <f t="shared" si="364"/>
        <v>305125.4282581982</v>
      </c>
      <c r="Z375" s="62">
        <f t="shared" si="364"/>
        <v>305125.4282581982</v>
      </c>
      <c r="AA375" s="62">
        <f t="shared" si="364"/>
        <v>305125.4282581982</v>
      </c>
      <c r="AB375" s="62">
        <f t="shared" si="364"/>
        <v>305125.4282581982</v>
      </c>
      <c r="AC375" s="62">
        <f t="shared" si="364"/>
        <v>305125.4282581982</v>
      </c>
    </row>
    <row r="376" spans="1:29" x14ac:dyDescent="0.25">
      <c r="A376" s="30" t="str">
        <f>A357</f>
        <v>Residual value (costumization)</v>
      </c>
      <c r="B376" s="62">
        <f>((1+B358)^B366)*B358/(((1+B358)^B366)-1)*(B357)</f>
        <v>-15256.271412909911</v>
      </c>
      <c r="C376" s="62">
        <f t="shared" ref="C376:AC376" si="365">((1+C358)^C366)*C358/(((1+C358)^C366)-1)*(C357)</f>
        <v>-15256.271412909911</v>
      </c>
      <c r="D376" s="62">
        <f t="shared" si="365"/>
        <v>-15256.271412909911</v>
      </c>
      <c r="E376" s="62">
        <f t="shared" si="365"/>
        <v>-15256.271412909911</v>
      </c>
      <c r="F376" s="62">
        <f t="shared" si="365"/>
        <v>-15256.271412909911</v>
      </c>
      <c r="G376" s="62">
        <f t="shared" si="365"/>
        <v>-15256.271412909911</v>
      </c>
      <c r="H376" s="62">
        <f t="shared" si="365"/>
        <v>-15256.271412909911</v>
      </c>
      <c r="I376" s="62">
        <f t="shared" si="365"/>
        <v>-15256.271412909911</v>
      </c>
      <c r="J376" s="62">
        <f t="shared" si="365"/>
        <v>-15256.271412909911</v>
      </c>
      <c r="K376" s="62">
        <f t="shared" si="365"/>
        <v>-15256.271412909911</v>
      </c>
      <c r="L376" s="62">
        <f t="shared" si="365"/>
        <v>-15256.271412909911</v>
      </c>
      <c r="M376" s="62">
        <f t="shared" si="365"/>
        <v>-15256.271412909911</v>
      </c>
      <c r="N376" s="62">
        <f t="shared" si="365"/>
        <v>-15256.271412909911</v>
      </c>
      <c r="O376" s="62">
        <f t="shared" si="365"/>
        <v>-15256.271412909911</v>
      </c>
      <c r="P376" s="62">
        <f t="shared" si="365"/>
        <v>-15256.271412909911</v>
      </c>
      <c r="Q376" s="62">
        <f t="shared" si="365"/>
        <v>-15256.271412909911</v>
      </c>
      <c r="R376" s="62">
        <f t="shared" si="365"/>
        <v>-15256.271412909911</v>
      </c>
      <c r="S376" s="62">
        <f t="shared" si="365"/>
        <v>-15256.271412909911</v>
      </c>
      <c r="T376" s="62">
        <f t="shared" si="365"/>
        <v>-15256.271412909911</v>
      </c>
      <c r="U376" s="62">
        <f t="shared" si="365"/>
        <v>-15256.271412909911</v>
      </c>
      <c r="V376" s="62">
        <f t="shared" si="365"/>
        <v>-15256.271412909911</v>
      </c>
      <c r="W376" s="62">
        <f t="shared" si="365"/>
        <v>-15256.271412909911</v>
      </c>
      <c r="X376" s="62">
        <f t="shared" si="365"/>
        <v>-15256.271412909911</v>
      </c>
      <c r="Y376" s="62">
        <f t="shared" si="365"/>
        <v>-15256.271412909911</v>
      </c>
      <c r="Z376" s="62">
        <f t="shared" si="365"/>
        <v>-15256.271412909911</v>
      </c>
      <c r="AA376" s="62">
        <f t="shared" si="365"/>
        <v>-15256.271412909911</v>
      </c>
      <c r="AB376" s="62">
        <f t="shared" si="365"/>
        <v>-15256.271412909911</v>
      </c>
      <c r="AC376" s="62">
        <f t="shared" si="365"/>
        <v>-15256.271412909911</v>
      </c>
    </row>
    <row r="377" spans="1:29" x14ac:dyDescent="0.25">
      <c r="A377" s="30" t="str">
        <f t="shared" ref="A377:AC377" si="366">A359</f>
        <v>Opex fix (admin, crew, insurance)</v>
      </c>
      <c r="B377" s="62">
        <f t="shared" si="366"/>
        <v>1450000</v>
      </c>
      <c r="C377" s="62">
        <f t="shared" si="366"/>
        <v>1450000</v>
      </c>
      <c r="D377" s="62">
        <f t="shared" si="366"/>
        <v>1450000</v>
      </c>
      <c r="E377" s="62">
        <f t="shared" si="366"/>
        <v>1450000</v>
      </c>
      <c r="F377" s="62">
        <f t="shared" si="366"/>
        <v>1450000</v>
      </c>
      <c r="G377" s="62">
        <f t="shared" si="366"/>
        <v>1450000</v>
      </c>
      <c r="H377" s="62">
        <f t="shared" si="366"/>
        <v>1450000</v>
      </c>
      <c r="I377" s="62">
        <f t="shared" si="366"/>
        <v>1450000</v>
      </c>
      <c r="J377" s="62">
        <f t="shared" si="366"/>
        <v>1450000</v>
      </c>
      <c r="K377" s="62">
        <f t="shared" si="366"/>
        <v>1450000</v>
      </c>
      <c r="L377" s="62">
        <f t="shared" si="366"/>
        <v>1450000</v>
      </c>
      <c r="M377" s="62">
        <f t="shared" si="366"/>
        <v>1450000</v>
      </c>
      <c r="N377" s="62">
        <f t="shared" si="366"/>
        <v>1450000</v>
      </c>
      <c r="O377" s="62">
        <f t="shared" si="366"/>
        <v>1450000</v>
      </c>
      <c r="P377" s="62">
        <f t="shared" si="366"/>
        <v>1450000</v>
      </c>
      <c r="Q377" s="62">
        <f t="shared" si="366"/>
        <v>1450000</v>
      </c>
      <c r="R377" s="62">
        <f t="shared" si="366"/>
        <v>1450000</v>
      </c>
      <c r="S377" s="62">
        <f t="shared" si="366"/>
        <v>1450000</v>
      </c>
      <c r="T377" s="62">
        <f t="shared" si="366"/>
        <v>1450000</v>
      </c>
      <c r="U377" s="62">
        <f t="shared" si="366"/>
        <v>1450000</v>
      </c>
      <c r="V377" s="62">
        <f t="shared" si="366"/>
        <v>1450000</v>
      </c>
      <c r="W377" s="62">
        <f t="shared" si="366"/>
        <v>1450000</v>
      </c>
      <c r="X377" s="62">
        <f t="shared" si="366"/>
        <v>1450000</v>
      </c>
      <c r="Y377" s="62">
        <f t="shared" si="366"/>
        <v>1450000</v>
      </c>
      <c r="Z377" s="62">
        <f t="shared" si="366"/>
        <v>1450000</v>
      </c>
      <c r="AA377" s="62">
        <f t="shared" si="366"/>
        <v>1450000</v>
      </c>
      <c r="AB377" s="62">
        <f t="shared" si="366"/>
        <v>1450000</v>
      </c>
      <c r="AC377" s="62">
        <f t="shared" si="366"/>
        <v>1450000</v>
      </c>
    </row>
    <row r="378" spans="1:29" x14ac:dyDescent="0.25">
      <c r="A378" s="30" t="str">
        <f t="shared" ref="A378:AC378" si="367">A360</f>
        <v>Opex maintenance &amp; repair</v>
      </c>
      <c r="B378" s="62">
        <f t="shared" si="367"/>
        <v>650000</v>
      </c>
      <c r="C378" s="62">
        <f t="shared" si="367"/>
        <v>650000</v>
      </c>
      <c r="D378" s="62">
        <f t="shared" si="367"/>
        <v>650000</v>
      </c>
      <c r="E378" s="62">
        <f t="shared" si="367"/>
        <v>650000</v>
      </c>
      <c r="F378" s="62">
        <f t="shared" si="367"/>
        <v>650000</v>
      </c>
      <c r="G378" s="62">
        <f t="shared" si="367"/>
        <v>650000</v>
      </c>
      <c r="H378" s="62">
        <f t="shared" si="367"/>
        <v>650000</v>
      </c>
      <c r="I378" s="62">
        <f t="shared" si="367"/>
        <v>650000</v>
      </c>
      <c r="J378" s="62">
        <f t="shared" si="367"/>
        <v>650000</v>
      </c>
      <c r="K378" s="62">
        <f t="shared" si="367"/>
        <v>650000</v>
      </c>
      <c r="L378" s="62">
        <f t="shared" si="367"/>
        <v>650000</v>
      </c>
      <c r="M378" s="62">
        <f t="shared" si="367"/>
        <v>650000</v>
      </c>
      <c r="N378" s="62">
        <f t="shared" si="367"/>
        <v>650000</v>
      </c>
      <c r="O378" s="62">
        <f t="shared" si="367"/>
        <v>650000</v>
      </c>
      <c r="P378" s="62">
        <f t="shared" si="367"/>
        <v>650000</v>
      </c>
      <c r="Q378" s="62">
        <f t="shared" si="367"/>
        <v>650000</v>
      </c>
      <c r="R378" s="62">
        <f t="shared" si="367"/>
        <v>650000</v>
      </c>
      <c r="S378" s="62">
        <f t="shared" si="367"/>
        <v>650000</v>
      </c>
      <c r="T378" s="62">
        <f t="shared" si="367"/>
        <v>650000</v>
      </c>
      <c r="U378" s="62">
        <f t="shared" si="367"/>
        <v>650000</v>
      </c>
      <c r="V378" s="62">
        <f t="shared" si="367"/>
        <v>650000</v>
      </c>
      <c r="W378" s="62">
        <f t="shared" si="367"/>
        <v>650000</v>
      </c>
      <c r="X378" s="62">
        <f t="shared" si="367"/>
        <v>650000</v>
      </c>
      <c r="Y378" s="62">
        <f t="shared" si="367"/>
        <v>650000</v>
      </c>
      <c r="Z378" s="62">
        <f t="shared" si="367"/>
        <v>650000</v>
      </c>
      <c r="AA378" s="62">
        <f t="shared" si="367"/>
        <v>650000</v>
      </c>
      <c r="AB378" s="62">
        <f t="shared" si="367"/>
        <v>650000</v>
      </c>
      <c r="AC378" s="62">
        <f t="shared" si="367"/>
        <v>650000</v>
      </c>
    </row>
    <row r="379" spans="1:29" x14ac:dyDescent="0.25">
      <c r="A379" s="30" t="str">
        <f>A361</f>
        <v>Opex var (mode-fees, shunting)</v>
      </c>
      <c r="B379" s="62">
        <f>B361*B370</f>
        <v>1600000</v>
      </c>
      <c r="C379" s="62">
        <f t="shared" ref="C379:AC379" si="368">C361*C370</f>
        <v>1600000</v>
      </c>
      <c r="D379" s="62">
        <f t="shared" si="368"/>
        <v>1600000</v>
      </c>
      <c r="E379" s="62">
        <f t="shared" si="368"/>
        <v>1600000</v>
      </c>
      <c r="F379" s="62">
        <f t="shared" si="368"/>
        <v>1600000</v>
      </c>
      <c r="G379" s="62">
        <f t="shared" si="368"/>
        <v>1600000</v>
      </c>
      <c r="H379" s="62">
        <f t="shared" si="368"/>
        <v>1600000</v>
      </c>
      <c r="I379" s="62">
        <f t="shared" si="368"/>
        <v>1600000</v>
      </c>
      <c r="J379" s="62">
        <f t="shared" si="368"/>
        <v>1600000</v>
      </c>
      <c r="K379" s="62">
        <f t="shared" si="368"/>
        <v>1600000</v>
      </c>
      <c r="L379" s="62">
        <f t="shared" si="368"/>
        <v>1600000</v>
      </c>
      <c r="M379" s="62">
        <f t="shared" si="368"/>
        <v>1600000</v>
      </c>
      <c r="N379" s="62">
        <f t="shared" si="368"/>
        <v>1600000</v>
      </c>
      <c r="O379" s="62">
        <f t="shared" si="368"/>
        <v>1600000</v>
      </c>
      <c r="P379" s="62">
        <f t="shared" si="368"/>
        <v>1600000</v>
      </c>
      <c r="Q379" s="62">
        <f t="shared" si="368"/>
        <v>1600000</v>
      </c>
      <c r="R379" s="62">
        <f t="shared" si="368"/>
        <v>1600000</v>
      </c>
      <c r="S379" s="62">
        <f t="shared" si="368"/>
        <v>1600000</v>
      </c>
      <c r="T379" s="62">
        <f t="shared" si="368"/>
        <v>1600000</v>
      </c>
      <c r="U379" s="62">
        <f t="shared" si="368"/>
        <v>1600000</v>
      </c>
      <c r="V379" s="62">
        <f t="shared" si="368"/>
        <v>1600000</v>
      </c>
      <c r="W379" s="62">
        <f t="shared" si="368"/>
        <v>1600000</v>
      </c>
      <c r="X379" s="62">
        <f t="shared" si="368"/>
        <v>1600000</v>
      </c>
      <c r="Y379" s="62">
        <f t="shared" si="368"/>
        <v>1600000</v>
      </c>
      <c r="Z379" s="62">
        <f t="shared" si="368"/>
        <v>1600000</v>
      </c>
      <c r="AA379" s="62">
        <f t="shared" si="368"/>
        <v>1600000</v>
      </c>
      <c r="AB379" s="62">
        <f t="shared" si="368"/>
        <v>1600000</v>
      </c>
      <c r="AC379" s="62">
        <f t="shared" si="368"/>
        <v>1600000</v>
      </c>
    </row>
    <row r="380" spans="1:29" x14ac:dyDescent="0.25">
      <c r="A380" s="30" t="str">
        <f>A363</f>
        <v>Fuel Cost</v>
      </c>
      <c r="B380" s="62">
        <f>B362*B363*B370</f>
        <v>457095.41846307018</v>
      </c>
      <c r="C380" s="62">
        <f t="shared" ref="C380:AC380" si="369">C362*C363*C370</f>
        <v>457095.41846307018</v>
      </c>
      <c r="D380" s="62">
        <f t="shared" si="369"/>
        <v>457095.41846307018</v>
      </c>
      <c r="E380" s="62">
        <f t="shared" si="369"/>
        <v>457095.41846307018</v>
      </c>
      <c r="F380" s="62">
        <f t="shared" si="369"/>
        <v>457095.41846307018</v>
      </c>
      <c r="G380" s="62">
        <f t="shared" si="369"/>
        <v>457095.41846307018</v>
      </c>
      <c r="H380" s="62">
        <f t="shared" si="369"/>
        <v>457095.41846307018</v>
      </c>
      <c r="I380" s="62">
        <f t="shared" si="369"/>
        <v>457095.41846307018</v>
      </c>
      <c r="J380" s="62">
        <f t="shared" si="369"/>
        <v>468757.93473681842</v>
      </c>
      <c r="K380" s="62">
        <f t="shared" si="369"/>
        <v>480420.45101056673</v>
      </c>
      <c r="L380" s="62">
        <f t="shared" si="369"/>
        <v>492082.96728431497</v>
      </c>
      <c r="M380" s="62">
        <f t="shared" si="369"/>
        <v>503745.48355806334</v>
      </c>
      <c r="N380" s="62">
        <f t="shared" si="369"/>
        <v>515407.99983181141</v>
      </c>
      <c r="O380" s="62">
        <f t="shared" si="369"/>
        <v>510517.26720088476</v>
      </c>
      <c r="P380" s="62">
        <f t="shared" si="369"/>
        <v>505626.53456995805</v>
      </c>
      <c r="Q380" s="62">
        <f t="shared" si="369"/>
        <v>500735.80193903128</v>
      </c>
      <c r="R380" s="62">
        <f t="shared" si="369"/>
        <v>495845.06930810458</v>
      </c>
      <c r="S380" s="62">
        <f t="shared" si="369"/>
        <v>490954.33667717798</v>
      </c>
      <c r="T380" s="62">
        <f t="shared" si="369"/>
        <v>486063.60404625122</v>
      </c>
      <c r="U380" s="62">
        <f t="shared" si="369"/>
        <v>481172.87141532457</v>
      </c>
      <c r="V380" s="62">
        <f t="shared" si="369"/>
        <v>476282.13878439786</v>
      </c>
      <c r="W380" s="62">
        <f t="shared" si="369"/>
        <v>471391.40615347109</v>
      </c>
      <c r="X380" s="62">
        <f t="shared" si="369"/>
        <v>466500.67352254456</v>
      </c>
      <c r="Y380" s="62">
        <f t="shared" si="369"/>
        <v>461609.94089161785</v>
      </c>
      <c r="Z380" s="62">
        <f t="shared" si="369"/>
        <v>456719.20826069114</v>
      </c>
      <c r="AA380" s="62">
        <f t="shared" si="369"/>
        <v>451828.47562976438</v>
      </c>
      <c r="AB380" s="62">
        <f t="shared" si="369"/>
        <v>446937.74299883778</v>
      </c>
      <c r="AC380" s="62">
        <f t="shared" si="369"/>
        <v>442047.01036791113</v>
      </c>
    </row>
    <row r="381" spans="1:29" ht="15.75" thickBot="1" x14ac:dyDescent="0.3">
      <c r="A381" s="59" t="str">
        <f>A344</f>
        <v>Emission Cost</v>
      </c>
      <c r="B381" s="62">
        <f>B364*B370</f>
        <v>0</v>
      </c>
      <c r="C381" s="62">
        <f t="shared" ref="C381:AC381" si="370">C364*C370</f>
        <v>0</v>
      </c>
      <c r="D381" s="62">
        <f t="shared" si="370"/>
        <v>0</v>
      </c>
      <c r="E381" s="62">
        <f t="shared" si="370"/>
        <v>0</v>
      </c>
      <c r="F381" s="62">
        <f t="shared" si="370"/>
        <v>0</v>
      </c>
      <c r="G381" s="62">
        <f t="shared" si="370"/>
        <v>0</v>
      </c>
      <c r="H381" s="62">
        <f t="shared" si="370"/>
        <v>0</v>
      </c>
      <c r="I381" s="62">
        <f t="shared" si="370"/>
        <v>0</v>
      </c>
      <c r="J381" s="62">
        <f t="shared" si="370"/>
        <v>0</v>
      </c>
      <c r="K381" s="62">
        <f t="shared" si="370"/>
        <v>0</v>
      </c>
      <c r="L381" s="62">
        <f t="shared" si="370"/>
        <v>0</v>
      </c>
      <c r="M381" s="62">
        <f t="shared" si="370"/>
        <v>0</v>
      </c>
      <c r="N381" s="62">
        <f t="shared" si="370"/>
        <v>0</v>
      </c>
      <c r="O381" s="62">
        <f t="shared" si="370"/>
        <v>0</v>
      </c>
      <c r="P381" s="62">
        <f t="shared" si="370"/>
        <v>0</v>
      </c>
      <c r="Q381" s="62">
        <f t="shared" si="370"/>
        <v>0</v>
      </c>
      <c r="R381" s="62">
        <f t="shared" si="370"/>
        <v>0</v>
      </c>
      <c r="S381" s="62">
        <f t="shared" si="370"/>
        <v>0</v>
      </c>
      <c r="T381" s="62">
        <f t="shared" si="370"/>
        <v>0</v>
      </c>
      <c r="U381" s="62">
        <f t="shared" si="370"/>
        <v>0</v>
      </c>
      <c r="V381" s="62">
        <f t="shared" si="370"/>
        <v>0</v>
      </c>
      <c r="W381" s="62">
        <f t="shared" si="370"/>
        <v>0</v>
      </c>
      <c r="X381" s="62">
        <f t="shared" si="370"/>
        <v>0</v>
      </c>
      <c r="Y381" s="62">
        <f t="shared" si="370"/>
        <v>0</v>
      </c>
      <c r="Z381" s="62">
        <f t="shared" si="370"/>
        <v>0</v>
      </c>
      <c r="AA381" s="62">
        <f t="shared" si="370"/>
        <v>0</v>
      </c>
      <c r="AB381" s="62">
        <f t="shared" si="370"/>
        <v>0</v>
      </c>
      <c r="AC381" s="62">
        <f t="shared" si="370"/>
        <v>0</v>
      </c>
    </row>
    <row r="382" spans="1:29" ht="15.75" thickBot="1" x14ac:dyDescent="0.3">
      <c r="A382" s="31" t="s">
        <v>209</v>
      </c>
      <c r="B382" s="64">
        <f>B373+B374+B375+B376+B377+B378+B379+B380+B381</f>
        <v>4817498.9424599763</v>
      </c>
      <c r="C382" s="64">
        <f t="shared" ref="C382:AC382" si="371">C373+C374+C375+C376+C377+C378+C379+C380+C381</f>
        <v>4817498.9424599763</v>
      </c>
      <c r="D382" s="64">
        <f t="shared" si="371"/>
        <v>4817498.9424599763</v>
      </c>
      <c r="E382" s="64">
        <f t="shared" si="371"/>
        <v>4817498.9424599763</v>
      </c>
      <c r="F382" s="64">
        <f t="shared" si="371"/>
        <v>4817498.9424599763</v>
      </c>
      <c r="G382" s="64">
        <f t="shared" si="371"/>
        <v>4817498.9424599763</v>
      </c>
      <c r="H382" s="64">
        <f t="shared" si="371"/>
        <v>4817498.9424599763</v>
      </c>
      <c r="I382" s="64">
        <f t="shared" si="371"/>
        <v>4817498.9424599763</v>
      </c>
      <c r="J382" s="64">
        <f t="shared" si="371"/>
        <v>4829161.4587337244</v>
      </c>
      <c r="K382" s="64">
        <f t="shared" si="371"/>
        <v>4840823.9750074735</v>
      </c>
      <c r="L382" s="64">
        <f t="shared" si="371"/>
        <v>4852486.4912812216</v>
      </c>
      <c r="M382" s="64">
        <f t="shared" si="371"/>
        <v>4864149.0075549698</v>
      </c>
      <c r="N382" s="64">
        <f t="shared" si="371"/>
        <v>4875811.5238287179</v>
      </c>
      <c r="O382" s="64">
        <f t="shared" si="371"/>
        <v>4870920.7911977908</v>
      </c>
      <c r="P382" s="64">
        <f t="shared" si="371"/>
        <v>4866030.0585668646</v>
      </c>
      <c r="Q382" s="64">
        <f t="shared" si="371"/>
        <v>4861139.3259359375</v>
      </c>
      <c r="R382" s="64">
        <f t="shared" si="371"/>
        <v>4856248.5933050113</v>
      </c>
      <c r="S382" s="64">
        <f t="shared" si="371"/>
        <v>4851357.8606740842</v>
      </c>
      <c r="T382" s="64">
        <f t="shared" si="371"/>
        <v>4846467.128043158</v>
      </c>
      <c r="U382" s="64">
        <f t="shared" si="371"/>
        <v>4841576.3954122309</v>
      </c>
      <c r="V382" s="64">
        <f t="shared" si="371"/>
        <v>4836685.6627813037</v>
      </c>
      <c r="W382" s="64">
        <f t="shared" si="371"/>
        <v>4831794.9301503776</v>
      </c>
      <c r="X382" s="64">
        <f t="shared" si="371"/>
        <v>4826904.1975194514</v>
      </c>
      <c r="Y382" s="64">
        <f t="shared" si="371"/>
        <v>4822013.4648885243</v>
      </c>
      <c r="Z382" s="64">
        <f t="shared" si="371"/>
        <v>4817122.7322575971</v>
      </c>
      <c r="AA382" s="64">
        <f t="shared" si="371"/>
        <v>4812231.999626671</v>
      </c>
      <c r="AB382" s="64">
        <f t="shared" si="371"/>
        <v>4807341.2669957438</v>
      </c>
      <c r="AC382" s="64">
        <f t="shared" si="371"/>
        <v>4802450.5343648177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2">A373</f>
        <v>Capex vehicle</v>
      </c>
      <c r="B385" s="65">
        <f>((1+B358)^B365)*B358/(((1+B358)^B365)-1)*(B354)/B370</f>
        <v>2.4421444531330927</v>
      </c>
      <c r="C385" s="65">
        <f t="shared" ref="C385:AC385" si="373">((1+C358)^C365)*C358/(((1+C358)^C365)-1)*(C354)/C370</f>
        <v>2.4421444531330927</v>
      </c>
      <c r="D385" s="65">
        <f t="shared" si="373"/>
        <v>2.4421444531330927</v>
      </c>
      <c r="E385" s="65">
        <f t="shared" si="373"/>
        <v>2.4421444531330927</v>
      </c>
      <c r="F385" s="65">
        <f t="shared" si="373"/>
        <v>2.4421444531330927</v>
      </c>
      <c r="G385" s="65">
        <f t="shared" si="373"/>
        <v>2.4421444531330927</v>
      </c>
      <c r="H385" s="65">
        <f t="shared" si="373"/>
        <v>2.4421444531330927</v>
      </c>
      <c r="I385" s="65">
        <f t="shared" si="373"/>
        <v>2.4421444531330927</v>
      </c>
      <c r="J385" s="65">
        <f t="shared" si="373"/>
        <v>2.4421444531330927</v>
      </c>
      <c r="K385" s="65">
        <f t="shared" si="373"/>
        <v>2.4421444531330927</v>
      </c>
      <c r="L385" s="65">
        <f t="shared" si="373"/>
        <v>2.4421444531330927</v>
      </c>
      <c r="M385" s="65">
        <f t="shared" si="373"/>
        <v>2.4421444531330927</v>
      </c>
      <c r="N385" s="65">
        <f t="shared" si="373"/>
        <v>2.4421444531330927</v>
      </c>
      <c r="O385" s="65">
        <f t="shared" si="373"/>
        <v>2.4421444531330927</v>
      </c>
      <c r="P385" s="65">
        <f t="shared" si="373"/>
        <v>2.4421444531330927</v>
      </c>
      <c r="Q385" s="65">
        <f t="shared" si="373"/>
        <v>2.4421444531330927</v>
      </c>
      <c r="R385" s="65">
        <f t="shared" si="373"/>
        <v>2.4421444531330927</v>
      </c>
      <c r="S385" s="65">
        <f t="shared" si="373"/>
        <v>2.4421444531330927</v>
      </c>
      <c r="T385" s="65">
        <f t="shared" si="373"/>
        <v>2.4421444531330927</v>
      </c>
      <c r="U385" s="65">
        <f t="shared" si="373"/>
        <v>2.4421444531330927</v>
      </c>
      <c r="V385" s="65">
        <f t="shared" si="373"/>
        <v>2.4421444531330927</v>
      </c>
      <c r="W385" s="65">
        <f t="shared" si="373"/>
        <v>2.4421444531330927</v>
      </c>
      <c r="X385" s="65">
        <f t="shared" si="373"/>
        <v>2.4421444531330927</v>
      </c>
      <c r="Y385" s="65">
        <f t="shared" si="373"/>
        <v>2.4421444531330927</v>
      </c>
      <c r="Z385" s="65">
        <f t="shared" si="373"/>
        <v>2.4421444531330927</v>
      </c>
      <c r="AA385" s="65">
        <f t="shared" si="373"/>
        <v>2.4421444531330927</v>
      </c>
      <c r="AB385" s="65">
        <f t="shared" si="373"/>
        <v>2.4421444531330927</v>
      </c>
      <c r="AC385" s="65">
        <f t="shared" si="373"/>
        <v>2.4421444531330927</v>
      </c>
    </row>
    <row r="386" spans="1:29" x14ac:dyDescent="0.25">
      <c r="A386" s="30" t="str">
        <f t="shared" si="372"/>
        <v>Residual value (vehicle)</v>
      </c>
      <c r="B386" s="66">
        <f>((1+B358)^B365)*B358/(((1+B358)^B365)-1)*(B355)/B370</f>
        <v>-0.3663216679699639</v>
      </c>
      <c r="C386" s="66">
        <f t="shared" ref="C386:AC386" si="374">((1+C358)^C365)*C358/(((1+C358)^C365)-1)*(C355)/C370</f>
        <v>-0.3663216679699639</v>
      </c>
      <c r="D386" s="66">
        <f t="shared" si="374"/>
        <v>-0.3663216679699639</v>
      </c>
      <c r="E386" s="66">
        <f t="shared" si="374"/>
        <v>-0.3663216679699639</v>
      </c>
      <c r="F386" s="66">
        <f t="shared" si="374"/>
        <v>-0.3663216679699639</v>
      </c>
      <c r="G386" s="66">
        <f t="shared" si="374"/>
        <v>-0.3663216679699639</v>
      </c>
      <c r="H386" s="66">
        <f t="shared" si="374"/>
        <v>-0.3663216679699639</v>
      </c>
      <c r="I386" s="66">
        <f t="shared" si="374"/>
        <v>-0.3663216679699639</v>
      </c>
      <c r="J386" s="66">
        <f t="shared" si="374"/>
        <v>-0.3663216679699639</v>
      </c>
      <c r="K386" s="66">
        <f t="shared" si="374"/>
        <v>-0.3663216679699639</v>
      </c>
      <c r="L386" s="66">
        <f t="shared" si="374"/>
        <v>-0.3663216679699639</v>
      </c>
      <c r="M386" s="66">
        <f t="shared" si="374"/>
        <v>-0.3663216679699639</v>
      </c>
      <c r="N386" s="66">
        <f t="shared" si="374"/>
        <v>-0.3663216679699639</v>
      </c>
      <c r="O386" s="66">
        <f t="shared" si="374"/>
        <v>-0.3663216679699639</v>
      </c>
      <c r="P386" s="66">
        <f t="shared" si="374"/>
        <v>-0.3663216679699639</v>
      </c>
      <c r="Q386" s="66">
        <f t="shared" si="374"/>
        <v>-0.3663216679699639</v>
      </c>
      <c r="R386" s="66">
        <f t="shared" si="374"/>
        <v>-0.3663216679699639</v>
      </c>
      <c r="S386" s="66">
        <f t="shared" si="374"/>
        <v>-0.3663216679699639</v>
      </c>
      <c r="T386" s="66">
        <f t="shared" si="374"/>
        <v>-0.3663216679699639</v>
      </c>
      <c r="U386" s="66">
        <f t="shared" si="374"/>
        <v>-0.3663216679699639</v>
      </c>
      <c r="V386" s="66">
        <f t="shared" si="374"/>
        <v>-0.3663216679699639</v>
      </c>
      <c r="W386" s="66">
        <f t="shared" si="374"/>
        <v>-0.3663216679699639</v>
      </c>
      <c r="X386" s="66">
        <f t="shared" si="374"/>
        <v>-0.3663216679699639</v>
      </c>
      <c r="Y386" s="66">
        <f t="shared" si="374"/>
        <v>-0.3663216679699639</v>
      </c>
      <c r="Z386" s="66">
        <f t="shared" si="374"/>
        <v>-0.3663216679699639</v>
      </c>
      <c r="AA386" s="66">
        <f t="shared" si="374"/>
        <v>-0.3663216679699639</v>
      </c>
      <c r="AB386" s="66">
        <f t="shared" si="374"/>
        <v>-0.3663216679699639</v>
      </c>
      <c r="AC386" s="66">
        <f t="shared" si="374"/>
        <v>-0.3663216679699639</v>
      </c>
    </row>
    <row r="387" spans="1:29" x14ac:dyDescent="0.25">
      <c r="A387" s="30" t="str">
        <f t="shared" si="372"/>
        <v>Capex costumization</v>
      </c>
      <c r="B387" s="66">
        <f>((1+B358)^B366)*B358/(((1+B358)^B366)-1)*(B356)/B370</f>
        <v>1.7093861527069927</v>
      </c>
      <c r="C387" s="66">
        <f t="shared" ref="C387:AC387" si="375">((1+C358)^C366)*C358/(((1+C358)^C366)-1)*(C356)/C370</f>
        <v>1.7093861527069927</v>
      </c>
      <c r="D387" s="66">
        <f t="shared" si="375"/>
        <v>1.7093861527069927</v>
      </c>
      <c r="E387" s="66">
        <f t="shared" si="375"/>
        <v>1.7093861527069927</v>
      </c>
      <c r="F387" s="66">
        <f t="shared" si="375"/>
        <v>1.7093861527069927</v>
      </c>
      <c r="G387" s="66">
        <f t="shared" si="375"/>
        <v>1.7093861527069927</v>
      </c>
      <c r="H387" s="66">
        <f t="shared" si="375"/>
        <v>1.7093861527069927</v>
      </c>
      <c r="I387" s="66">
        <f t="shared" si="375"/>
        <v>1.7093861527069927</v>
      </c>
      <c r="J387" s="66">
        <f t="shared" si="375"/>
        <v>1.7093861527069927</v>
      </c>
      <c r="K387" s="66">
        <f t="shared" si="375"/>
        <v>1.7093861527069927</v>
      </c>
      <c r="L387" s="66">
        <f t="shared" si="375"/>
        <v>1.7093861527069927</v>
      </c>
      <c r="M387" s="66">
        <f t="shared" si="375"/>
        <v>1.7093861527069927</v>
      </c>
      <c r="N387" s="66">
        <f t="shared" si="375"/>
        <v>1.7093861527069927</v>
      </c>
      <c r="O387" s="66">
        <f t="shared" si="375"/>
        <v>1.7093861527069927</v>
      </c>
      <c r="P387" s="66">
        <f t="shared" si="375"/>
        <v>1.7093861527069927</v>
      </c>
      <c r="Q387" s="66">
        <f t="shared" si="375"/>
        <v>1.7093861527069927</v>
      </c>
      <c r="R387" s="66">
        <f t="shared" si="375"/>
        <v>1.7093861527069927</v>
      </c>
      <c r="S387" s="66">
        <f t="shared" si="375"/>
        <v>1.7093861527069927</v>
      </c>
      <c r="T387" s="66">
        <f t="shared" si="375"/>
        <v>1.7093861527069927</v>
      </c>
      <c r="U387" s="66">
        <f t="shared" si="375"/>
        <v>1.7093861527069927</v>
      </c>
      <c r="V387" s="66">
        <f t="shared" si="375"/>
        <v>1.7093861527069927</v>
      </c>
      <c r="W387" s="66">
        <f t="shared" si="375"/>
        <v>1.7093861527069927</v>
      </c>
      <c r="X387" s="66">
        <f t="shared" si="375"/>
        <v>1.7093861527069927</v>
      </c>
      <c r="Y387" s="66">
        <f t="shared" si="375"/>
        <v>1.7093861527069927</v>
      </c>
      <c r="Z387" s="66">
        <f t="shared" si="375"/>
        <v>1.7093861527069927</v>
      </c>
      <c r="AA387" s="66">
        <f t="shared" si="375"/>
        <v>1.7093861527069927</v>
      </c>
      <c r="AB387" s="66">
        <f t="shared" si="375"/>
        <v>1.7093861527069927</v>
      </c>
      <c r="AC387" s="66">
        <f t="shared" si="375"/>
        <v>1.7093861527069927</v>
      </c>
    </row>
    <row r="388" spans="1:29" x14ac:dyDescent="0.25">
      <c r="A388" s="30" t="str">
        <f t="shared" si="372"/>
        <v>Residual value (costumization)</v>
      </c>
      <c r="B388" s="66">
        <f>((1+B358)^B366)*B358/(((1+B358)^B366)-1)*(B357)/B370</f>
        <v>-8.5469307635349642E-2</v>
      </c>
      <c r="C388" s="66">
        <f t="shared" ref="C388:AC388" si="376">((1+C358)^C366)*C358/(((1+C358)^C366)-1)*(C357)/C370</f>
        <v>-8.5469307635349642E-2</v>
      </c>
      <c r="D388" s="66">
        <f t="shared" si="376"/>
        <v>-8.5469307635349642E-2</v>
      </c>
      <c r="E388" s="66">
        <f t="shared" si="376"/>
        <v>-8.5469307635349642E-2</v>
      </c>
      <c r="F388" s="66">
        <f t="shared" si="376"/>
        <v>-8.5469307635349642E-2</v>
      </c>
      <c r="G388" s="66">
        <f t="shared" si="376"/>
        <v>-8.5469307635349642E-2</v>
      </c>
      <c r="H388" s="66">
        <f t="shared" si="376"/>
        <v>-8.5469307635349642E-2</v>
      </c>
      <c r="I388" s="66">
        <f t="shared" si="376"/>
        <v>-8.5469307635349642E-2</v>
      </c>
      <c r="J388" s="66">
        <f t="shared" si="376"/>
        <v>-8.5469307635349642E-2</v>
      </c>
      <c r="K388" s="66">
        <f t="shared" si="376"/>
        <v>-8.5469307635349642E-2</v>
      </c>
      <c r="L388" s="66">
        <f t="shared" si="376"/>
        <v>-8.5469307635349642E-2</v>
      </c>
      <c r="M388" s="66">
        <f t="shared" si="376"/>
        <v>-8.5469307635349642E-2</v>
      </c>
      <c r="N388" s="66">
        <f t="shared" si="376"/>
        <v>-8.5469307635349642E-2</v>
      </c>
      <c r="O388" s="66">
        <f t="shared" si="376"/>
        <v>-8.5469307635349642E-2</v>
      </c>
      <c r="P388" s="66">
        <f t="shared" si="376"/>
        <v>-8.5469307635349642E-2</v>
      </c>
      <c r="Q388" s="66">
        <f t="shared" si="376"/>
        <v>-8.5469307635349642E-2</v>
      </c>
      <c r="R388" s="66">
        <f t="shared" si="376"/>
        <v>-8.5469307635349642E-2</v>
      </c>
      <c r="S388" s="66">
        <f t="shared" si="376"/>
        <v>-8.5469307635349642E-2</v>
      </c>
      <c r="T388" s="66">
        <f t="shared" si="376"/>
        <v>-8.5469307635349642E-2</v>
      </c>
      <c r="U388" s="66">
        <f t="shared" si="376"/>
        <v>-8.5469307635349642E-2</v>
      </c>
      <c r="V388" s="66">
        <f t="shared" si="376"/>
        <v>-8.5469307635349642E-2</v>
      </c>
      <c r="W388" s="66">
        <f t="shared" si="376"/>
        <v>-8.5469307635349642E-2</v>
      </c>
      <c r="X388" s="66">
        <f t="shared" si="376"/>
        <v>-8.5469307635349642E-2</v>
      </c>
      <c r="Y388" s="66">
        <f t="shared" si="376"/>
        <v>-8.5469307635349642E-2</v>
      </c>
      <c r="Z388" s="66">
        <f t="shared" si="376"/>
        <v>-8.5469307635349642E-2</v>
      </c>
      <c r="AA388" s="66">
        <f t="shared" si="376"/>
        <v>-8.5469307635349642E-2</v>
      </c>
      <c r="AB388" s="66">
        <f t="shared" si="376"/>
        <v>-8.5469307635349642E-2</v>
      </c>
      <c r="AC388" s="66">
        <f t="shared" si="376"/>
        <v>-8.5469307635349642E-2</v>
      </c>
    </row>
    <row r="389" spans="1:29" x14ac:dyDescent="0.25">
      <c r="A389" s="30" t="str">
        <f t="shared" si="372"/>
        <v>Opex fix (admin, crew, insurance)</v>
      </c>
      <c r="B389" s="66">
        <f>B359/B370</f>
        <v>8.1232492997198875</v>
      </c>
      <c r="C389" s="66">
        <f t="shared" ref="C389:AC389" si="377">C359/C370</f>
        <v>8.1232492997198875</v>
      </c>
      <c r="D389" s="66">
        <f t="shared" si="377"/>
        <v>8.1232492997198875</v>
      </c>
      <c r="E389" s="66">
        <f t="shared" si="377"/>
        <v>8.1232492997198875</v>
      </c>
      <c r="F389" s="66">
        <f t="shared" si="377"/>
        <v>8.1232492997198875</v>
      </c>
      <c r="G389" s="66">
        <f t="shared" si="377"/>
        <v>8.1232492997198875</v>
      </c>
      <c r="H389" s="66">
        <f t="shared" si="377"/>
        <v>8.1232492997198875</v>
      </c>
      <c r="I389" s="66">
        <f t="shared" si="377"/>
        <v>8.1232492997198875</v>
      </c>
      <c r="J389" s="66">
        <f t="shared" si="377"/>
        <v>8.1232492997198875</v>
      </c>
      <c r="K389" s="66">
        <f t="shared" si="377"/>
        <v>8.1232492997198875</v>
      </c>
      <c r="L389" s="66">
        <f t="shared" si="377"/>
        <v>8.1232492997198875</v>
      </c>
      <c r="M389" s="66">
        <f t="shared" si="377"/>
        <v>8.1232492997198875</v>
      </c>
      <c r="N389" s="66">
        <f t="shared" si="377"/>
        <v>8.1232492997198875</v>
      </c>
      <c r="O389" s="66">
        <f t="shared" si="377"/>
        <v>8.1232492997198875</v>
      </c>
      <c r="P389" s="66">
        <f t="shared" si="377"/>
        <v>8.1232492997198875</v>
      </c>
      <c r="Q389" s="66">
        <f t="shared" si="377"/>
        <v>8.1232492997198875</v>
      </c>
      <c r="R389" s="66">
        <f t="shared" si="377"/>
        <v>8.1232492997198875</v>
      </c>
      <c r="S389" s="66">
        <f t="shared" si="377"/>
        <v>8.1232492997198875</v>
      </c>
      <c r="T389" s="66">
        <f t="shared" si="377"/>
        <v>8.1232492997198875</v>
      </c>
      <c r="U389" s="66">
        <f t="shared" si="377"/>
        <v>8.1232492997198875</v>
      </c>
      <c r="V389" s="66">
        <f t="shared" si="377"/>
        <v>8.1232492997198875</v>
      </c>
      <c r="W389" s="66">
        <f t="shared" si="377"/>
        <v>8.1232492997198875</v>
      </c>
      <c r="X389" s="66">
        <f t="shared" si="377"/>
        <v>8.1232492997198875</v>
      </c>
      <c r="Y389" s="66">
        <f t="shared" si="377"/>
        <v>8.1232492997198875</v>
      </c>
      <c r="Z389" s="66">
        <f t="shared" si="377"/>
        <v>8.1232492997198875</v>
      </c>
      <c r="AA389" s="66">
        <f t="shared" si="377"/>
        <v>8.1232492997198875</v>
      </c>
      <c r="AB389" s="66">
        <f t="shared" si="377"/>
        <v>8.1232492997198875</v>
      </c>
      <c r="AC389" s="66">
        <f t="shared" si="377"/>
        <v>8.1232492997198875</v>
      </c>
    </row>
    <row r="390" spans="1:29" x14ac:dyDescent="0.25">
      <c r="A390" s="30" t="str">
        <f t="shared" si="372"/>
        <v>Opex maintenance &amp; repair</v>
      </c>
      <c r="B390" s="66">
        <f>B360/B370</f>
        <v>3.6414565826330532</v>
      </c>
      <c r="C390" s="66">
        <f t="shared" ref="C390:AC390" si="378">C360/C370</f>
        <v>3.6414565826330532</v>
      </c>
      <c r="D390" s="66">
        <f t="shared" si="378"/>
        <v>3.6414565826330532</v>
      </c>
      <c r="E390" s="66">
        <f t="shared" si="378"/>
        <v>3.6414565826330532</v>
      </c>
      <c r="F390" s="66">
        <f t="shared" si="378"/>
        <v>3.6414565826330532</v>
      </c>
      <c r="G390" s="66">
        <f t="shared" si="378"/>
        <v>3.6414565826330532</v>
      </c>
      <c r="H390" s="66">
        <f t="shared" si="378"/>
        <v>3.6414565826330532</v>
      </c>
      <c r="I390" s="66">
        <f t="shared" si="378"/>
        <v>3.6414565826330532</v>
      </c>
      <c r="J390" s="66">
        <f t="shared" si="378"/>
        <v>3.6414565826330532</v>
      </c>
      <c r="K390" s="66">
        <f t="shared" si="378"/>
        <v>3.6414565826330532</v>
      </c>
      <c r="L390" s="66">
        <f t="shared" si="378"/>
        <v>3.6414565826330532</v>
      </c>
      <c r="M390" s="66">
        <f t="shared" si="378"/>
        <v>3.6414565826330532</v>
      </c>
      <c r="N390" s="66">
        <f t="shared" si="378"/>
        <v>3.6414565826330532</v>
      </c>
      <c r="O390" s="66">
        <f t="shared" si="378"/>
        <v>3.6414565826330532</v>
      </c>
      <c r="P390" s="66">
        <f t="shared" si="378"/>
        <v>3.6414565826330532</v>
      </c>
      <c r="Q390" s="66">
        <f t="shared" si="378"/>
        <v>3.6414565826330532</v>
      </c>
      <c r="R390" s="66">
        <f t="shared" si="378"/>
        <v>3.6414565826330532</v>
      </c>
      <c r="S390" s="66">
        <f t="shared" si="378"/>
        <v>3.6414565826330532</v>
      </c>
      <c r="T390" s="66">
        <f t="shared" si="378"/>
        <v>3.6414565826330532</v>
      </c>
      <c r="U390" s="66">
        <f t="shared" si="378"/>
        <v>3.6414565826330532</v>
      </c>
      <c r="V390" s="66">
        <f t="shared" si="378"/>
        <v>3.6414565826330532</v>
      </c>
      <c r="W390" s="66">
        <f t="shared" si="378"/>
        <v>3.6414565826330532</v>
      </c>
      <c r="X390" s="66">
        <f t="shared" si="378"/>
        <v>3.6414565826330532</v>
      </c>
      <c r="Y390" s="66">
        <f t="shared" si="378"/>
        <v>3.6414565826330532</v>
      </c>
      <c r="Z390" s="66">
        <f t="shared" si="378"/>
        <v>3.6414565826330532</v>
      </c>
      <c r="AA390" s="66">
        <f t="shared" si="378"/>
        <v>3.6414565826330532</v>
      </c>
      <c r="AB390" s="66">
        <f t="shared" si="378"/>
        <v>3.6414565826330532</v>
      </c>
      <c r="AC390" s="66">
        <f t="shared" si="378"/>
        <v>3.6414565826330532</v>
      </c>
    </row>
    <row r="391" spans="1:29" x14ac:dyDescent="0.25">
      <c r="A391" s="30" t="str">
        <f t="shared" si="372"/>
        <v>Opex var (mode-fees, shunting)</v>
      </c>
      <c r="B391" s="66">
        <f>B361*B370/B370</f>
        <v>8.9635854341736696</v>
      </c>
      <c r="C391" s="66">
        <f t="shared" ref="C391:AC391" si="379">C361*C370/C370</f>
        <v>8.9635854341736696</v>
      </c>
      <c r="D391" s="66">
        <f t="shared" si="379"/>
        <v>8.9635854341736696</v>
      </c>
      <c r="E391" s="66">
        <f t="shared" si="379"/>
        <v>8.9635854341736696</v>
      </c>
      <c r="F391" s="66">
        <f t="shared" si="379"/>
        <v>8.9635854341736696</v>
      </c>
      <c r="G391" s="66">
        <f t="shared" si="379"/>
        <v>8.9635854341736696</v>
      </c>
      <c r="H391" s="66">
        <f t="shared" si="379"/>
        <v>8.9635854341736696</v>
      </c>
      <c r="I391" s="66">
        <f t="shared" si="379"/>
        <v>8.9635854341736696</v>
      </c>
      <c r="J391" s="66">
        <f t="shared" si="379"/>
        <v>8.9635854341736696</v>
      </c>
      <c r="K391" s="66">
        <f t="shared" si="379"/>
        <v>8.9635854341736696</v>
      </c>
      <c r="L391" s="66">
        <f t="shared" si="379"/>
        <v>8.9635854341736696</v>
      </c>
      <c r="M391" s="66">
        <f t="shared" si="379"/>
        <v>8.9635854341736696</v>
      </c>
      <c r="N391" s="66">
        <f t="shared" si="379"/>
        <v>8.9635854341736696</v>
      </c>
      <c r="O391" s="66">
        <f t="shared" si="379"/>
        <v>8.9635854341736696</v>
      </c>
      <c r="P391" s="66">
        <f t="shared" si="379"/>
        <v>8.9635854341736696</v>
      </c>
      <c r="Q391" s="66">
        <f t="shared" si="379"/>
        <v>8.9635854341736696</v>
      </c>
      <c r="R391" s="66">
        <f t="shared" si="379"/>
        <v>8.9635854341736696</v>
      </c>
      <c r="S391" s="66">
        <f t="shared" si="379"/>
        <v>8.9635854341736696</v>
      </c>
      <c r="T391" s="66">
        <f t="shared" si="379"/>
        <v>8.9635854341736696</v>
      </c>
      <c r="U391" s="66">
        <f t="shared" si="379"/>
        <v>8.9635854341736696</v>
      </c>
      <c r="V391" s="66">
        <f t="shared" si="379"/>
        <v>8.9635854341736696</v>
      </c>
      <c r="W391" s="66">
        <f t="shared" si="379"/>
        <v>8.9635854341736696</v>
      </c>
      <c r="X391" s="66">
        <f t="shared" si="379"/>
        <v>8.9635854341736696</v>
      </c>
      <c r="Y391" s="66">
        <f t="shared" si="379"/>
        <v>8.9635854341736696</v>
      </c>
      <c r="Z391" s="66">
        <f t="shared" si="379"/>
        <v>8.9635854341736696</v>
      </c>
      <c r="AA391" s="66">
        <f t="shared" si="379"/>
        <v>8.9635854341736696</v>
      </c>
      <c r="AB391" s="66">
        <f t="shared" si="379"/>
        <v>8.9635854341736696</v>
      </c>
      <c r="AC391" s="66">
        <f t="shared" si="379"/>
        <v>8.9635854341736696</v>
      </c>
    </row>
    <row r="392" spans="1:29" x14ac:dyDescent="0.25">
      <c r="A392" s="30" t="str">
        <f t="shared" si="372"/>
        <v>Fuel Cost</v>
      </c>
      <c r="B392" s="66">
        <f>B362*B363*B370/B370</f>
        <v>2.5607586468519337</v>
      </c>
      <c r="C392" s="66">
        <f t="shared" ref="C392:AC392" si="380">C362*C363*C370/C370</f>
        <v>2.5607586468519337</v>
      </c>
      <c r="D392" s="66">
        <f t="shared" si="380"/>
        <v>2.5607586468519337</v>
      </c>
      <c r="E392" s="66">
        <f t="shared" si="380"/>
        <v>2.5607586468519337</v>
      </c>
      <c r="F392" s="66">
        <f t="shared" si="380"/>
        <v>2.5607586468519337</v>
      </c>
      <c r="G392" s="66">
        <f t="shared" si="380"/>
        <v>2.5607586468519337</v>
      </c>
      <c r="H392" s="66">
        <f t="shared" si="380"/>
        <v>2.5607586468519337</v>
      </c>
      <c r="I392" s="66">
        <f t="shared" si="380"/>
        <v>2.5607586468519337</v>
      </c>
      <c r="J392" s="66">
        <f t="shared" si="380"/>
        <v>2.6260948724751731</v>
      </c>
      <c r="K392" s="66">
        <f t="shared" si="380"/>
        <v>2.6914310980984131</v>
      </c>
      <c r="L392" s="66">
        <f t="shared" si="380"/>
        <v>2.7567673237216526</v>
      </c>
      <c r="M392" s="66">
        <f t="shared" si="380"/>
        <v>2.8221035493448925</v>
      </c>
      <c r="N392" s="66">
        <f t="shared" si="380"/>
        <v>2.8874397749681311</v>
      </c>
      <c r="O392" s="66">
        <f t="shared" si="380"/>
        <v>2.8600407126099987</v>
      </c>
      <c r="P392" s="66">
        <f t="shared" si="380"/>
        <v>2.8326416502518659</v>
      </c>
      <c r="Q392" s="66">
        <f t="shared" si="380"/>
        <v>2.8052425878937326</v>
      </c>
      <c r="R392" s="66">
        <f t="shared" si="380"/>
        <v>2.7778435255355998</v>
      </c>
      <c r="S392" s="66">
        <f t="shared" si="380"/>
        <v>2.7504444631774678</v>
      </c>
      <c r="T392" s="66">
        <f t="shared" si="380"/>
        <v>2.7230454008193345</v>
      </c>
      <c r="U392" s="66">
        <f t="shared" si="380"/>
        <v>2.6956463384612022</v>
      </c>
      <c r="V392" s="66">
        <f t="shared" si="380"/>
        <v>2.6682472761030693</v>
      </c>
      <c r="W392" s="66">
        <f t="shared" si="380"/>
        <v>2.6408482137449361</v>
      </c>
      <c r="X392" s="66">
        <f t="shared" si="380"/>
        <v>2.6134491513868041</v>
      </c>
      <c r="Y392" s="66">
        <f t="shared" si="380"/>
        <v>2.5860500890286713</v>
      </c>
      <c r="Z392" s="66">
        <f t="shared" si="380"/>
        <v>2.5586510266705385</v>
      </c>
      <c r="AA392" s="66">
        <f t="shared" si="380"/>
        <v>2.5312519643124056</v>
      </c>
      <c r="AB392" s="66">
        <f t="shared" si="380"/>
        <v>2.5038529019542732</v>
      </c>
      <c r="AC392" s="66">
        <f t="shared" si="380"/>
        <v>2.4764538395961408</v>
      </c>
    </row>
    <row r="393" spans="1:29" ht="15.75" thickBot="1" x14ac:dyDescent="0.3">
      <c r="A393" s="59" t="str">
        <f t="shared" ref="A393" si="381">A381</f>
        <v>Emission Cost</v>
      </c>
      <c r="B393" s="66">
        <f>B364</f>
        <v>0</v>
      </c>
      <c r="C393" s="66">
        <f t="shared" ref="C393:AC393" si="382">C364</f>
        <v>0</v>
      </c>
      <c r="D393" s="66">
        <f t="shared" si="382"/>
        <v>0</v>
      </c>
      <c r="E393" s="66">
        <f t="shared" si="382"/>
        <v>0</v>
      </c>
      <c r="F393" s="66">
        <f t="shared" si="382"/>
        <v>0</v>
      </c>
      <c r="G393" s="66">
        <f t="shared" si="382"/>
        <v>0</v>
      </c>
      <c r="H393" s="66">
        <f t="shared" si="382"/>
        <v>0</v>
      </c>
      <c r="I393" s="66">
        <f t="shared" si="382"/>
        <v>0</v>
      </c>
      <c r="J393" s="66">
        <f t="shared" si="382"/>
        <v>0</v>
      </c>
      <c r="K393" s="66">
        <f t="shared" si="382"/>
        <v>0</v>
      </c>
      <c r="L393" s="66">
        <f t="shared" si="382"/>
        <v>0</v>
      </c>
      <c r="M393" s="66">
        <f t="shared" si="382"/>
        <v>0</v>
      </c>
      <c r="N393" s="66">
        <f t="shared" si="382"/>
        <v>0</v>
      </c>
      <c r="O393" s="66">
        <f t="shared" si="382"/>
        <v>0</v>
      </c>
      <c r="P393" s="66">
        <f t="shared" si="382"/>
        <v>0</v>
      </c>
      <c r="Q393" s="66">
        <f t="shared" si="382"/>
        <v>0</v>
      </c>
      <c r="R393" s="66">
        <f t="shared" si="382"/>
        <v>0</v>
      </c>
      <c r="S393" s="66">
        <f t="shared" si="382"/>
        <v>0</v>
      </c>
      <c r="T393" s="66">
        <f t="shared" si="382"/>
        <v>0</v>
      </c>
      <c r="U393" s="66">
        <f t="shared" si="382"/>
        <v>0</v>
      </c>
      <c r="V393" s="66">
        <f t="shared" si="382"/>
        <v>0</v>
      </c>
      <c r="W393" s="66">
        <f t="shared" si="382"/>
        <v>0</v>
      </c>
      <c r="X393" s="66">
        <f t="shared" si="382"/>
        <v>0</v>
      </c>
      <c r="Y393" s="66">
        <f t="shared" si="382"/>
        <v>0</v>
      </c>
      <c r="Z393" s="66">
        <f t="shared" si="382"/>
        <v>0</v>
      </c>
      <c r="AA393" s="66">
        <f t="shared" si="382"/>
        <v>0</v>
      </c>
      <c r="AB393" s="66">
        <f t="shared" si="382"/>
        <v>0</v>
      </c>
      <c r="AC393" s="66">
        <f t="shared" si="382"/>
        <v>0</v>
      </c>
    </row>
    <row r="394" spans="1:29" ht="15.75" thickBot="1" x14ac:dyDescent="0.3">
      <c r="A394" s="31" t="s">
        <v>63</v>
      </c>
      <c r="B394" s="76">
        <f>B385+B386+B387-B388+B389+B390+B391+B392+B393</f>
        <v>27.159728208884015</v>
      </c>
      <c r="C394" s="76">
        <f t="shared" ref="C394:AC394" si="383">C385+C386+C387-C388+C389+C390+C391+C392+C393</f>
        <v>27.159728208884015</v>
      </c>
      <c r="D394" s="76">
        <f t="shared" si="383"/>
        <v>27.159728208884015</v>
      </c>
      <c r="E394" s="76">
        <f t="shared" si="383"/>
        <v>27.159728208884015</v>
      </c>
      <c r="F394" s="76">
        <f t="shared" si="383"/>
        <v>27.159728208884015</v>
      </c>
      <c r="G394" s="76">
        <f t="shared" si="383"/>
        <v>27.159728208884015</v>
      </c>
      <c r="H394" s="76">
        <f t="shared" si="383"/>
        <v>27.159728208884015</v>
      </c>
      <c r="I394" s="76">
        <f t="shared" si="383"/>
        <v>27.159728208884015</v>
      </c>
      <c r="J394" s="76">
        <f t="shared" si="383"/>
        <v>27.225064434507253</v>
      </c>
      <c r="K394" s="76">
        <f t="shared" si="383"/>
        <v>27.290400660130494</v>
      </c>
      <c r="L394" s="76">
        <f t="shared" si="383"/>
        <v>27.355736885753736</v>
      </c>
      <c r="M394" s="76">
        <f t="shared" si="383"/>
        <v>27.421073111376973</v>
      </c>
      <c r="N394" s="76">
        <f t="shared" si="383"/>
        <v>27.486409337000211</v>
      </c>
      <c r="O394" s="76">
        <f t="shared" si="383"/>
        <v>27.459010274642079</v>
      </c>
      <c r="P394" s="76">
        <f t="shared" si="383"/>
        <v>27.431611212283947</v>
      </c>
      <c r="Q394" s="76">
        <f t="shared" si="383"/>
        <v>27.404212149925815</v>
      </c>
      <c r="R394" s="76">
        <f t="shared" si="383"/>
        <v>27.376813087567683</v>
      </c>
      <c r="S394" s="76">
        <f t="shared" si="383"/>
        <v>27.349414025209548</v>
      </c>
      <c r="T394" s="76">
        <f t="shared" si="383"/>
        <v>27.322014962851416</v>
      </c>
      <c r="U394" s="76">
        <f t="shared" si="383"/>
        <v>27.294615900493284</v>
      </c>
      <c r="V394" s="76">
        <f t="shared" si="383"/>
        <v>27.267216838135152</v>
      </c>
      <c r="W394" s="76">
        <f t="shared" si="383"/>
        <v>27.239817775777016</v>
      </c>
      <c r="X394" s="76">
        <f t="shared" si="383"/>
        <v>27.212418713418884</v>
      </c>
      <c r="Y394" s="76">
        <f t="shared" si="383"/>
        <v>27.185019651060752</v>
      </c>
      <c r="Z394" s="76">
        <f t="shared" si="383"/>
        <v>27.157620588702621</v>
      </c>
      <c r="AA394" s="76">
        <f t="shared" si="383"/>
        <v>27.130221526344489</v>
      </c>
      <c r="AB394" s="76">
        <f t="shared" si="383"/>
        <v>27.102822463986357</v>
      </c>
      <c r="AC394" s="76">
        <f t="shared" si="383"/>
        <v>27.075423401628221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4">A373</f>
        <v>Capex vehicle</v>
      </c>
      <c r="B397" s="65">
        <f>((1+B358)^B365)*B358/(((1+B358)^B365)-1)*(B354)/B370/(B367)</f>
        <v>1.0902430594344164E-3</v>
      </c>
      <c r="C397" s="65">
        <f t="shared" ref="C397:AC397" si="385">((1+C358)^C365)*C358/(((1+C358)^C365)-1)*(C354)/C370/(C367)</f>
        <v>1.0902430594344164E-3</v>
      </c>
      <c r="D397" s="65">
        <f t="shared" si="385"/>
        <v>1.0902430594344164E-3</v>
      </c>
      <c r="E397" s="65">
        <f t="shared" si="385"/>
        <v>1.0902430594344164E-3</v>
      </c>
      <c r="F397" s="65">
        <f t="shared" si="385"/>
        <v>1.0902430594344164E-3</v>
      </c>
      <c r="G397" s="65">
        <f t="shared" si="385"/>
        <v>1.0902430594344164E-3</v>
      </c>
      <c r="H397" s="65">
        <f t="shared" si="385"/>
        <v>1.0902430594344164E-3</v>
      </c>
      <c r="I397" s="65">
        <f t="shared" si="385"/>
        <v>1.0902430594344164E-3</v>
      </c>
      <c r="J397" s="65">
        <f t="shared" si="385"/>
        <v>1.0902430594344164E-3</v>
      </c>
      <c r="K397" s="65">
        <f t="shared" si="385"/>
        <v>1.0902430594344164E-3</v>
      </c>
      <c r="L397" s="65">
        <f t="shared" si="385"/>
        <v>1.0902430594344164E-3</v>
      </c>
      <c r="M397" s="65">
        <f t="shared" si="385"/>
        <v>1.0902430594344164E-3</v>
      </c>
      <c r="N397" s="65">
        <f t="shared" si="385"/>
        <v>1.0902430594344164E-3</v>
      </c>
      <c r="O397" s="65">
        <f t="shared" si="385"/>
        <v>1.0902430594344164E-3</v>
      </c>
      <c r="P397" s="65">
        <f t="shared" si="385"/>
        <v>1.0902430594344164E-3</v>
      </c>
      <c r="Q397" s="65">
        <f t="shared" si="385"/>
        <v>1.0902430594344164E-3</v>
      </c>
      <c r="R397" s="65">
        <f t="shared" si="385"/>
        <v>1.0902430594344164E-3</v>
      </c>
      <c r="S397" s="65">
        <f t="shared" si="385"/>
        <v>1.0902430594344164E-3</v>
      </c>
      <c r="T397" s="65">
        <f t="shared" si="385"/>
        <v>1.0902430594344164E-3</v>
      </c>
      <c r="U397" s="65">
        <f t="shared" si="385"/>
        <v>1.0902430594344164E-3</v>
      </c>
      <c r="V397" s="65">
        <f t="shared" si="385"/>
        <v>1.0902430594344164E-3</v>
      </c>
      <c r="W397" s="65">
        <f t="shared" si="385"/>
        <v>1.0902430594344164E-3</v>
      </c>
      <c r="X397" s="65">
        <f t="shared" si="385"/>
        <v>1.0902430594344164E-3</v>
      </c>
      <c r="Y397" s="65">
        <f t="shared" si="385"/>
        <v>1.0902430594344164E-3</v>
      </c>
      <c r="Z397" s="65">
        <f t="shared" si="385"/>
        <v>1.0902430594344164E-3</v>
      </c>
      <c r="AA397" s="65">
        <f t="shared" si="385"/>
        <v>1.0902430594344164E-3</v>
      </c>
      <c r="AB397" s="65">
        <f t="shared" si="385"/>
        <v>1.0902430594344164E-3</v>
      </c>
      <c r="AC397" s="65">
        <f t="shared" si="385"/>
        <v>1.0902430594344164E-3</v>
      </c>
    </row>
    <row r="398" spans="1:29" x14ac:dyDescent="0.25">
      <c r="A398" s="30" t="str">
        <f t="shared" si="384"/>
        <v>Residual value (vehicle)</v>
      </c>
      <c r="B398" s="68">
        <f>((1+B358)^B365)*B358/(((1+B358)^B365)-1)*(B355)/B370/(B367)</f>
        <v>-1.6353645891516245E-4</v>
      </c>
      <c r="C398" s="68">
        <f t="shared" ref="C398:AC398" si="386">((1+C358)^C365)*C358/(((1+C358)^C365)-1)*(C355)/C370/(C367)</f>
        <v>-1.6353645891516245E-4</v>
      </c>
      <c r="D398" s="68">
        <f t="shared" si="386"/>
        <v>-1.6353645891516245E-4</v>
      </c>
      <c r="E398" s="68">
        <f t="shared" si="386"/>
        <v>-1.6353645891516245E-4</v>
      </c>
      <c r="F398" s="68">
        <f t="shared" si="386"/>
        <v>-1.6353645891516245E-4</v>
      </c>
      <c r="G398" s="68">
        <f t="shared" si="386"/>
        <v>-1.6353645891516245E-4</v>
      </c>
      <c r="H398" s="68">
        <f t="shared" si="386"/>
        <v>-1.6353645891516245E-4</v>
      </c>
      <c r="I398" s="68">
        <f t="shared" si="386"/>
        <v>-1.6353645891516245E-4</v>
      </c>
      <c r="J398" s="68">
        <f t="shared" si="386"/>
        <v>-1.6353645891516245E-4</v>
      </c>
      <c r="K398" s="68">
        <f t="shared" si="386"/>
        <v>-1.6353645891516245E-4</v>
      </c>
      <c r="L398" s="68">
        <f t="shared" si="386"/>
        <v>-1.6353645891516245E-4</v>
      </c>
      <c r="M398" s="68">
        <f t="shared" si="386"/>
        <v>-1.6353645891516245E-4</v>
      </c>
      <c r="N398" s="68">
        <f t="shared" si="386"/>
        <v>-1.6353645891516245E-4</v>
      </c>
      <c r="O398" s="68">
        <f t="shared" si="386"/>
        <v>-1.6353645891516245E-4</v>
      </c>
      <c r="P398" s="68">
        <f t="shared" si="386"/>
        <v>-1.6353645891516245E-4</v>
      </c>
      <c r="Q398" s="68">
        <f t="shared" si="386"/>
        <v>-1.6353645891516245E-4</v>
      </c>
      <c r="R398" s="68">
        <f t="shared" si="386"/>
        <v>-1.6353645891516245E-4</v>
      </c>
      <c r="S398" s="68">
        <f t="shared" si="386"/>
        <v>-1.6353645891516245E-4</v>
      </c>
      <c r="T398" s="68">
        <f t="shared" si="386"/>
        <v>-1.6353645891516245E-4</v>
      </c>
      <c r="U398" s="68">
        <f t="shared" si="386"/>
        <v>-1.6353645891516245E-4</v>
      </c>
      <c r="V398" s="68">
        <f t="shared" si="386"/>
        <v>-1.6353645891516245E-4</v>
      </c>
      <c r="W398" s="68">
        <f t="shared" si="386"/>
        <v>-1.6353645891516245E-4</v>
      </c>
      <c r="X398" s="68">
        <f t="shared" si="386"/>
        <v>-1.6353645891516245E-4</v>
      </c>
      <c r="Y398" s="68">
        <f t="shared" si="386"/>
        <v>-1.6353645891516245E-4</v>
      </c>
      <c r="Z398" s="68">
        <f t="shared" si="386"/>
        <v>-1.6353645891516245E-4</v>
      </c>
      <c r="AA398" s="68">
        <f t="shared" si="386"/>
        <v>-1.6353645891516245E-4</v>
      </c>
      <c r="AB398" s="68">
        <f t="shared" si="386"/>
        <v>-1.6353645891516245E-4</v>
      </c>
      <c r="AC398" s="68">
        <f t="shared" si="386"/>
        <v>-1.6353645891516245E-4</v>
      </c>
    </row>
    <row r="399" spans="1:29" x14ac:dyDescent="0.25">
      <c r="A399" s="30" t="str">
        <f t="shared" si="384"/>
        <v>Capex costumization</v>
      </c>
      <c r="B399" s="66">
        <f>((1+B358)^B366)*B358/(((1+B358)^B366)-1)*(B356)/B370/(B367)</f>
        <v>7.6311881817276459E-4</v>
      </c>
      <c r="C399" s="66">
        <f t="shared" ref="C399:AC399" si="387">((1+C358)^C366)*C358/(((1+C358)^C366)-1)*(C356)/C370/(C367)</f>
        <v>7.6311881817276459E-4</v>
      </c>
      <c r="D399" s="66">
        <f t="shared" si="387"/>
        <v>7.6311881817276459E-4</v>
      </c>
      <c r="E399" s="66">
        <f t="shared" si="387"/>
        <v>7.6311881817276459E-4</v>
      </c>
      <c r="F399" s="66">
        <f t="shared" si="387"/>
        <v>7.6311881817276459E-4</v>
      </c>
      <c r="G399" s="66">
        <f t="shared" si="387"/>
        <v>7.6311881817276459E-4</v>
      </c>
      <c r="H399" s="66">
        <f t="shared" si="387"/>
        <v>7.6311881817276459E-4</v>
      </c>
      <c r="I399" s="66">
        <f t="shared" si="387"/>
        <v>7.6311881817276459E-4</v>
      </c>
      <c r="J399" s="66">
        <f t="shared" si="387"/>
        <v>7.6311881817276459E-4</v>
      </c>
      <c r="K399" s="66">
        <f t="shared" si="387"/>
        <v>7.6311881817276459E-4</v>
      </c>
      <c r="L399" s="66">
        <f t="shared" si="387"/>
        <v>7.6311881817276459E-4</v>
      </c>
      <c r="M399" s="66">
        <f t="shared" si="387"/>
        <v>7.6311881817276459E-4</v>
      </c>
      <c r="N399" s="66">
        <f t="shared" si="387"/>
        <v>7.6311881817276459E-4</v>
      </c>
      <c r="O399" s="66">
        <f t="shared" si="387"/>
        <v>7.6311881817276459E-4</v>
      </c>
      <c r="P399" s="66">
        <f t="shared" si="387"/>
        <v>7.6311881817276459E-4</v>
      </c>
      <c r="Q399" s="66">
        <f t="shared" si="387"/>
        <v>7.6311881817276459E-4</v>
      </c>
      <c r="R399" s="66">
        <f t="shared" si="387"/>
        <v>7.6311881817276459E-4</v>
      </c>
      <c r="S399" s="66">
        <f t="shared" si="387"/>
        <v>7.6311881817276459E-4</v>
      </c>
      <c r="T399" s="66">
        <f t="shared" si="387"/>
        <v>7.6311881817276459E-4</v>
      </c>
      <c r="U399" s="66">
        <f t="shared" si="387"/>
        <v>7.6311881817276459E-4</v>
      </c>
      <c r="V399" s="66">
        <f t="shared" si="387"/>
        <v>7.6311881817276459E-4</v>
      </c>
      <c r="W399" s="66">
        <f t="shared" si="387"/>
        <v>7.6311881817276459E-4</v>
      </c>
      <c r="X399" s="66">
        <f t="shared" si="387"/>
        <v>7.6311881817276459E-4</v>
      </c>
      <c r="Y399" s="66">
        <f t="shared" si="387"/>
        <v>7.6311881817276459E-4</v>
      </c>
      <c r="Z399" s="66">
        <f t="shared" si="387"/>
        <v>7.6311881817276459E-4</v>
      </c>
      <c r="AA399" s="66">
        <f t="shared" si="387"/>
        <v>7.6311881817276459E-4</v>
      </c>
      <c r="AB399" s="66">
        <f t="shared" si="387"/>
        <v>7.6311881817276459E-4</v>
      </c>
      <c r="AC399" s="66">
        <f t="shared" si="387"/>
        <v>7.6311881817276459E-4</v>
      </c>
    </row>
    <row r="400" spans="1:29" x14ac:dyDescent="0.25">
      <c r="A400" s="30" t="str">
        <f t="shared" si="384"/>
        <v>Residual value (costumization)</v>
      </c>
      <c r="B400" s="69">
        <f>((1+B358)^B366)*B358/(((1+B358)^B366)-1)*(B357)/B370/(B367)</f>
        <v>-3.8155940908638231E-5</v>
      </c>
      <c r="C400" s="69">
        <f t="shared" ref="C400:AC400" si="388">((1+C358)^C366)*C358/(((1+C358)^C366)-1)*(C357)/C370/(C367)</f>
        <v>-3.8155940908638231E-5</v>
      </c>
      <c r="D400" s="69">
        <f t="shared" si="388"/>
        <v>-3.8155940908638231E-5</v>
      </c>
      <c r="E400" s="69">
        <f t="shared" si="388"/>
        <v>-3.8155940908638231E-5</v>
      </c>
      <c r="F400" s="69">
        <f t="shared" si="388"/>
        <v>-3.8155940908638231E-5</v>
      </c>
      <c r="G400" s="69">
        <f t="shared" si="388"/>
        <v>-3.8155940908638231E-5</v>
      </c>
      <c r="H400" s="69">
        <f t="shared" si="388"/>
        <v>-3.8155940908638231E-5</v>
      </c>
      <c r="I400" s="69">
        <f t="shared" si="388"/>
        <v>-3.8155940908638231E-5</v>
      </c>
      <c r="J400" s="69">
        <f t="shared" si="388"/>
        <v>-3.8155940908638231E-5</v>
      </c>
      <c r="K400" s="69">
        <f t="shared" si="388"/>
        <v>-3.8155940908638231E-5</v>
      </c>
      <c r="L400" s="69">
        <f t="shared" si="388"/>
        <v>-3.8155940908638231E-5</v>
      </c>
      <c r="M400" s="69">
        <f t="shared" si="388"/>
        <v>-3.8155940908638231E-5</v>
      </c>
      <c r="N400" s="69">
        <f t="shared" si="388"/>
        <v>-3.8155940908638231E-5</v>
      </c>
      <c r="O400" s="69">
        <f t="shared" si="388"/>
        <v>-3.8155940908638231E-5</v>
      </c>
      <c r="P400" s="69">
        <f t="shared" si="388"/>
        <v>-3.8155940908638231E-5</v>
      </c>
      <c r="Q400" s="69">
        <f t="shared" si="388"/>
        <v>-3.8155940908638231E-5</v>
      </c>
      <c r="R400" s="69">
        <f t="shared" si="388"/>
        <v>-3.8155940908638231E-5</v>
      </c>
      <c r="S400" s="69">
        <f t="shared" si="388"/>
        <v>-3.8155940908638231E-5</v>
      </c>
      <c r="T400" s="69">
        <f t="shared" si="388"/>
        <v>-3.8155940908638231E-5</v>
      </c>
      <c r="U400" s="69">
        <f t="shared" si="388"/>
        <v>-3.8155940908638231E-5</v>
      </c>
      <c r="V400" s="69">
        <f t="shared" si="388"/>
        <v>-3.8155940908638231E-5</v>
      </c>
      <c r="W400" s="69">
        <f t="shared" si="388"/>
        <v>-3.8155940908638231E-5</v>
      </c>
      <c r="X400" s="69">
        <f t="shared" si="388"/>
        <v>-3.8155940908638231E-5</v>
      </c>
      <c r="Y400" s="69">
        <f t="shared" si="388"/>
        <v>-3.8155940908638231E-5</v>
      </c>
      <c r="Z400" s="69">
        <f t="shared" si="388"/>
        <v>-3.8155940908638231E-5</v>
      </c>
      <c r="AA400" s="69">
        <f t="shared" si="388"/>
        <v>-3.8155940908638231E-5</v>
      </c>
      <c r="AB400" s="69">
        <f t="shared" si="388"/>
        <v>-3.8155940908638231E-5</v>
      </c>
      <c r="AC400" s="69">
        <f t="shared" si="388"/>
        <v>-3.8155940908638231E-5</v>
      </c>
    </row>
    <row r="401" spans="1:29" x14ac:dyDescent="0.25">
      <c r="A401" s="30" t="str">
        <f t="shared" si="384"/>
        <v>Opex fix (admin, crew, insurance)</v>
      </c>
      <c r="B401" s="66">
        <f>B359/B370/(B367)</f>
        <v>3.6264505802320927E-3</v>
      </c>
      <c r="C401" s="66">
        <f t="shared" ref="C401:AC401" si="389">C359/C370/(C367)</f>
        <v>3.6264505802320927E-3</v>
      </c>
      <c r="D401" s="66">
        <f t="shared" si="389"/>
        <v>3.6264505802320927E-3</v>
      </c>
      <c r="E401" s="66">
        <f t="shared" si="389"/>
        <v>3.6264505802320927E-3</v>
      </c>
      <c r="F401" s="66">
        <f t="shared" si="389"/>
        <v>3.6264505802320927E-3</v>
      </c>
      <c r="G401" s="66">
        <f t="shared" si="389"/>
        <v>3.6264505802320927E-3</v>
      </c>
      <c r="H401" s="66">
        <f t="shared" si="389"/>
        <v>3.6264505802320927E-3</v>
      </c>
      <c r="I401" s="66">
        <f t="shared" si="389"/>
        <v>3.6264505802320927E-3</v>
      </c>
      <c r="J401" s="66">
        <f t="shared" si="389"/>
        <v>3.6264505802320927E-3</v>
      </c>
      <c r="K401" s="66">
        <f t="shared" si="389"/>
        <v>3.6264505802320927E-3</v>
      </c>
      <c r="L401" s="66">
        <f t="shared" si="389"/>
        <v>3.6264505802320927E-3</v>
      </c>
      <c r="M401" s="66">
        <f t="shared" si="389"/>
        <v>3.6264505802320927E-3</v>
      </c>
      <c r="N401" s="66">
        <f t="shared" si="389"/>
        <v>3.6264505802320927E-3</v>
      </c>
      <c r="O401" s="66">
        <f t="shared" si="389"/>
        <v>3.6264505802320927E-3</v>
      </c>
      <c r="P401" s="66">
        <f t="shared" si="389"/>
        <v>3.6264505802320927E-3</v>
      </c>
      <c r="Q401" s="66">
        <f t="shared" si="389"/>
        <v>3.6264505802320927E-3</v>
      </c>
      <c r="R401" s="66">
        <f t="shared" si="389"/>
        <v>3.6264505802320927E-3</v>
      </c>
      <c r="S401" s="66">
        <f t="shared" si="389"/>
        <v>3.6264505802320927E-3</v>
      </c>
      <c r="T401" s="66">
        <f t="shared" si="389"/>
        <v>3.6264505802320927E-3</v>
      </c>
      <c r="U401" s="66">
        <f t="shared" si="389"/>
        <v>3.6264505802320927E-3</v>
      </c>
      <c r="V401" s="66">
        <f t="shared" si="389"/>
        <v>3.6264505802320927E-3</v>
      </c>
      <c r="W401" s="66">
        <f t="shared" si="389"/>
        <v>3.6264505802320927E-3</v>
      </c>
      <c r="X401" s="66">
        <f t="shared" si="389"/>
        <v>3.6264505802320927E-3</v>
      </c>
      <c r="Y401" s="66">
        <f t="shared" si="389"/>
        <v>3.6264505802320927E-3</v>
      </c>
      <c r="Z401" s="66">
        <f t="shared" si="389"/>
        <v>3.6264505802320927E-3</v>
      </c>
      <c r="AA401" s="66">
        <f t="shared" si="389"/>
        <v>3.6264505802320927E-3</v>
      </c>
      <c r="AB401" s="66">
        <f t="shared" si="389"/>
        <v>3.6264505802320927E-3</v>
      </c>
      <c r="AC401" s="66">
        <f t="shared" si="389"/>
        <v>3.6264505802320927E-3</v>
      </c>
    </row>
    <row r="402" spans="1:29" x14ac:dyDescent="0.25">
      <c r="A402" s="30" t="str">
        <f t="shared" si="384"/>
        <v>Opex maintenance &amp; repair</v>
      </c>
      <c r="B402" s="66">
        <f>B360/B370/(B367)</f>
        <v>1.6256502601040416E-3</v>
      </c>
      <c r="C402" s="66">
        <f t="shared" ref="C402:AC402" si="390">C360/C370/(C367)</f>
        <v>1.6256502601040416E-3</v>
      </c>
      <c r="D402" s="66">
        <f t="shared" si="390"/>
        <v>1.6256502601040416E-3</v>
      </c>
      <c r="E402" s="66">
        <f t="shared" si="390"/>
        <v>1.6256502601040416E-3</v>
      </c>
      <c r="F402" s="66">
        <f t="shared" si="390"/>
        <v>1.6256502601040416E-3</v>
      </c>
      <c r="G402" s="66">
        <f t="shared" si="390"/>
        <v>1.6256502601040416E-3</v>
      </c>
      <c r="H402" s="66">
        <f t="shared" si="390"/>
        <v>1.6256502601040416E-3</v>
      </c>
      <c r="I402" s="66">
        <f t="shared" si="390"/>
        <v>1.6256502601040416E-3</v>
      </c>
      <c r="J402" s="66">
        <f t="shared" si="390"/>
        <v>1.6256502601040416E-3</v>
      </c>
      <c r="K402" s="66">
        <f t="shared" si="390"/>
        <v>1.6256502601040416E-3</v>
      </c>
      <c r="L402" s="66">
        <f t="shared" si="390"/>
        <v>1.6256502601040416E-3</v>
      </c>
      <c r="M402" s="66">
        <f t="shared" si="390"/>
        <v>1.6256502601040416E-3</v>
      </c>
      <c r="N402" s="66">
        <f t="shared" si="390"/>
        <v>1.6256502601040416E-3</v>
      </c>
      <c r="O402" s="66">
        <f t="shared" si="390"/>
        <v>1.6256502601040416E-3</v>
      </c>
      <c r="P402" s="66">
        <f t="shared" si="390"/>
        <v>1.6256502601040416E-3</v>
      </c>
      <c r="Q402" s="66">
        <f t="shared" si="390"/>
        <v>1.6256502601040416E-3</v>
      </c>
      <c r="R402" s="66">
        <f t="shared" si="390"/>
        <v>1.6256502601040416E-3</v>
      </c>
      <c r="S402" s="66">
        <f t="shared" si="390"/>
        <v>1.6256502601040416E-3</v>
      </c>
      <c r="T402" s="66">
        <f t="shared" si="390"/>
        <v>1.6256502601040416E-3</v>
      </c>
      <c r="U402" s="66">
        <f t="shared" si="390"/>
        <v>1.6256502601040416E-3</v>
      </c>
      <c r="V402" s="66">
        <f t="shared" si="390"/>
        <v>1.6256502601040416E-3</v>
      </c>
      <c r="W402" s="66">
        <f t="shared" si="390"/>
        <v>1.6256502601040416E-3</v>
      </c>
      <c r="X402" s="66">
        <f t="shared" si="390"/>
        <v>1.6256502601040416E-3</v>
      </c>
      <c r="Y402" s="66">
        <f t="shared" si="390"/>
        <v>1.6256502601040416E-3</v>
      </c>
      <c r="Z402" s="66">
        <f t="shared" si="390"/>
        <v>1.6256502601040416E-3</v>
      </c>
      <c r="AA402" s="66">
        <f t="shared" si="390"/>
        <v>1.6256502601040416E-3</v>
      </c>
      <c r="AB402" s="66">
        <f t="shared" si="390"/>
        <v>1.6256502601040416E-3</v>
      </c>
      <c r="AC402" s="66">
        <f t="shared" si="390"/>
        <v>1.6256502601040416E-3</v>
      </c>
    </row>
    <row r="403" spans="1:29" x14ac:dyDescent="0.25">
      <c r="A403" s="30" t="str">
        <f t="shared" si="384"/>
        <v>Opex var (mode-fees, shunting)</v>
      </c>
      <c r="B403" s="66">
        <f>B361*B370/B370/(B367)</f>
        <v>4.0016006402561026E-3</v>
      </c>
      <c r="C403" s="66">
        <f t="shared" ref="C403:AC403" si="391">C361*C370/C370/(C367)</f>
        <v>4.0016006402561026E-3</v>
      </c>
      <c r="D403" s="66">
        <f t="shared" si="391"/>
        <v>4.0016006402561026E-3</v>
      </c>
      <c r="E403" s="66">
        <f t="shared" si="391"/>
        <v>4.0016006402561026E-3</v>
      </c>
      <c r="F403" s="66">
        <f t="shared" si="391"/>
        <v>4.0016006402561026E-3</v>
      </c>
      <c r="G403" s="66">
        <f t="shared" si="391"/>
        <v>4.0016006402561026E-3</v>
      </c>
      <c r="H403" s="66">
        <f t="shared" si="391"/>
        <v>4.0016006402561026E-3</v>
      </c>
      <c r="I403" s="66">
        <f t="shared" si="391"/>
        <v>4.0016006402561026E-3</v>
      </c>
      <c r="J403" s="66">
        <f t="shared" si="391"/>
        <v>4.0016006402561026E-3</v>
      </c>
      <c r="K403" s="66">
        <f t="shared" si="391"/>
        <v>4.0016006402561026E-3</v>
      </c>
      <c r="L403" s="66">
        <f t="shared" si="391"/>
        <v>4.0016006402561026E-3</v>
      </c>
      <c r="M403" s="66">
        <f t="shared" si="391"/>
        <v>4.0016006402561026E-3</v>
      </c>
      <c r="N403" s="66">
        <f t="shared" si="391"/>
        <v>4.0016006402561026E-3</v>
      </c>
      <c r="O403" s="66">
        <f t="shared" si="391"/>
        <v>4.0016006402561026E-3</v>
      </c>
      <c r="P403" s="66">
        <f t="shared" si="391"/>
        <v>4.0016006402561026E-3</v>
      </c>
      <c r="Q403" s="66">
        <f t="shared" si="391"/>
        <v>4.0016006402561026E-3</v>
      </c>
      <c r="R403" s="66">
        <f t="shared" si="391"/>
        <v>4.0016006402561026E-3</v>
      </c>
      <c r="S403" s="66">
        <f t="shared" si="391"/>
        <v>4.0016006402561026E-3</v>
      </c>
      <c r="T403" s="66">
        <f t="shared" si="391"/>
        <v>4.0016006402561026E-3</v>
      </c>
      <c r="U403" s="66">
        <f t="shared" si="391"/>
        <v>4.0016006402561026E-3</v>
      </c>
      <c r="V403" s="66">
        <f t="shared" si="391"/>
        <v>4.0016006402561026E-3</v>
      </c>
      <c r="W403" s="66">
        <f t="shared" si="391"/>
        <v>4.0016006402561026E-3</v>
      </c>
      <c r="X403" s="66">
        <f t="shared" si="391"/>
        <v>4.0016006402561026E-3</v>
      </c>
      <c r="Y403" s="66">
        <f t="shared" si="391"/>
        <v>4.0016006402561026E-3</v>
      </c>
      <c r="Z403" s="66">
        <f t="shared" si="391"/>
        <v>4.0016006402561026E-3</v>
      </c>
      <c r="AA403" s="66">
        <f t="shared" si="391"/>
        <v>4.0016006402561026E-3</v>
      </c>
      <c r="AB403" s="66">
        <f t="shared" si="391"/>
        <v>4.0016006402561026E-3</v>
      </c>
      <c r="AC403" s="66">
        <f t="shared" si="391"/>
        <v>4.0016006402561026E-3</v>
      </c>
    </row>
    <row r="404" spans="1:29" x14ac:dyDescent="0.25">
      <c r="A404" s="30" t="str">
        <f t="shared" si="384"/>
        <v>Fuel Cost</v>
      </c>
      <c r="B404" s="66">
        <f>B362*B363*B370/B370/(B367)</f>
        <v>1.1431958244874703E-3</v>
      </c>
      <c r="C404" s="66">
        <f t="shared" ref="C404:AC404" si="392">C362*C363*C370/C370/(C367)</f>
        <v>1.1431958244874703E-3</v>
      </c>
      <c r="D404" s="66">
        <f t="shared" si="392"/>
        <v>1.1431958244874703E-3</v>
      </c>
      <c r="E404" s="66">
        <f t="shared" si="392"/>
        <v>1.1431958244874703E-3</v>
      </c>
      <c r="F404" s="66">
        <f t="shared" si="392"/>
        <v>1.1431958244874703E-3</v>
      </c>
      <c r="G404" s="66">
        <f t="shared" si="392"/>
        <v>1.1431958244874703E-3</v>
      </c>
      <c r="H404" s="66">
        <f t="shared" si="392"/>
        <v>1.1431958244874703E-3</v>
      </c>
      <c r="I404" s="66">
        <f t="shared" si="392"/>
        <v>1.1431958244874703E-3</v>
      </c>
      <c r="J404" s="66">
        <f t="shared" si="392"/>
        <v>1.1723637823549879E-3</v>
      </c>
      <c r="K404" s="66">
        <f t="shared" si="392"/>
        <v>1.2015317402225059E-3</v>
      </c>
      <c r="L404" s="66">
        <f t="shared" si="392"/>
        <v>1.2306996980900235E-3</v>
      </c>
      <c r="M404" s="66">
        <f t="shared" si="392"/>
        <v>1.2598676559575413E-3</v>
      </c>
      <c r="N404" s="66">
        <f t="shared" si="392"/>
        <v>1.2890356138250585E-3</v>
      </c>
      <c r="O404" s="66">
        <f t="shared" si="392"/>
        <v>1.2768038895580351E-3</v>
      </c>
      <c r="P404" s="66">
        <f t="shared" si="392"/>
        <v>1.2645721652910116E-3</v>
      </c>
      <c r="Q404" s="66">
        <f t="shared" si="392"/>
        <v>1.2523404410239877E-3</v>
      </c>
      <c r="R404" s="66">
        <f t="shared" si="392"/>
        <v>1.2401087167569641E-3</v>
      </c>
      <c r="S404" s="66">
        <f t="shared" si="392"/>
        <v>1.2278769924899411E-3</v>
      </c>
      <c r="T404" s="66">
        <f t="shared" si="392"/>
        <v>1.2156452682229172E-3</v>
      </c>
      <c r="U404" s="66">
        <f t="shared" si="392"/>
        <v>1.2034135439558937E-3</v>
      </c>
      <c r="V404" s="66">
        <f t="shared" si="392"/>
        <v>1.1911818196888703E-3</v>
      </c>
      <c r="W404" s="66">
        <f t="shared" si="392"/>
        <v>1.1789500954218464E-3</v>
      </c>
      <c r="X404" s="66">
        <f t="shared" si="392"/>
        <v>1.1667183711548232E-3</v>
      </c>
      <c r="Y404" s="66">
        <f t="shared" si="392"/>
        <v>1.1544866468877998E-3</v>
      </c>
      <c r="Z404" s="66">
        <f t="shared" si="392"/>
        <v>1.1422549226207761E-3</v>
      </c>
      <c r="AA404" s="66">
        <f t="shared" si="392"/>
        <v>1.1300231983537524E-3</v>
      </c>
      <c r="AB404" s="66">
        <f t="shared" si="392"/>
        <v>1.1177914740867292E-3</v>
      </c>
      <c r="AC404" s="66">
        <f t="shared" si="392"/>
        <v>1.1055597498197058E-3</v>
      </c>
    </row>
    <row r="405" spans="1:29" x14ac:dyDescent="0.25">
      <c r="A405" s="59" t="str">
        <f>A368</f>
        <v>Market failure (av. utilization)</v>
      </c>
      <c r="B405" s="66">
        <f t="shared" ref="B405:AC405" si="393">B394/B368-B394/B367</f>
        <v>4.7152305918201406E-3</v>
      </c>
      <c r="C405" s="66">
        <f t="shared" si="393"/>
        <v>4.7152305918201406E-3</v>
      </c>
      <c r="D405" s="66">
        <f t="shared" si="393"/>
        <v>4.7152305918201406E-3</v>
      </c>
      <c r="E405" s="66">
        <f t="shared" si="393"/>
        <v>4.7152305918201406E-3</v>
      </c>
      <c r="F405" s="66">
        <f t="shared" si="393"/>
        <v>4.7152305918201406E-3</v>
      </c>
      <c r="G405" s="66">
        <f t="shared" si="393"/>
        <v>4.7152305918201406E-3</v>
      </c>
      <c r="H405" s="66">
        <f t="shared" si="393"/>
        <v>4.7152305918201406E-3</v>
      </c>
      <c r="I405" s="66">
        <f t="shared" si="393"/>
        <v>4.7152305918201406E-3</v>
      </c>
      <c r="J405" s="66">
        <f t="shared" si="393"/>
        <v>4.7265736865463957E-3</v>
      </c>
      <c r="K405" s="66">
        <f t="shared" si="393"/>
        <v>4.7379167812726542E-3</v>
      </c>
      <c r="L405" s="66">
        <f t="shared" si="393"/>
        <v>4.7492598759989093E-3</v>
      </c>
      <c r="M405" s="66">
        <f t="shared" si="393"/>
        <v>4.7606029707251678E-3</v>
      </c>
      <c r="N405" s="66">
        <f t="shared" si="393"/>
        <v>4.7719460654514247E-3</v>
      </c>
      <c r="O405" s="66">
        <f t="shared" si="393"/>
        <v>4.7671892837920261E-3</v>
      </c>
      <c r="P405" s="66">
        <f t="shared" si="393"/>
        <v>4.7624325021326294E-3</v>
      </c>
      <c r="Q405" s="66">
        <f t="shared" si="393"/>
        <v>4.7576757204732308E-3</v>
      </c>
      <c r="R405" s="66">
        <f t="shared" si="393"/>
        <v>4.7529189388138323E-3</v>
      </c>
      <c r="S405" s="66">
        <f t="shared" si="393"/>
        <v>4.748162157154432E-3</v>
      </c>
      <c r="T405" s="66">
        <f t="shared" si="393"/>
        <v>4.7434053754950335E-3</v>
      </c>
      <c r="U405" s="66">
        <f t="shared" si="393"/>
        <v>4.7386485938356367E-3</v>
      </c>
      <c r="V405" s="66">
        <f t="shared" si="393"/>
        <v>4.7338918121762382E-3</v>
      </c>
      <c r="W405" s="66">
        <f t="shared" si="393"/>
        <v>4.7291350305168414E-3</v>
      </c>
      <c r="X405" s="66">
        <f t="shared" si="393"/>
        <v>4.7243782488574429E-3</v>
      </c>
      <c r="Y405" s="66">
        <f t="shared" si="393"/>
        <v>4.7196214671980461E-3</v>
      </c>
      <c r="Z405" s="66">
        <f t="shared" si="393"/>
        <v>4.7148646855386476E-3</v>
      </c>
      <c r="AA405" s="66">
        <f t="shared" si="393"/>
        <v>4.7101079038792491E-3</v>
      </c>
      <c r="AB405" s="66">
        <f t="shared" si="393"/>
        <v>4.7053511222198505E-3</v>
      </c>
      <c r="AC405" s="66">
        <f t="shared" si="393"/>
        <v>4.7005943405604537E-3</v>
      </c>
    </row>
    <row r="406" spans="1:29" x14ac:dyDescent="0.25">
      <c r="A406" s="59" t="str">
        <f>A369</f>
        <v>Payload loss (fuel)</v>
      </c>
      <c r="B406" s="66">
        <f>B394/(B367-B369)-B394/B367</f>
        <v>0</v>
      </c>
      <c r="C406" s="66">
        <f t="shared" ref="C406:AC406" si="394">C394/(C367-C369)-C394/C367</f>
        <v>0</v>
      </c>
      <c r="D406" s="66">
        <f t="shared" si="394"/>
        <v>0</v>
      </c>
      <c r="E406" s="66">
        <f t="shared" si="394"/>
        <v>0</v>
      </c>
      <c r="F406" s="66">
        <f t="shared" si="394"/>
        <v>0</v>
      </c>
      <c r="G406" s="66">
        <f t="shared" si="394"/>
        <v>0</v>
      </c>
      <c r="H406" s="66">
        <f t="shared" si="394"/>
        <v>0</v>
      </c>
      <c r="I406" s="66">
        <f t="shared" si="394"/>
        <v>0</v>
      </c>
      <c r="J406" s="66">
        <f t="shared" si="394"/>
        <v>0</v>
      </c>
      <c r="K406" s="66">
        <f t="shared" si="394"/>
        <v>0</v>
      </c>
      <c r="L406" s="66">
        <f t="shared" si="394"/>
        <v>0</v>
      </c>
      <c r="M406" s="66">
        <f t="shared" si="394"/>
        <v>0</v>
      </c>
      <c r="N406" s="66">
        <f t="shared" si="394"/>
        <v>0</v>
      </c>
      <c r="O406" s="66">
        <f t="shared" si="394"/>
        <v>0</v>
      </c>
      <c r="P406" s="66">
        <f t="shared" si="394"/>
        <v>0</v>
      </c>
      <c r="Q406" s="66">
        <f t="shared" si="394"/>
        <v>0</v>
      </c>
      <c r="R406" s="66">
        <f t="shared" si="394"/>
        <v>0</v>
      </c>
      <c r="S406" s="66">
        <f t="shared" si="394"/>
        <v>0</v>
      </c>
      <c r="T406" s="66">
        <f t="shared" si="394"/>
        <v>0</v>
      </c>
      <c r="U406" s="66">
        <f t="shared" si="394"/>
        <v>0</v>
      </c>
      <c r="V406" s="66">
        <f t="shared" si="394"/>
        <v>0</v>
      </c>
      <c r="W406" s="66">
        <f t="shared" si="394"/>
        <v>0</v>
      </c>
      <c r="X406" s="66">
        <f t="shared" si="394"/>
        <v>0</v>
      </c>
      <c r="Y406" s="66">
        <f t="shared" si="394"/>
        <v>0</v>
      </c>
      <c r="Z406" s="66">
        <f t="shared" si="394"/>
        <v>0</v>
      </c>
      <c r="AA406" s="66">
        <f t="shared" si="394"/>
        <v>0</v>
      </c>
      <c r="AB406" s="66">
        <f t="shared" si="394"/>
        <v>0</v>
      </c>
      <c r="AC406" s="66">
        <f t="shared" si="394"/>
        <v>0</v>
      </c>
    </row>
    <row r="407" spans="1:29" ht="15.75" thickBot="1" x14ac:dyDescent="0.3">
      <c r="A407" s="59" t="str">
        <f>A344</f>
        <v>Emission Cost</v>
      </c>
      <c r="B407" s="68">
        <f>B364*B370/B370/(B367)</f>
        <v>0</v>
      </c>
      <c r="C407" s="68">
        <f t="shared" ref="C407:AC407" si="395">C364*C370/C370/(C367)</f>
        <v>0</v>
      </c>
      <c r="D407" s="68">
        <f t="shared" si="395"/>
        <v>0</v>
      </c>
      <c r="E407" s="68">
        <f t="shared" si="395"/>
        <v>0</v>
      </c>
      <c r="F407" s="68">
        <f t="shared" si="395"/>
        <v>0</v>
      </c>
      <c r="G407" s="68">
        <f t="shared" si="395"/>
        <v>0</v>
      </c>
      <c r="H407" s="68">
        <f t="shared" si="395"/>
        <v>0</v>
      </c>
      <c r="I407" s="68">
        <f t="shared" si="395"/>
        <v>0</v>
      </c>
      <c r="J407" s="68">
        <f t="shared" si="395"/>
        <v>0</v>
      </c>
      <c r="K407" s="68">
        <f t="shared" si="395"/>
        <v>0</v>
      </c>
      <c r="L407" s="68">
        <f t="shared" si="395"/>
        <v>0</v>
      </c>
      <c r="M407" s="68">
        <f t="shared" si="395"/>
        <v>0</v>
      </c>
      <c r="N407" s="68">
        <f t="shared" si="395"/>
        <v>0</v>
      </c>
      <c r="O407" s="68">
        <f t="shared" si="395"/>
        <v>0</v>
      </c>
      <c r="P407" s="68">
        <f t="shared" si="395"/>
        <v>0</v>
      </c>
      <c r="Q407" s="68">
        <f t="shared" si="395"/>
        <v>0</v>
      </c>
      <c r="R407" s="68">
        <f t="shared" si="395"/>
        <v>0</v>
      </c>
      <c r="S407" s="68">
        <f t="shared" si="395"/>
        <v>0</v>
      </c>
      <c r="T407" s="68">
        <f t="shared" si="395"/>
        <v>0</v>
      </c>
      <c r="U407" s="68">
        <f t="shared" si="395"/>
        <v>0</v>
      </c>
      <c r="V407" s="68">
        <f t="shared" si="395"/>
        <v>0</v>
      </c>
      <c r="W407" s="68">
        <f t="shared" si="395"/>
        <v>0</v>
      </c>
      <c r="X407" s="68">
        <f t="shared" si="395"/>
        <v>0</v>
      </c>
      <c r="Y407" s="68">
        <f t="shared" si="395"/>
        <v>0</v>
      </c>
      <c r="Z407" s="68">
        <f t="shared" si="395"/>
        <v>0</v>
      </c>
      <c r="AA407" s="68">
        <f t="shared" si="395"/>
        <v>0</v>
      </c>
      <c r="AB407" s="68">
        <f t="shared" si="395"/>
        <v>0</v>
      </c>
      <c r="AC407" s="68">
        <f t="shared" si="395"/>
        <v>0</v>
      </c>
    </row>
    <row r="408" spans="1:29" ht="15.75" thickBot="1" x14ac:dyDescent="0.3">
      <c r="A408" s="31" t="s">
        <v>210</v>
      </c>
      <c r="B408" s="77">
        <f>B397+B398+B399+B400+B401+B402+B403+B404+B405+B406+B407</f>
        <v>1.6763797374683229E-2</v>
      </c>
      <c r="C408" s="67">
        <f t="shared" ref="C408:AC408" si="396">C397+C398+C399+C400+C401+C402+C403+C404+C405+C406+C407</f>
        <v>1.6763797374683229E-2</v>
      </c>
      <c r="D408" s="67">
        <f t="shared" si="396"/>
        <v>1.6763797374683229E-2</v>
      </c>
      <c r="E408" s="67">
        <f t="shared" si="396"/>
        <v>1.6763797374683229E-2</v>
      </c>
      <c r="F408" s="67">
        <f t="shared" si="396"/>
        <v>1.6763797374683229E-2</v>
      </c>
      <c r="G408" s="67">
        <f t="shared" si="396"/>
        <v>1.6763797374683229E-2</v>
      </c>
      <c r="H408" s="67">
        <f t="shared" si="396"/>
        <v>1.6763797374683229E-2</v>
      </c>
      <c r="I408" s="67">
        <f t="shared" si="396"/>
        <v>1.6763797374683229E-2</v>
      </c>
      <c r="J408" s="67">
        <f t="shared" si="396"/>
        <v>1.6804308427277002E-2</v>
      </c>
      <c r="K408" s="67">
        <f t="shared" si="396"/>
        <v>1.6844819479870779E-2</v>
      </c>
      <c r="L408" s="67">
        <f t="shared" si="396"/>
        <v>1.6885330532464549E-2</v>
      </c>
      <c r="M408" s="67">
        <f t="shared" si="396"/>
        <v>1.6925841585058325E-2</v>
      </c>
      <c r="N408" s="67">
        <f t="shared" si="396"/>
        <v>1.6966352637652102E-2</v>
      </c>
      <c r="O408" s="67">
        <f t="shared" si="396"/>
        <v>1.694936413172568E-2</v>
      </c>
      <c r="P408" s="67">
        <f t="shared" si="396"/>
        <v>1.6932375625799259E-2</v>
      </c>
      <c r="Q408" s="67">
        <f t="shared" si="396"/>
        <v>1.6915387119872838E-2</v>
      </c>
      <c r="R408" s="67">
        <f t="shared" si="396"/>
        <v>1.6898398613946417E-2</v>
      </c>
      <c r="S408" s="67">
        <f t="shared" si="396"/>
        <v>1.6881410108019992E-2</v>
      </c>
      <c r="T408" s="67">
        <f t="shared" si="396"/>
        <v>1.6864421602093567E-2</v>
      </c>
      <c r="U408" s="67">
        <f t="shared" si="396"/>
        <v>1.6847433096167146E-2</v>
      </c>
      <c r="V408" s="67">
        <f t="shared" si="396"/>
        <v>1.6830444590240724E-2</v>
      </c>
      <c r="W408" s="67">
        <f t="shared" si="396"/>
        <v>1.6813456084314306E-2</v>
      </c>
      <c r="X408" s="67">
        <f t="shared" si="396"/>
        <v>1.6796467578387882E-2</v>
      </c>
      <c r="Y408" s="67">
        <f t="shared" si="396"/>
        <v>1.6779479072461464E-2</v>
      </c>
      <c r="Z408" s="67">
        <f t="shared" si="396"/>
        <v>1.6762490566535039E-2</v>
      </c>
      <c r="AA408" s="67">
        <f t="shared" si="396"/>
        <v>1.6745502060608618E-2</v>
      </c>
      <c r="AB408" s="67">
        <f t="shared" si="396"/>
        <v>1.6728513554682196E-2</v>
      </c>
      <c r="AC408" s="67">
        <f t="shared" si="396"/>
        <v>1.6711525048755775E-2</v>
      </c>
    </row>
    <row r="410" spans="1:29" x14ac:dyDescent="0.25">
      <c r="B410" s="40"/>
    </row>
    <row r="429" spans="1:1" s="3" customFormat="1" ht="21" x14ac:dyDescent="0.35">
      <c r="A429" s="2" t="str">
        <f>'Parameter Input'!A193</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Input'!$L$159</f>
        <v>5000000</v>
      </c>
      <c r="C439" s="42">
        <f>'Parameter Input'!$M$159</f>
        <v>5000000</v>
      </c>
      <c r="D439" s="1" t="s">
        <v>15</v>
      </c>
      <c r="L439" s="51">
        <f>'Parameter Input'!$O$159</f>
        <v>12</v>
      </c>
      <c r="M439" s="52">
        <v>0</v>
      </c>
      <c r="N439" s="52">
        <v>1</v>
      </c>
      <c r="O439" s="52">
        <f>'Parameter Input'!$P$159</f>
        <v>0.9</v>
      </c>
      <c r="P439" s="53">
        <f>'Parameter Input'!$Q$159</f>
        <v>0.4</v>
      </c>
      <c r="Q439" s="4">
        <f t="shared" ref="Q439:AR448" si="397">$N439+($M439-$N439)*((1/(1+EXP(-$P439*(Q$9-$L439)))^$O439))</f>
        <v>0.9867978615748374</v>
      </c>
      <c r="R439" s="4">
        <f t="shared" si="397"/>
        <v>0.98114509762858249</v>
      </c>
      <c r="S439" s="4">
        <f t="shared" si="397"/>
        <v>0.97311898315872036</v>
      </c>
      <c r="T439" s="4">
        <f t="shared" si="397"/>
        <v>0.96177484161592774</v>
      </c>
      <c r="U439" s="4">
        <f t="shared" si="397"/>
        <v>0.94584787155511363</v>
      </c>
      <c r="V439" s="4">
        <f t="shared" si="397"/>
        <v>0.92370360150141495</v>
      </c>
      <c r="W439" s="4">
        <f t="shared" si="397"/>
        <v>0.89334463567658451</v>
      </c>
      <c r="X439" s="4">
        <f t="shared" si="397"/>
        <v>0.85254543874327005</v>
      </c>
      <c r="Y439" s="4">
        <f t="shared" si="397"/>
        <v>0.79921300652623883</v>
      </c>
      <c r="Z439" s="4">
        <f t="shared" si="397"/>
        <v>0.73204982249993378</v>
      </c>
      <c r="AA439" s="4">
        <f t="shared" si="397"/>
        <v>0.65145592958786691</v>
      </c>
      <c r="AB439" s="4">
        <f t="shared" si="397"/>
        <v>0.56032247880849573</v>
      </c>
      <c r="AC439" s="4">
        <f t="shared" si="397"/>
        <v>0.46411326873185343</v>
      </c>
      <c r="AD439" s="4">
        <f t="shared" si="397"/>
        <v>0.36979727595523937</v>
      </c>
      <c r="AE439" s="4">
        <f t="shared" si="397"/>
        <v>0.28393948637231203</v>
      </c>
      <c r="AF439" s="4">
        <f t="shared" si="397"/>
        <v>0.21097259161117732</v>
      </c>
      <c r="AG439" s="4">
        <f t="shared" si="397"/>
        <v>0.15253917653798199</v>
      </c>
      <c r="AH439" s="4">
        <f t="shared" si="397"/>
        <v>0.10795188737709993</v>
      </c>
      <c r="AI439" s="4">
        <f t="shared" si="397"/>
        <v>7.5176653938091809E-2</v>
      </c>
      <c r="AJ439" s="4">
        <f t="shared" si="397"/>
        <v>5.1742836177502194E-2</v>
      </c>
      <c r="AK439" s="4">
        <f t="shared" si="397"/>
        <v>3.5319190625345942E-2</v>
      </c>
      <c r="AL439" s="4">
        <f t="shared" si="397"/>
        <v>2.3969442072658165E-2</v>
      </c>
      <c r="AM439" s="4">
        <f t="shared" si="397"/>
        <v>1.6202243558389728E-2</v>
      </c>
      <c r="AN439" s="4">
        <f t="shared" si="397"/>
        <v>1.0922240564108399E-2</v>
      </c>
      <c r="AO439" s="4">
        <f t="shared" si="397"/>
        <v>7.3493212906090566E-3</v>
      </c>
      <c r="AP439" s="4">
        <f t="shared" si="397"/>
        <v>4.9390262185057265E-3</v>
      </c>
      <c r="AQ439" s="4">
        <f t="shared" si="397"/>
        <v>3.3164275492956197E-3</v>
      </c>
      <c r="AR439" s="4">
        <f t="shared" si="397"/>
        <v>2.2256362146679809E-3</v>
      </c>
    </row>
    <row r="440" spans="1:44" x14ac:dyDescent="0.25">
      <c r="A440" s="24" t="s">
        <v>28</v>
      </c>
      <c r="B440" s="60">
        <f>'Parameter Input'!$L$160</f>
        <v>-750000</v>
      </c>
      <c r="C440" s="61">
        <f>'Parameter Input'!$M$160</f>
        <v>-750000</v>
      </c>
      <c r="D440" s="1" t="s">
        <v>15</v>
      </c>
      <c r="L440" s="54">
        <f>'Parameter Input'!$O$160</f>
        <v>12</v>
      </c>
      <c r="M440" s="37">
        <v>0</v>
      </c>
      <c r="N440" s="37">
        <v>1</v>
      </c>
      <c r="O440" s="37">
        <f>'Parameter Input'!$P$160</f>
        <v>0.9</v>
      </c>
      <c r="P440" s="55">
        <f>'Parameter Input'!$Q$160</f>
        <v>0.4</v>
      </c>
      <c r="Q440" s="4">
        <f t="shared" si="397"/>
        <v>0.9867978615748374</v>
      </c>
      <c r="R440" s="4">
        <f t="shared" si="397"/>
        <v>0.98114509762858249</v>
      </c>
      <c r="S440" s="4">
        <f t="shared" si="397"/>
        <v>0.97311898315872036</v>
      </c>
      <c r="T440" s="4">
        <f t="shared" si="397"/>
        <v>0.96177484161592774</v>
      </c>
      <c r="U440" s="4">
        <f t="shared" si="397"/>
        <v>0.94584787155511363</v>
      </c>
      <c r="V440" s="4">
        <f t="shared" si="397"/>
        <v>0.92370360150141495</v>
      </c>
      <c r="W440" s="4">
        <f t="shared" si="397"/>
        <v>0.89334463567658451</v>
      </c>
      <c r="X440" s="4">
        <f t="shared" si="397"/>
        <v>0.85254543874327005</v>
      </c>
      <c r="Y440" s="4">
        <f t="shared" si="397"/>
        <v>0.79921300652623883</v>
      </c>
      <c r="Z440" s="4">
        <f t="shared" si="397"/>
        <v>0.73204982249993378</v>
      </c>
      <c r="AA440" s="4">
        <f t="shared" si="397"/>
        <v>0.65145592958786691</v>
      </c>
      <c r="AB440" s="4">
        <f t="shared" si="397"/>
        <v>0.56032247880849573</v>
      </c>
      <c r="AC440" s="4">
        <f t="shared" si="397"/>
        <v>0.46411326873185343</v>
      </c>
      <c r="AD440" s="4">
        <f t="shared" si="397"/>
        <v>0.36979727595523937</v>
      </c>
      <c r="AE440" s="4">
        <f t="shared" si="397"/>
        <v>0.28393948637231203</v>
      </c>
      <c r="AF440" s="4">
        <f t="shared" si="397"/>
        <v>0.21097259161117732</v>
      </c>
      <c r="AG440" s="4">
        <f t="shared" si="397"/>
        <v>0.15253917653798199</v>
      </c>
      <c r="AH440" s="4">
        <f t="shared" si="397"/>
        <v>0.10795188737709993</v>
      </c>
      <c r="AI440" s="4">
        <f t="shared" si="397"/>
        <v>7.5176653938091809E-2</v>
      </c>
      <c r="AJ440" s="4">
        <f t="shared" si="397"/>
        <v>5.1742836177502194E-2</v>
      </c>
      <c r="AK440" s="4">
        <f t="shared" si="397"/>
        <v>3.5319190625345942E-2</v>
      </c>
      <c r="AL440" s="4">
        <f t="shared" si="397"/>
        <v>2.3969442072658165E-2</v>
      </c>
      <c r="AM440" s="4">
        <f t="shared" si="397"/>
        <v>1.6202243558389728E-2</v>
      </c>
      <c r="AN440" s="4">
        <f t="shared" si="397"/>
        <v>1.0922240564108399E-2</v>
      </c>
      <c r="AO440" s="4">
        <f t="shared" si="397"/>
        <v>7.3493212906090566E-3</v>
      </c>
      <c r="AP440" s="4">
        <f t="shared" si="397"/>
        <v>4.9390262185057265E-3</v>
      </c>
      <c r="AQ440" s="4">
        <f t="shared" si="397"/>
        <v>3.3164275492956197E-3</v>
      </c>
      <c r="AR440" s="4">
        <f t="shared" si="39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97"/>
        <v>0.9867978615748374</v>
      </c>
      <c r="R441" s="4">
        <f t="shared" si="397"/>
        <v>0.98114509762858249</v>
      </c>
      <c r="S441" s="4">
        <f t="shared" si="397"/>
        <v>0.97311898315872036</v>
      </c>
      <c r="T441" s="4">
        <f t="shared" si="397"/>
        <v>0.96177484161592774</v>
      </c>
      <c r="U441" s="4">
        <f t="shared" si="397"/>
        <v>0.94584787155511363</v>
      </c>
      <c r="V441" s="4">
        <f t="shared" si="397"/>
        <v>0.92370360150141495</v>
      </c>
      <c r="W441" s="4">
        <f t="shared" si="397"/>
        <v>0.89334463567658451</v>
      </c>
      <c r="X441" s="4">
        <f t="shared" si="397"/>
        <v>0.85254543874327005</v>
      </c>
      <c r="Y441" s="4">
        <f t="shared" si="397"/>
        <v>0.79921300652623883</v>
      </c>
      <c r="Z441" s="4">
        <f t="shared" si="397"/>
        <v>0.73204982249993378</v>
      </c>
      <c r="AA441" s="4">
        <f t="shared" si="397"/>
        <v>0.65145592958786691</v>
      </c>
      <c r="AB441" s="4">
        <f t="shared" si="397"/>
        <v>0.56032247880849573</v>
      </c>
      <c r="AC441" s="4">
        <f t="shared" si="397"/>
        <v>0.46411326873185343</v>
      </c>
      <c r="AD441" s="4">
        <f t="shared" si="397"/>
        <v>0.36979727595523937</v>
      </c>
      <c r="AE441" s="4">
        <f t="shared" si="397"/>
        <v>0.28393948637231203</v>
      </c>
      <c r="AF441" s="4">
        <f t="shared" si="397"/>
        <v>0.21097259161117732</v>
      </c>
      <c r="AG441" s="4">
        <f t="shared" si="397"/>
        <v>0.15253917653798199</v>
      </c>
      <c r="AH441" s="4">
        <f t="shared" si="397"/>
        <v>0.10795188737709993</v>
      </c>
      <c r="AI441" s="4">
        <f t="shared" si="397"/>
        <v>7.5176653938091809E-2</v>
      </c>
      <c r="AJ441" s="4">
        <f t="shared" si="397"/>
        <v>5.1742836177502194E-2</v>
      </c>
      <c r="AK441" s="4">
        <f t="shared" si="397"/>
        <v>3.5319190625345942E-2</v>
      </c>
      <c r="AL441" s="4">
        <f t="shared" si="397"/>
        <v>2.3969442072658165E-2</v>
      </c>
      <c r="AM441" s="4">
        <f t="shared" si="397"/>
        <v>1.6202243558389728E-2</v>
      </c>
      <c r="AN441" s="4">
        <f t="shared" si="397"/>
        <v>1.0922240564108399E-2</v>
      </c>
      <c r="AO441" s="4">
        <f t="shared" si="397"/>
        <v>7.3493212906090566E-3</v>
      </c>
      <c r="AP441" s="4">
        <f t="shared" si="397"/>
        <v>4.9390262185057265E-3</v>
      </c>
      <c r="AQ441" s="4">
        <f t="shared" si="397"/>
        <v>3.3164275492956197E-3</v>
      </c>
      <c r="AR441" s="4">
        <f t="shared" si="39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97"/>
        <v>0.9867978615748374</v>
      </c>
      <c r="R442" s="4">
        <f t="shared" si="397"/>
        <v>0.98114509762858249</v>
      </c>
      <c r="S442" s="4">
        <f t="shared" si="397"/>
        <v>0.97311898315872036</v>
      </c>
      <c r="T442" s="4">
        <f t="shared" si="397"/>
        <v>0.96177484161592774</v>
      </c>
      <c r="U442" s="4">
        <f t="shared" si="397"/>
        <v>0.94584787155511363</v>
      </c>
      <c r="V442" s="4">
        <f t="shared" si="397"/>
        <v>0.92370360150141495</v>
      </c>
      <c r="W442" s="4">
        <f t="shared" si="397"/>
        <v>0.89334463567658451</v>
      </c>
      <c r="X442" s="4">
        <f t="shared" si="397"/>
        <v>0.85254543874327005</v>
      </c>
      <c r="Y442" s="4">
        <f t="shared" si="397"/>
        <v>0.79921300652623883</v>
      </c>
      <c r="Z442" s="4">
        <f t="shared" si="397"/>
        <v>0.73204982249993378</v>
      </c>
      <c r="AA442" s="4">
        <f t="shared" si="397"/>
        <v>0.65145592958786691</v>
      </c>
      <c r="AB442" s="4">
        <f t="shared" si="397"/>
        <v>0.56032247880849573</v>
      </c>
      <c r="AC442" s="4">
        <f t="shared" si="397"/>
        <v>0.46411326873185343</v>
      </c>
      <c r="AD442" s="4">
        <f t="shared" si="397"/>
        <v>0.36979727595523937</v>
      </c>
      <c r="AE442" s="4">
        <f t="shared" si="397"/>
        <v>0.28393948637231203</v>
      </c>
      <c r="AF442" s="4">
        <f t="shared" si="397"/>
        <v>0.21097259161117732</v>
      </c>
      <c r="AG442" s="4">
        <f t="shared" si="397"/>
        <v>0.15253917653798199</v>
      </c>
      <c r="AH442" s="4">
        <f t="shared" si="397"/>
        <v>0.10795188737709993</v>
      </c>
      <c r="AI442" s="4">
        <f t="shared" si="397"/>
        <v>7.5176653938091809E-2</v>
      </c>
      <c r="AJ442" s="4">
        <f t="shared" si="397"/>
        <v>5.1742836177502194E-2</v>
      </c>
      <c r="AK442" s="4">
        <f t="shared" si="397"/>
        <v>3.5319190625345942E-2</v>
      </c>
      <c r="AL442" s="4">
        <f t="shared" si="397"/>
        <v>2.3969442072658165E-2</v>
      </c>
      <c r="AM442" s="4">
        <f t="shared" si="397"/>
        <v>1.6202243558389728E-2</v>
      </c>
      <c r="AN442" s="4">
        <f t="shared" si="397"/>
        <v>1.0922240564108399E-2</v>
      </c>
      <c r="AO442" s="4">
        <f t="shared" si="397"/>
        <v>7.3493212906090566E-3</v>
      </c>
      <c r="AP442" s="4">
        <f t="shared" si="397"/>
        <v>4.9390262185057265E-3</v>
      </c>
      <c r="AQ442" s="4">
        <f t="shared" si="397"/>
        <v>3.3164275492956197E-3</v>
      </c>
      <c r="AR442" s="4">
        <f t="shared" si="397"/>
        <v>2.2256362146679809E-3</v>
      </c>
    </row>
    <row r="443" spans="1:44" x14ac:dyDescent="0.25">
      <c r="A443" s="24" t="s">
        <v>79</v>
      </c>
      <c r="B443" s="45">
        <f>'Parameter Input'!$L$166</f>
        <v>0.06</v>
      </c>
      <c r="C443" s="46">
        <f>'Parameter Input'!$M$166</f>
        <v>0.06</v>
      </c>
      <c r="D443" s="1" t="s">
        <v>57</v>
      </c>
      <c r="L443" s="54">
        <f>'Parameter Input'!$O$166</f>
        <v>12</v>
      </c>
      <c r="M443" s="37">
        <v>0</v>
      </c>
      <c r="N443" s="37">
        <v>1</v>
      </c>
      <c r="O443" s="37">
        <f>'Parameter Input'!$P$166</f>
        <v>0.9</v>
      </c>
      <c r="P443" s="55">
        <f>'Parameter Input'!$Q$166</f>
        <v>0.4</v>
      </c>
      <c r="Q443" s="4">
        <f t="shared" si="397"/>
        <v>0.9867978615748374</v>
      </c>
      <c r="R443" s="4">
        <f t="shared" si="397"/>
        <v>0.98114509762858249</v>
      </c>
      <c r="S443" s="4">
        <f t="shared" si="397"/>
        <v>0.97311898315872036</v>
      </c>
      <c r="T443" s="4">
        <f t="shared" si="397"/>
        <v>0.96177484161592774</v>
      </c>
      <c r="U443" s="4">
        <f t="shared" si="397"/>
        <v>0.94584787155511363</v>
      </c>
      <c r="V443" s="4">
        <f t="shared" si="397"/>
        <v>0.92370360150141495</v>
      </c>
      <c r="W443" s="4">
        <f t="shared" si="397"/>
        <v>0.89334463567658451</v>
      </c>
      <c r="X443" s="4">
        <f t="shared" si="397"/>
        <v>0.85254543874327005</v>
      </c>
      <c r="Y443" s="4">
        <f t="shared" si="397"/>
        <v>0.79921300652623883</v>
      </c>
      <c r="Z443" s="4">
        <f t="shared" si="397"/>
        <v>0.73204982249993378</v>
      </c>
      <c r="AA443" s="4">
        <f t="shared" si="397"/>
        <v>0.65145592958786691</v>
      </c>
      <c r="AB443" s="4">
        <f t="shared" si="397"/>
        <v>0.56032247880849573</v>
      </c>
      <c r="AC443" s="4">
        <f t="shared" si="397"/>
        <v>0.46411326873185343</v>
      </c>
      <c r="AD443" s="4">
        <f t="shared" si="397"/>
        <v>0.36979727595523937</v>
      </c>
      <c r="AE443" s="4">
        <f t="shared" si="397"/>
        <v>0.28393948637231203</v>
      </c>
      <c r="AF443" s="4">
        <f t="shared" si="397"/>
        <v>0.21097259161117732</v>
      </c>
      <c r="AG443" s="4">
        <f t="shared" si="397"/>
        <v>0.15253917653798199</v>
      </c>
      <c r="AH443" s="4">
        <f t="shared" si="397"/>
        <v>0.10795188737709993</v>
      </c>
      <c r="AI443" s="4">
        <f t="shared" si="397"/>
        <v>7.5176653938091809E-2</v>
      </c>
      <c r="AJ443" s="4">
        <f t="shared" si="397"/>
        <v>5.1742836177502194E-2</v>
      </c>
      <c r="AK443" s="4">
        <f t="shared" si="397"/>
        <v>3.5319190625345942E-2</v>
      </c>
      <c r="AL443" s="4">
        <f t="shared" si="397"/>
        <v>2.3969442072658165E-2</v>
      </c>
      <c r="AM443" s="4">
        <f t="shared" si="397"/>
        <v>1.6202243558389728E-2</v>
      </c>
      <c r="AN443" s="4">
        <f t="shared" si="397"/>
        <v>1.0922240564108399E-2</v>
      </c>
      <c r="AO443" s="4">
        <f t="shared" si="397"/>
        <v>7.3493212906090566E-3</v>
      </c>
      <c r="AP443" s="4">
        <f t="shared" si="397"/>
        <v>4.9390262185057265E-3</v>
      </c>
      <c r="AQ443" s="4">
        <f t="shared" si="397"/>
        <v>3.3164275492956197E-3</v>
      </c>
      <c r="AR443" s="4">
        <f t="shared" si="39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97"/>
        <v>0.9867978615748374</v>
      </c>
      <c r="R444" s="4">
        <f t="shared" si="397"/>
        <v>0.98114509762858249</v>
      </c>
      <c r="S444" s="4">
        <f t="shared" si="397"/>
        <v>0.97311898315872036</v>
      </c>
      <c r="T444" s="4">
        <f t="shared" si="397"/>
        <v>0.96177484161592774</v>
      </c>
      <c r="U444" s="4">
        <f t="shared" si="397"/>
        <v>0.94584787155511363</v>
      </c>
      <c r="V444" s="4">
        <f t="shared" si="397"/>
        <v>0.92370360150141495</v>
      </c>
      <c r="W444" s="4">
        <f t="shared" si="397"/>
        <v>0.89334463567658451</v>
      </c>
      <c r="X444" s="4">
        <f t="shared" si="397"/>
        <v>0.85254543874327005</v>
      </c>
      <c r="Y444" s="4">
        <f t="shared" si="397"/>
        <v>0.79921300652623883</v>
      </c>
      <c r="Z444" s="4">
        <f t="shared" si="397"/>
        <v>0.73204982249993378</v>
      </c>
      <c r="AA444" s="4">
        <f t="shared" si="397"/>
        <v>0.65145592958786691</v>
      </c>
      <c r="AB444" s="4">
        <f t="shared" si="397"/>
        <v>0.56032247880849573</v>
      </c>
      <c r="AC444" s="4">
        <f t="shared" si="397"/>
        <v>0.46411326873185343</v>
      </c>
      <c r="AD444" s="4">
        <f t="shared" si="397"/>
        <v>0.36979727595523937</v>
      </c>
      <c r="AE444" s="4">
        <f t="shared" si="397"/>
        <v>0.28393948637231203</v>
      </c>
      <c r="AF444" s="4">
        <f t="shared" si="397"/>
        <v>0.21097259161117732</v>
      </c>
      <c r="AG444" s="4">
        <f t="shared" si="397"/>
        <v>0.15253917653798199</v>
      </c>
      <c r="AH444" s="4">
        <f t="shared" si="397"/>
        <v>0.10795188737709993</v>
      </c>
      <c r="AI444" s="4">
        <f t="shared" si="397"/>
        <v>7.5176653938091809E-2</v>
      </c>
      <c r="AJ444" s="4">
        <f t="shared" si="397"/>
        <v>5.1742836177502194E-2</v>
      </c>
      <c r="AK444" s="4">
        <f t="shared" si="397"/>
        <v>3.5319190625345942E-2</v>
      </c>
      <c r="AL444" s="4">
        <f t="shared" si="397"/>
        <v>2.3969442072658165E-2</v>
      </c>
      <c r="AM444" s="4">
        <f t="shared" si="397"/>
        <v>1.6202243558389728E-2</v>
      </c>
      <c r="AN444" s="4">
        <f t="shared" si="397"/>
        <v>1.0922240564108399E-2</v>
      </c>
      <c r="AO444" s="4">
        <f t="shared" si="397"/>
        <v>7.3493212906090566E-3</v>
      </c>
      <c r="AP444" s="4">
        <f t="shared" si="397"/>
        <v>4.9390262185057265E-3</v>
      </c>
      <c r="AQ444" s="4">
        <f t="shared" si="397"/>
        <v>3.3164275492956197E-3</v>
      </c>
      <c r="AR444" s="4">
        <f t="shared" si="397"/>
        <v>2.2256362146679809E-3</v>
      </c>
    </row>
    <row r="445" spans="1:44" x14ac:dyDescent="0.25">
      <c r="A445" s="24" t="s">
        <v>52</v>
      </c>
      <c r="B445" s="43">
        <f>'Parameter Input'!$L$162</f>
        <v>650000</v>
      </c>
      <c r="C445" s="44">
        <f>'Parameter Input'!$M$162</f>
        <v>650000</v>
      </c>
      <c r="D445" s="1" t="s">
        <v>38</v>
      </c>
      <c r="L445" s="54">
        <f>'Parameter Input'!$O$162</f>
        <v>12</v>
      </c>
      <c r="M445" s="37">
        <v>0</v>
      </c>
      <c r="N445" s="37">
        <v>1</v>
      </c>
      <c r="O445" s="37">
        <f>'Parameter Input'!$P$162</f>
        <v>0.9</v>
      </c>
      <c r="P445" s="55">
        <f>'Parameter Input'!$Q$162</f>
        <v>0.4</v>
      </c>
      <c r="Q445" s="4">
        <f t="shared" si="397"/>
        <v>0.9867978615748374</v>
      </c>
      <c r="R445" s="4">
        <f t="shared" si="397"/>
        <v>0.98114509762858249</v>
      </c>
      <c r="S445" s="4">
        <f t="shared" si="397"/>
        <v>0.97311898315872036</v>
      </c>
      <c r="T445" s="4">
        <f t="shared" si="397"/>
        <v>0.96177484161592774</v>
      </c>
      <c r="U445" s="4">
        <f t="shared" si="397"/>
        <v>0.94584787155511363</v>
      </c>
      <c r="V445" s="4">
        <f t="shared" si="397"/>
        <v>0.92370360150141495</v>
      </c>
      <c r="W445" s="4">
        <f t="shared" si="397"/>
        <v>0.89334463567658451</v>
      </c>
      <c r="X445" s="4">
        <f t="shared" si="397"/>
        <v>0.85254543874327005</v>
      </c>
      <c r="Y445" s="4">
        <f t="shared" si="397"/>
        <v>0.79921300652623883</v>
      </c>
      <c r="Z445" s="4">
        <f t="shared" si="397"/>
        <v>0.73204982249993378</v>
      </c>
      <c r="AA445" s="4">
        <f t="shared" si="397"/>
        <v>0.65145592958786691</v>
      </c>
      <c r="AB445" s="4">
        <f t="shared" si="397"/>
        <v>0.56032247880849573</v>
      </c>
      <c r="AC445" s="4">
        <f t="shared" si="397"/>
        <v>0.46411326873185343</v>
      </c>
      <c r="AD445" s="4">
        <f t="shared" si="397"/>
        <v>0.36979727595523937</v>
      </c>
      <c r="AE445" s="4">
        <f t="shared" si="397"/>
        <v>0.28393948637231203</v>
      </c>
      <c r="AF445" s="4">
        <f t="shared" si="397"/>
        <v>0.21097259161117732</v>
      </c>
      <c r="AG445" s="4">
        <f t="shared" si="397"/>
        <v>0.15253917653798199</v>
      </c>
      <c r="AH445" s="4">
        <f t="shared" si="397"/>
        <v>0.10795188737709993</v>
      </c>
      <c r="AI445" s="4">
        <f t="shared" si="397"/>
        <v>7.5176653938091809E-2</v>
      </c>
      <c r="AJ445" s="4">
        <f t="shared" si="397"/>
        <v>5.1742836177502194E-2</v>
      </c>
      <c r="AK445" s="4">
        <f t="shared" si="397"/>
        <v>3.5319190625345942E-2</v>
      </c>
      <c r="AL445" s="4">
        <f t="shared" si="397"/>
        <v>2.3969442072658165E-2</v>
      </c>
      <c r="AM445" s="4">
        <f t="shared" si="397"/>
        <v>1.6202243558389728E-2</v>
      </c>
      <c r="AN445" s="4">
        <f t="shared" si="397"/>
        <v>1.0922240564108399E-2</v>
      </c>
      <c r="AO445" s="4">
        <f t="shared" si="397"/>
        <v>7.3493212906090566E-3</v>
      </c>
      <c r="AP445" s="4">
        <f t="shared" si="397"/>
        <v>4.9390262185057265E-3</v>
      </c>
      <c r="AQ445" s="4">
        <f t="shared" si="397"/>
        <v>3.3164275492956197E-3</v>
      </c>
      <c r="AR445" s="4">
        <f t="shared" si="39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97"/>
        <v>0.9867978615748374</v>
      </c>
      <c r="R446" s="4">
        <f t="shared" si="397"/>
        <v>0.98114509762858249</v>
      </c>
      <c r="S446" s="4">
        <f t="shared" si="397"/>
        <v>0.97311898315872036</v>
      </c>
      <c r="T446" s="4">
        <f t="shared" si="397"/>
        <v>0.96177484161592774</v>
      </c>
      <c r="U446" s="4">
        <f t="shared" si="397"/>
        <v>0.94584787155511363</v>
      </c>
      <c r="V446" s="4">
        <f t="shared" si="397"/>
        <v>0.92370360150141495</v>
      </c>
      <c r="W446" s="4">
        <f t="shared" si="397"/>
        <v>0.89334463567658451</v>
      </c>
      <c r="X446" s="4">
        <f t="shared" si="397"/>
        <v>0.85254543874327005</v>
      </c>
      <c r="Y446" s="4">
        <f t="shared" si="397"/>
        <v>0.79921300652623883</v>
      </c>
      <c r="Z446" s="4">
        <f t="shared" si="397"/>
        <v>0.73204982249993378</v>
      </c>
      <c r="AA446" s="4">
        <f t="shared" si="397"/>
        <v>0.65145592958786691</v>
      </c>
      <c r="AB446" s="4">
        <f t="shared" si="397"/>
        <v>0.56032247880849573</v>
      </c>
      <c r="AC446" s="4">
        <f t="shared" si="397"/>
        <v>0.46411326873185343</v>
      </c>
      <c r="AD446" s="4">
        <f t="shared" si="397"/>
        <v>0.36979727595523937</v>
      </c>
      <c r="AE446" s="4">
        <f t="shared" si="397"/>
        <v>0.28393948637231203</v>
      </c>
      <c r="AF446" s="4">
        <f t="shared" si="397"/>
        <v>0.21097259161117732</v>
      </c>
      <c r="AG446" s="4">
        <f t="shared" si="397"/>
        <v>0.15253917653798199</v>
      </c>
      <c r="AH446" s="4">
        <f t="shared" si="397"/>
        <v>0.10795188737709993</v>
      </c>
      <c r="AI446" s="4">
        <f t="shared" si="397"/>
        <v>7.5176653938091809E-2</v>
      </c>
      <c r="AJ446" s="4">
        <f t="shared" si="397"/>
        <v>5.1742836177502194E-2</v>
      </c>
      <c r="AK446" s="4">
        <f t="shared" si="397"/>
        <v>3.5319190625345942E-2</v>
      </c>
      <c r="AL446" s="4">
        <f t="shared" si="397"/>
        <v>2.3969442072658165E-2</v>
      </c>
      <c r="AM446" s="4">
        <f t="shared" si="397"/>
        <v>1.6202243558389728E-2</v>
      </c>
      <c r="AN446" s="4">
        <f t="shared" si="397"/>
        <v>1.0922240564108399E-2</v>
      </c>
      <c r="AO446" s="4">
        <f t="shared" si="397"/>
        <v>7.3493212906090566E-3</v>
      </c>
      <c r="AP446" s="4">
        <f t="shared" si="397"/>
        <v>4.9390262185057265E-3</v>
      </c>
      <c r="AQ446" s="4">
        <f t="shared" si="397"/>
        <v>3.3164275492956197E-3</v>
      </c>
      <c r="AR446" s="4">
        <f t="shared" si="397"/>
        <v>2.2256362146679809E-3</v>
      </c>
    </row>
    <row r="447" spans="1:44" x14ac:dyDescent="0.25">
      <c r="A447" s="24" t="s">
        <v>59</v>
      </c>
      <c r="B447" s="47">
        <f>'Parameter Input'!$L$163</f>
        <v>31.614305882352937</v>
      </c>
      <c r="C447" s="48">
        <f>'Parameter Input'!$M$163</f>
        <v>31.614305882352937</v>
      </c>
      <c r="D447" s="1" t="s">
        <v>60</v>
      </c>
      <c r="L447" s="54">
        <f>'Parameter Input'!$O$163</f>
        <v>12</v>
      </c>
      <c r="M447" s="37">
        <v>0</v>
      </c>
      <c r="N447" s="37">
        <v>1</v>
      </c>
      <c r="O447" s="37">
        <f>'Parameter Input'!$P$163</f>
        <v>0.9</v>
      </c>
      <c r="P447" s="55">
        <f>'Parameter Input'!$Q$163</f>
        <v>0.4</v>
      </c>
      <c r="Q447" s="4">
        <f t="shared" si="397"/>
        <v>0.9867978615748374</v>
      </c>
      <c r="R447" s="4">
        <f t="shared" si="397"/>
        <v>0.98114509762858249</v>
      </c>
      <c r="S447" s="4">
        <f t="shared" si="397"/>
        <v>0.97311898315872036</v>
      </c>
      <c r="T447" s="4">
        <f t="shared" si="397"/>
        <v>0.96177484161592774</v>
      </c>
      <c r="U447" s="4">
        <f t="shared" si="397"/>
        <v>0.94584787155511363</v>
      </c>
      <c r="V447" s="4">
        <f t="shared" si="397"/>
        <v>0.92370360150141495</v>
      </c>
      <c r="W447" s="4">
        <f t="shared" si="397"/>
        <v>0.89334463567658451</v>
      </c>
      <c r="X447" s="4">
        <f t="shared" si="397"/>
        <v>0.85254543874327005</v>
      </c>
      <c r="Y447" s="4">
        <f t="shared" si="397"/>
        <v>0.79921300652623883</v>
      </c>
      <c r="Z447" s="4">
        <f t="shared" si="397"/>
        <v>0.73204982249993378</v>
      </c>
      <c r="AA447" s="4">
        <f t="shared" si="397"/>
        <v>0.65145592958786691</v>
      </c>
      <c r="AB447" s="4">
        <f t="shared" si="397"/>
        <v>0.56032247880849573</v>
      </c>
      <c r="AC447" s="4">
        <f t="shared" si="397"/>
        <v>0.46411326873185343</v>
      </c>
      <c r="AD447" s="4">
        <f t="shared" si="397"/>
        <v>0.36979727595523937</v>
      </c>
      <c r="AE447" s="4">
        <f t="shared" si="397"/>
        <v>0.28393948637231203</v>
      </c>
      <c r="AF447" s="4">
        <f t="shared" si="397"/>
        <v>0.21097259161117732</v>
      </c>
      <c r="AG447" s="4">
        <f t="shared" si="397"/>
        <v>0.15253917653798199</v>
      </c>
      <c r="AH447" s="4">
        <f t="shared" si="397"/>
        <v>0.10795188737709993</v>
      </c>
      <c r="AI447" s="4">
        <f t="shared" si="397"/>
        <v>7.5176653938091809E-2</v>
      </c>
      <c r="AJ447" s="4">
        <f t="shared" si="397"/>
        <v>5.1742836177502194E-2</v>
      </c>
      <c r="AK447" s="4">
        <f t="shared" si="397"/>
        <v>3.5319190625345942E-2</v>
      </c>
      <c r="AL447" s="4">
        <f t="shared" si="397"/>
        <v>2.3969442072658165E-2</v>
      </c>
      <c r="AM447" s="4">
        <f t="shared" si="397"/>
        <v>1.6202243558389728E-2</v>
      </c>
      <c r="AN447" s="4">
        <f t="shared" si="397"/>
        <v>1.0922240564108399E-2</v>
      </c>
      <c r="AO447" s="4">
        <f t="shared" si="397"/>
        <v>7.3493212906090566E-3</v>
      </c>
      <c r="AP447" s="4">
        <f t="shared" si="397"/>
        <v>4.9390262185057265E-3</v>
      </c>
      <c r="AQ447" s="4">
        <f t="shared" si="397"/>
        <v>3.3164275492956197E-3</v>
      </c>
      <c r="AR447" s="4">
        <f t="shared" si="397"/>
        <v>2.2256362146679809E-3</v>
      </c>
    </row>
    <row r="448" spans="1:44" x14ac:dyDescent="0.25">
      <c r="A448" s="24" t="s">
        <v>67</v>
      </c>
      <c r="B448" s="45">
        <f>'Parameter Input'!$L$164</f>
        <v>0.13371034051801745</v>
      </c>
      <c r="C448" s="46">
        <f>'Parameter Input'!$M$164</f>
        <v>8.7585019329602734E-2</v>
      </c>
      <c r="D448" s="1" t="s">
        <v>68</v>
      </c>
      <c r="L448" s="54">
        <f>'Parameter Input'!$O$164</f>
        <v>12</v>
      </c>
      <c r="M448" s="37">
        <v>0</v>
      </c>
      <c r="N448" s="37">
        <v>1</v>
      </c>
      <c r="O448" s="37">
        <f>'Parameter Input'!$P$164</f>
        <v>0.9</v>
      </c>
      <c r="P448" s="55">
        <f>'Parameter Input'!$Q$164</f>
        <v>0.4</v>
      </c>
      <c r="Q448" s="4">
        <f t="shared" si="397"/>
        <v>0.9867978615748374</v>
      </c>
      <c r="R448" s="4">
        <f t="shared" si="397"/>
        <v>0.98114509762858249</v>
      </c>
      <c r="S448" s="4">
        <f t="shared" si="397"/>
        <v>0.97311898315872036</v>
      </c>
      <c r="T448" s="4">
        <f t="shared" ref="T448:AI455" si="398">$N448+($M448-$N448)*((1/(1+EXP(-$P448*(T$9-$L448)))^$O448))</f>
        <v>0.96177484161592774</v>
      </c>
      <c r="U448" s="4">
        <f t="shared" si="398"/>
        <v>0.94584787155511363</v>
      </c>
      <c r="V448" s="4">
        <f t="shared" si="398"/>
        <v>0.92370360150141495</v>
      </c>
      <c r="W448" s="4">
        <f t="shared" si="398"/>
        <v>0.89334463567658451</v>
      </c>
      <c r="X448" s="4">
        <f t="shared" si="398"/>
        <v>0.85254543874327005</v>
      </c>
      <c r="Y448" s="4">
        <f t="shared" si="398"/>
        <v>0.79921300652623883</v>
      </c>
      <c r="Z448" s="4">
        <f t="shared" si="398"/>
        <v>0.73204982249993378</v>
      </c>
      <c r="AA448" s="4">
        <f t="shared" si="398"/>
        <v>0.65145592958786691</v>
      </c>
      <c r="AB448" s="4">
        <f t="shared" si="398"/>
        <v>0.56032247880849573</v>
      </c>
      <c r="AC448" s="4">
        <f t="shared" si="398"/>
        <v>0.46411326873185343</v>
      </c>
      <c r="AD448" s="4">
        <f t="shared" si="398"/>
        <v>0.36979727595523937</v>
      </c>
      <c r="AE448" s="4">
        <f t="shared" si="398"/>
        <v>0.28393948637231203</v>
      </c>
      <c r="AF448" s="4">
        <f t="shared" si="398"/>
        <v>0.21097259161117732</v>
      </c>
      <c r="AG448" s="4">
        <f t="shared" si="398"/>
        <v>0.15253917653798199</v>
      </c>
      <c r="AH448" s="4">
        <f t="shared" si="398"/>
        <v>0.10795188737709993</v>
      </c>
      <c r="AI448" s="4">
        <f t="shared" si="398"/>
        <v>7.5176653938091809E-2</v>
      </c>
      <c r="AJ448" s="4">
        <f t="shared" ref="AJ448:AR455" si="399">$N448+($M448-$N448)*((1/(1+EXP(-$P448*(AJ$9-$L448)))^$O448))</f>
        <v>5.1742836177502194E-2</v>
      </c>
      <c r="AK448" s="4">
        <f t="shared" si="399"/>
        <v>3.5319190625345942E-2</v>
      </c>
      <c r="AL448" s="4">
        <f t="shared" si="399"/>
        <v>2.3969442072658165E-2</v>
      </c>
      <c r="AM448" s="4">
        <f t="shared" si="399"/>
        <v>1.6202243558389728E-2</v>
      </c>
      <c r="AN448" s="4">
        <f t="shared" si="399"/>
        <v>1.0922240564108399E-2</v>
      </c>
      <c r="AO448" s="4">
        <f t="shared" si="399"/>
        <v>7.3493212906090566E-3</v>
      </c>
      <c r="AP448" s="4">
        <f t="shared" si="399"/>
        <v>4.9390262185057265E-3</v>
      </c>
      <c r="AQ448" s="4">
        <f t="shared" si="399"/>
        <v>3.3164275492956197E-3</v>
      </c>
      <c r="AR448" s="4">
        <f t="shared" si="399"/>
        <v>2.2256362146679809E-3</v>
      </c>
    </row>
    <row r="449" spans="1:44" x14ac:dyDescent="0.25">
      <c r="A449" s="24" t="s">
        <v>206</v>
      </c>
      <c r="B449" s="115">
        <f>'Parameter Input'!$L$167</f>
        <v>0</v>
      </c>
      <c r="C449" s="116">
        <f>'Parameter Input'!$M$167</f>
        <v>0</v>
      </c>
      <c r="D449" s="1" t="s">
        <v>76</v>
      </c>
      <c r="L449" s="54">
        <f>'Parameter Input'!$O$167</f>
        <v>17</v>
      </c>
      <c r="M449" s="37">
        <v>0</v>
      </c>
      <c r="N449" s="37">
        <v>1</v>
      </c>
      <c r="O449" s="37">
        <f>'Parameter Input'!$P$167</f>
        <v>0.9</v>
      </c>
      <c r="P449" s="55">
        <f>'Parameter Input'!$Q$167</f>
        <v>0.4</v>
      </c>
      <c r="Q449" s="4">
        <f t="shared" ref="Q449:AR449" si="400">$N449+($M449-$N449)*((1/(1+EXP(-$P449*(Q$9-$L449)))^$O449))</f>
        <v>0.99780374543478534</v>
      </c>
      <c r="R449" s="4">
        <f t="shared" si="400"/>
        <v>0.99685359315256394</v>
      </c>
      <c r="S449" s="4">
        <f t="shared" si="400"/>
        <v>0.99549347132349975</v>
      </c>
      <c r="T449" s="4">
        <f t="shared" si="400"/>
        <v>0.99354772139898062</v>
      </c>
      <c r="U449" s="4">
        <f t="shared" si="400"/>
        <v>0.99076681540580536</v>
      </c>
      <c r="V449" s="4">
        <f t="shared" si="400"/>
        <v>0.9867978615748374</v>
      </c>
      <c r="W449" s="4">
        <f t="shared" si="400"/>
        <v>0.98114509762858249</v>
      </c>
      <c r="X449" s="4">
        <f t="shared" si="400"/>
        <v>0.97311898315872036</v>
      </c>
      <c r="Y449" s="4">
        <f t="shared" si="400"/>
        <v>0.96177484161592774</v>
      </c>
      <c r="Z449" s="4">
        <f t="shared" si="400"/>
        <v>0.94584787155511363</v>
      </c>
      <c r="AA449" s="4">
        <f t="shared" si="400"/>
        <v>0.92370360150141495</v>
      </c>
      <c r="AB449" s="4">
        <f t="shared" si="400"/>
        <v>0.89334463567658451</v>
      </c>
      <c r="AC449" s="4">
        <f t="shared" si="400"/>
        <v>0.85254543874327005</v>
      </c>
      <c r="AD449" s="4">
        <f t="shared" si="400"/>
        <v>0.79921300652623883</v>
      </c>
      <c r="AE449" s="4">
        <f t="shared" si="400"/>
        <v>0.73204982249993378</v>
      </c>
      <c r="AF449" s="4">
        <f t="shared" si="400"/>
        <v>0.65145592958786691</v>
      </c>
      <c r="AG449" s="4">
        <f t="shared" si="400"/>
        <v>0.56032247880849573</v>
      </c>
      <c r="AH449" s="4">
        <f t="shared" si="400"/>
        <v>0.46411326873185343</v>
      </c>
      <c r="AI449" s="4">
        <f t="shared" si="400"/>
        <v>0.36979727595523937</v>
      </c>
      <c r="AJ449" s="4">
        <f t="shared" si="400"/>
        <v>0.28393948637231203</v>
      </c>
      <c r="AK449" s="4">
        <f t="shared" si="400"/>
        <v>0.21097259161117732</v>
      </c>
      <c r="AL449" s="4">
        <f t="shared" si="400"/>
        <v>0.15253917653798199</v>
      </c>
      <c r="AM449" s="4">
        <f t="shared" si="400"/>
        <v>0.10795188737709993</v>
      </c>
      <c r="AN449" s="4">
        <f t="shared" si="400"/>
        <v>7.5176653938091809E-2</v>
      </c>
      <c r="AO449" s="4">
        <f t="shared" si="400"/>
        <v>5.1742836177502194E-2</v>
      </c>
      <c r="AP449" s="4">
        <f t="shared" si="400"/>
        <v>3.5319190625345942E-2</v>
      </c>
      <c r="AQ449" s="4">
        <f t="shared" si="400"/>
        <v>2.3969442072658165E-2</v>
      </c>
      <c r="AR449" s="4">
        <f t="shared" si="400"/>
        <v>1.6202243558389728E-2</v>
      </c>
    </row>
    <row r="450" spans="1:44" x14ac:dyDescent="0.25">
      <c r="A450" s="24" t="s">
        <v>41</v>
      </c>
      <c r="B450" s="43">
        <f>'Parameter Input'!$L$161</f>
        <v>20</v>
      </c>
      <c r="C450" s="44">
        <f>'Parameter Input'!$M$161</f>
        <v>20</v>
      </c>
      <c r="D450" s="1" t="s">
        <v>42</v>
      </c>
      <c r="L450" s="54">
        <f>'Parameter Input'!$O$161</f>
        <v>12</v>
      </c>
      <c r="M450" s="37">
        <v>0</v>
      </c>
      <c r="N450" s="37">
        <v>1</v>
      </c>
      <c r="O450" s="37">
        <f>'Parameter Input'!$P$161</f>
        <v>0.9</v>
      </c>
      <c r="P450" s="55">
        <f>'Parameter Input'!$Q$161</f>
        <v>0.4</v>
      </c>
      <c r="Q450" s="4">
        <f t="shared" ref="Q450:AF455" si="401">$N450+($M450-$N450)*((1/(1+EXP(-$P450*(Q$9-$L450)))^$O450))</f>
        <v>0.9867978615748374</v>
      </c>
      <c r="R450" s="4">
        <f t="shared" si="401"/>
        <v>0.98114509762858249</v>
      </c>
      <c r="S450" s="4">
        <f t="shared" si="401"/>
        <v>0.97311898315872036</v>
      </c>
      <c r="T450" s="4">
        <f t="shared" si="401"/>
        <v>0.96177484161592774</v>
      </c>
      <c r="U450" s="4">
        <f t="shared" si="401"/>
        <v>0.94584787155511363</v>
      </c>
      <c r="V450" s="4">
        <f t="shared" si="401"/>
        <v>0.92370360150141495</v>
      </c>
      <c r="W450" s="4">
        <f t="shared" si="401"/>
        <v>0.89334463567658451</v>
      </c>
      <c r="X450" s="4">
        <f t="shared" si="401"/>
        <v>0.85254543874327005</v>
      </c>
      <c r="Y450" s="4">
        <f t="shared" si="401"/>
        <v>0.79921300652623883</v>
      </c>
      <c r="Z450" s="4">
        <f t="shared" si="401"/>
        <v>0.73204982249993378</v>
      </c>
      <c r="AA450" s="4">
        <f t="shared" si="401"/>
        <v>0.65145592958786691</v>
      </c>
      <c r="AB450" s="4">
        <f t="shared" si="401"/>
        <v>0.56032247880849573</v>
      </c>
      <c r="AC450" s="4">
        <f t="shared" si="401"/>
        <v>0.46411326873185343</v>
      </c>
      <c r="AD450" s="4">
        <f t="shared" si="401"/>
        <v>0.36979727595523937</v>
      </c>
      <c r="AE450" s="4">
        <f t="shared" si="401"/>
        <v>0.28393948637231203</v>
      </c>
      <c r="AF450" s="4">
        <f t="shared" si="401"/>
        <v>0.21097259161117732</v>
      </c>
      <c r="AG450" s="4">
        <f t="shared" si="398"/>
        <v>0.15253917653798199</v>
      </c>
      <c r="AH450" s="4">
        <f t="shared" si="398"/>
        <v>0.10795188737709993</v>
      </c>
      <c r="AI450" s="4">
        <f t="shared" si="398"/>
        <v>7.5176653938091809E-2</v>
      </c>
      <c r="AJ450" s="4">
        <f t="shared" si="399"/>
        <v>5.1742836177502194E-2</v>
      </c>
      <c r="AK450" s="4">
        <f t="shared" si="399"/>
        <v>3.5319190625345942E-2</v>
      </c>
      <c r="AL450" s="4">
        <f t="shared" si="399"/>
        <v>2.3969442072658165E-2</v>
      </c>
      <c r="AM450" s="4">
        <f t="shared" si="399"/>
        <v>1.6202243558389728E-2</v>
      </c>
      <c r="AN450" s="4">
        <f t="shared" si="399"/>
        <v>1.0922240564108399E-2</v>
      </c>
      <c r="AO450" s="4">
        <f t="shared" si="399"/>
        <v>7.3493212906090566E-3</v>
      </c>
      <c r="AP450" s="4">
        <f t="shared" si="399"/>
        <v>4.9390262185057265E-3</v>
      </c>
      <c r="AQ450" s="4">
        <f t="shared" si="399"/>
        <v>3.3164275492956197E-3</v>
      </c>
      <c r="AR450" s="4">
        <f t="shared" si="39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401"/>
        <v>0.9867978615748374</v>
      </c>
      <c r="R451" s="4">
        <f t="shared" si="401"/>
        <v>0.98114509762858249</v>
      </c>
      <c r="S451" s="4">
        <f t="shared" si="401"/>
        <v>0.97311898315872036</v>
      </c>
      <c r="T451" s="4">
        <f t="shared" si="401"/>
        <v>0.96177484161592774</v>
      </c>
      <c r="U451" s="4">
        <f t="shared" si="401"/>
        <v>0.94584787155511363</v>
      </c>
      <c r="V451" s="4">
        <f t="shared" si="401"/>
        <v>0.92370360150141495</v>
      </c>
      <c r="W451" s="4">
        <f t="shared" si="401"/>
        <v>0.89334463567658451</v>
      </c>
      <c r="X451" s="4">
        <f t="shared" si="401"/>
        <v>0.85254543874327005</v>
      </c>
      <c r="Y451" s="4">
        <f t="shared" si="401"/>
        <v>0.79921300652623883</v>
      </c>
      <c r="Z451" s="4">
        <f t="shared" si="401"/>
        <v>0.73204982249993378</v>
      </c>
      <c r="AA451" s="4">
        <f t="shared" si="401"/>
        <v>0.65145592958786691</v>
      </c>
      <c r="AB451" s="4">
        <f t="shared" si="401"/>
        <v>0.56032247880849573</v>
      </c>
      <c r="AC451" s="4">
        <f t="shared" si="401"/>
        <v>0.46411326873185343</v>
      </c>
      <c r="AD451" s="4">
        <f t="shared" si="401"/>
        <v>0.36979727595523937</v>
      </c>
      <c r="AE451" s="4">
        <f t="shared" si="401"/>
        <v>0.28393948637231203</v>
      </c>
      <c r="AF451" s="4">
        <f t="shared" si="401"/>
        <v>0.21097259161117732</v>
      </c>
      <c r="AG451" s="4">
        <f t="shared" si="398"/>
        <v>0.15253917653798199</v>
      </c>
      <c r="AH451" s="4">
        <f t="shared" si="398"/>
        <v>0.10795188737709993</v>
      </c>
      <c r="AI451" s="4">
        <f t="shared" si="398"/>
        <v>7.5176653938091809E-2</v>
      </c>
      <c r="AJ451" s="4">
        <f t="shared" si="399"/>
        <v>5.1742836177502194E-2</v>
      </c>
      <c r="AK451" s="4">
        <f t="shared" si="399"/>
        <v>3.5319190625345942E-2</v>
      </c>
      <c r="AL451" s="4">
        <f t="shared" si="399"/>
        <v>2.3969442072658165E-2</v>
      </c>
      <c r="AM451" s="4">
        <f t="shared" si="399"/>
        <v>1.6202243558389728E-2</v>
      </c>
      <c r="AN451" s="4">
        <f t="shared" si="399"/>
        <v>1.0922240564108399E-2</v>
      </c>
      <c r="AO451" s="4">
        <f t="shared" si="399"/>
        <v>7.3493212906090566E-3</v>
      </c>
      <c r="AP451" s="4">
        <f t="shared" si="399"/>
        <v>4.9390262185057265E-3</v>
      </c>
      <c r="AQ451" s="4">
        <f t="shared" si="399"/>
        <v>3.3164275492956197E-3</v>
      </c>
      <c r="AR451" s="4">
        <f t="shared" si="39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401"/>
        <v>0.9867978615748374</v>
      </c>
      <c r="R452" s="4">
        <f t="shared" si="401"/>
        <v>0.98114509762858249</v>
      </c>
      <c r="S452" s="4">
        <f t="shared" si="401"/>
        <v>0.97311898315872036</v>
      </c>
      <c r="T452" s="4">
        <f t="shared" si="401"/>
        <v>0.96177484161592774</v>
      </c>
      <c r="U452" s="4">
        <f t="shared" si="401"/>
        <v>0.94584787155511363</v>
      </c>
      <c r="V452" s="4">
        <f t="shared" si="401"/>
        <v>0.92370360150141495</v>
      </c>
      <c r="W452" s="4">
        <f t="shared" si="401"/>
        <v>0.89334463567658451</v>
      </c>
      <c r="X452" s="4">
        <f t="shared" si="401"/>
        <v>0.85254543874327005</v>
      </c>
      <c r="Y452" s="4">
        <f t="shared" si="401"/>
        <v>0.79921300652623883</v>
      </c>
      <c r="Z452" s="4">
        <f t="shared" si="401"/>
        <v>0.73204982249993378</v>
      </c>
      <c r="AA452" s="4">
        <f t="shared" si="401"/>
        <v>0.65145592958786691</v>
      </c>
      <c r="AB452" s="4">
        <f t="shared" si="401"/>
        <v>0.56032247880849573</v>
      </c>
      <c r="AC452" s="4">
        <f t="shared" si="401"/>
        <v>0.46411326873185343</v>
      </c>
      <c r="AD452" s="4">
        <f t="shared" si="401"/>
        <v>0.36979727595523937</v>
      </c>
      <c r="AE452" s="4">
        <f t="shared" si="401"/>
        <v>0.28393948637231203</v>
      </c>
      <c r="AF452" s="4">
        <f t="shared" si="401"/>
        <v>0.21097259161117732</v>
      </c>
      <c r="AG452" s="4">
        <f t="shared" si="398"/>
        <v>0.15253917653798199</v>
      </c>
      <c r="AH452" s="4">
        <f t="shared" si="398"/>
        <v>0.10795188737709993</v>
      </c>
      <c r="AI452" s="4">
        <f t="shared" si="398"/>
        <v>7.5176653938091809E-2</v>
      </c>
      <c r="AJ452" s="4">
        <f t="shared" si="399"/>
        <v>5.1742836177502194E-2</v>
      </c>
      <c r="AK452" s="4">
        <f t="shared" si="399"/>
        <v>3.5319190625345942E-2</v>
      </c>
      <c r="AL452" s="4">
        <f t="shared" si="399"/>
        <v>2.3969442072658165E-2</v>
      </c>
      <c r="AM452" s="4">
        <f t="shared" si="399"/>
        <v>1.6202243558389728E-2</v>
      </c>
      <c r="AN452" s="4">
        <f t="shared" si="399"/>
        <v>1.0922240564108399E-2</v>
      </c>
      <c r="AO452" s="4">
        <f t="shared" si="399"/>
        <v>7.3493212906090566E-3</v>
      </c>
      <c r="AP452" s="4">
        <f t="shared" si="399"/>
        <v>4.9390262185057265E-3</v>
      </c>
      <c r="AQ452" s="4">
        <f t="shared" si="399"/>
        <v>3.3164275492956197E-3</v>
      </c>
      <c r="AR452" s="4">
        <f t="shared" si="39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401"/>
        <v>0.9867978615748374</v>
      </c>
      <c r="R453" s="4">
        <f t="shared" si="401"/>
        <v>0.98114509762858249</v>
      </c>
      <c r="S453" s="4">
        <f t="shared" si="401"/>
        <v>0.97311898315872036</v>
      </c>
      <c r="T453" s="4">
        <f t="shared" si="401"/>
        <v>0.96177484161592774</v>
      </c>
      <c r="U453" s="4">
        <f t="shared" si="401"/>
        <v>0.94584787155511363</v>
      </c>
      <c r="V453" s="4">
        <f t="shared" si="401"/>
        <v>0.92370360150141495</v>
      </c>
      <c r="W453" s="4">
        <f t="shared" si="401"/>
        <v>0.89334463567658451</v>
      </c>
      <c r="X453" s="4">
        <f t="shared" si="401"/>
        <v>0.85254543874327005</v>
      </c>
      <c r="Y453" s="4">
        <f t="shared" si="401"/>
        <v>0.79921300652623883</v>
      </c>
      <c r="Z453" s="4">
        <f t="shared" si="401"/>
        <v>0.73204982249993378</v>
      </c>
      <c r="AA453" s="4">
        <f t="shared" si="401"/>
        <v>0.65145592958786691</v>
      </c>
      <c r="AB453" s="4">
        <f t="shared" si="401"/>
        <v>0.56032247880849573</v>
      </c>
      <c r="AC453" s="4">
        <f t="shared" si="401"/>
        <v>0.46411326873185343</v>
      </c>
      <c r="AD453" s="4">
        <f t="shared" si="401"/>
        <v>0.36979727595523937</v>
      </c>
      <c r="AE453" s="4">
        <f t="shared" si="401"/>
        <v>0.28393948637231203</v>
      </c>
      <c r="AF453" s="4">
        <f t="shared" si="401"/>
        <v>0.21097259161117732</v>
      </c>
      <c r="AG453" s="4">
        <f t="shared" si="398"/>
        <v>0.15253917653798199</v>
      </c>
      <c r="AH453" s="4">
        <f t="shared" si="398"/>
        <v>0.10795188737709993</v>
      </c>
      <c r="AI453" s="4">
        <f t="shared" si="398"/>
        <v>7.5176653938091809E-2</v>
      </c>
      <c r="AJ453" s="4">
        <f t="shared" si="399"/>
        <v>5.1742836177502194E-2</v>
      </c>
      <c r="AK453" s="4">
        <f t="shared" si="399"/>
        <v>3.5319190625345942E-2</v>
      </c>
      <c r="AL453" s="4">
        <f t="shared" si="399"/>
        <v>2.3969442072658165E-2</v>
      </c>
      <c r="AM453" s="4">
        <f t="shared" si="399"/>
        <v>1.6202243558389728E-2</v>
      </c>
      <c r="AN453" s="4">
        <f t="shared" si="399"/>
        <v>1.0922240564108399E-2</v>
      </c>
      <c r="AO453" s="4">
        <f t="shared" si="399"/>
        <v>7.3493212906090566E-3</v>
      </c>
      <c r="AP453" s="4">
        <f t="shared" si="399"/>
        <v>4.9390262185057265E-3</v>
      </c>
      <c r="AQ453" s="4">
        <f t="shared" si="399"/>
        <v>3.3164275492956197E-3</v>
      </c>
      <c r="AR453" s="4">
        <f t="shared" si="399"/>
        <v>2.2256362146679809E-3</v>
      </c>
    </row>
    <row r="454" spans="1:44" x14ac:dyDescent="0.25">
      <c r="A454" s="24" t="s">
        <v>73</v>
      </c>
      <c r="B454" s="72">
        <f>'Parameter Input'!$L$165</f>
        <v>0</v>
      </c>
      <c r="C454" s="73">
        <f>'Parameter Input'!$M$165</f>
        <v>0</v>
      </c>
      <c r="D454" s="1" t="s">
        <v>57</v>
      </c>
      <c r="L454" s="54">
        <f>'Parameter Input'!$O$165</f>
        <v>12</v>
      </c>
      <c r="M454" s="37">
        <v>0</v>
      </c>
      <c r="N454" s="37">
        <v>1</v>
      </c>
      <c r="O454" s="37">
        <f>'Parameter Input'!$P$165</f>
        <v>0.9</v>
      </c>
      <c r="P454" s="55">
        <f>'Parameter Input'!$Q$165</f>
        <v>0.4</v>
      </c>
      <c r="Q454" s="4">
        <f t="shared" si="401"/>
        <v>0.9867978615748374</v>
      </c>
      <c r="R454" s="4">
        <f t="shared" si="401"/>
        <v>0.98114509762858249</v>
      </c>
      <c r="S454" s="4">
        <f t="shared" si="401"/>
        <v>0.97311898315872036</v>
      </c>
      <c r="T454" s="4">
        <f t="shared" si="401"/>
        <v>0.96177484161592774</v>
      </c>
      <c r="U454" s="4">
        <f t="shared" si="401"/>
        <v>0.94584787155511363</v>
      </c>
      <c r="V454" s="4">
        <f t="shared" si="401"/>
        <v>0.92370360150141495</v>
      </c>
      <c r="W454" s="4">
        <f t="shared" si="401"/>
        <v>0.89334463567658451</v>
      </c>
      <c r="X454" s="4">
        <f t="shared" si="401"/>
        <v>0.85254543874327005</v>
      </c>
      <c r="Y454" s="4">
        <f t="shared" si="401"/>
        <v>0.79921300652623883</v>
      </c>
      <c r="Z454" s="4">
        <f t="shared" si="401"/>
        <v>0.73204982249993378</v>
      </c>
      <c r="AA454" s="4">
        <f t="shared" si="401"/>
        <v>0.65145592958786691</v>
      </c>
      <c r="AB454" s="4">
        <f t="shared" si="401"/>
        <v>0.56032247880849573</v>
      </c>
      <c r="AC454" s="4">
        <f t="shared" si="401"/>
        <v>0.46411326873185343</v>
      </c>
      <c r="AD454" s="4">
        <f t="shared" si="401"/>
        <v>0.36979727595523937</v>
      </c>
      <c r="AE454" s="4">
        <f t="shared" si="401"/>
        <v>0.28393948637231203</v>
      </c>
      <c r="AF454" s="4">
        <f t="shared" si="401"/>
        <v>0.21097259161117732</v>
      </c>
      <c r="AG454" s="4">
        <f t="shared" si="398"/>
        <v>0.15253917653798199</v>
      </c>
      <c r="AH454" s="4">
        <f t="shared" si="398"/>
        <v>0.10795188737709993</v>
      </c>
      <c r="AI454" s="4">
        <f t="shared" si="398"/>
        <v>7.5176653938091809E-2</v>
      </c>
      <c r="AJ454" s="4">
        <f t="shared" si="399"/>
        <v>5.1742836177502194E-2</v>
      </c>
      <c r="AK454" s="4">
        <f t="shared" si="399"/>
        <v>3.5319190625345942E-2</v>
      </c>
      <c r="AL454" s="4">
        <f t="shared" si="399"/>
        <v>2.3969442072658165E-2</v>
      </c>
      <c r="AM454" s="4">
        <f t="shared" si="399"/>
        <v>1.6202243558389728E-2</v>
      </c>
      <c r="AN454" s="4">
        <f t="shared" si="399"/>
        <v>1.0922240564108399E-2</v>
      </c>
      <c r="AO454" s="4">
        <f t="shared" si="399"/>
        <v>7.3493212906090566E-3</v>
      </c>
      <c r="AP454" s="4">
        <f t="shared" si="399"/>
        <v>4.9390262185057265E-3</v>
      </c>
      <c r="AQ454" s="4">
        <f t="shared" si="399"/>
        <v>3.3164275492956197E-3</v>
      </c>
      <c r="AR454" s="4">
        <f t="shared" si="39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401"/>
        <v>0.9867978615748374</v>
      </c>
      <c r="R455" s="4">
        <f t="shared" si="401"/>
        <v>0.98114509762858249</v>
      </c>
      <c r="S455" s="4">
        <f t="shared" si="401"/>
        <v>0.97311898315872036</v>
      </c>
      <c r="T455" s="4">
        <f t="shared" si="401"/>
        <v>0.96177484161592774</v>
      </c>
      <c r="U455" s="4">
        <f t="shared" si="401"/>
        <v>0.94584787155511363</v>
      </c>
      <c r="V455" s="4">
        <f t="shared" si="401"/>
        <v>0.92370360150141495</v>
      </c>
      <c r="W455" s="4">
        <f t="shared" si="401"/>
        <v>0.89334463567658451</v>
      </c>
      <c r="X455" s="4">
        <f t="shared" si="401"/>
        <v>0.85254543874327005</v>
      </c>
      <c r="Y455" s="4">
        <f t="shared" si="401"/>
        <v>0.79921300652623883</v>
      </c>
      <c r="Z455" s="4">
        <f t="shared" si="401"/>
        <v>0.73204982249993378</v>
      </c>
      <c r="AA455" s="4">
        <f t="shared" si="401"/>
        <v>0.65145592958786691</v>
      </c>
      <c r="AB455" s="4">
        <f t="shared" si="401"/>
        <v>0.56032247880849573</v>
      </c>
      <c r="AC455" s="4">
        <f t="shared" si="401"/>
        <v>0.46411326873185343</v>
      </c>
      <c r="AD455" s="4">
        <f t="shared" si="401"/>
        <v>0.36979727595523937</v>
      </c>
      <c r="AE455" s="4">
        <f t="shared" si="401"/>
        <v>0.28393948637231203</v>
      </c>
      <c r="AF455" s="4">
        <f t="shared" si="401"/>
        <v>0.21097259161117732</v>
      </c>
      <c r="AG455" s="4">
        <f t="shared" si="398"/>
        <v>0.15253917653798199</v>
      </c>
      <c r="AH455" s="4">
        <f t="shared" si="398"/>
        <v>0.10795188737709993</v>
      </c>
      <c r="AI455" s="4">
        <f t="shared" si="398"/>
        <v>7.5176653938091809E-2</v>
      </c>
      <c r="AJ455" s="4">
        <f t="shared" si="399"/>
        <v>5.1742836177502194E-2</v>
      </c>
      <c r="AK455" s="4">
        <f t="shared" si="399"/>
        <v>3.5319190625345942E-2</v>
      </c>
      <c r="AL455" s="4">
        <f t="shared" si="399"/>
        <v>2.3969442072658165E-2</v>
      </c>
      <c r="AM455" s="4">
        <f t="shared" si="399"/>
        <v>1.6202243558389728E-2</v>
      </c>
      <c r="AN455" s="4">
        <f t="shared" si="399"/>
        <v>1.0922240564108399E-2</v>
      </c>
      <c r="AO455" s="4">
        <f t="shared" si="399"/>
        <v>7.3493212906090566E-3</v>
      </c>
      <c r="AP455" s="4">
        <f t="shared" si="399"/>
        <v>4.9390262185057265E-3</v>
      </c>
      <c r="AQ455" s="4">
        <f t="shared" si="399"/>
        <v>3.3164275492956197E-3</v>
      </c>
      <c r="AR455" s="4">
        <f t="shared" si="39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2">A439</f>
        <v>Capex vehicle</v>
      </c>
      <c r="B459" s="62">
        <f t="shared" ref="B459:B467" si="403">$B439+($C439-$B439)*(1-Q439)</f>
        <v>5000000</v>
      </c>
      <c r="C459" s="62">
        <f t="shared" ref="C459:C467" si="404">$B439+($C439-$B439)*(1-R439)</f>
        <v>5000000</v>
      </c>
      <c r="D459" s="62">
        <f t="shared" ref="D459:D467" si="405">$B439+($C439-$B439)*(1-S439)</f>
        <v>5000000</v>
      </c>
      <c r="E459" s="62">
        <f t="shared" ref="E459:E467" si="406">$B439+($C439-$B439)*(1-T439)</f>
        <v>5000000</v>
      </c>
      <c r="F459" s="62">
        <f t="shared" ref="F459:F467" si="407">$B439+($C439-$B439)*(1-U439)</f>
        <v>5000000</v>
      </c>
      <c r="G459" s="62">
        <f t="shared" ref="G459:G467" si="408">$B439+($C439-$B439)*(1-V439)</f>
        <v>5000000</v>
      </c>
      <c r="H459" s="62">
        <f t="shared" ref="H459:H467" si="409">$B439+($C439-$B439)*(1-W439)</f>
        <v>5000000</v>
      </c>
      <c r="I459" s="62">
        <f t="shared" ref="I459:I467" si="410">$B439+($C439-$B439)*(1-X439)</f>
        <v>5000000</v>
      </c>
      <c r="J459" s="62">
        <f t="shared" ref="J459:J467" si="411">$B439+($C439-$B439)*(1-Y439)</f>
        <v>5000000</v>
      </c>
      <c r="K459" s="62">
        <f t="shared" ref="K459:K467" si="412">$B439+($C439-$B439)*(1-Z439)</f>
        <v>5000000</v>
      </c>
      <c r="L459" s="62">
        <f t="shared" ref="L459:L467" si="413">$B439+($C439-$B439)*(1-AA439)</f>
        <v>5000000</v>
      </c>
      <c r="M459" s="62">
        <f t="shared" ref="M459:M467" si="414">$B439+($C439-$B439)*(1-AB439)</f>
        <v>5000000</v>
      </c>
      <c r="N459" s="62">
        <f t="shared" ref="N459:N467" si="415">$B439+($C439-$B439)*(1-AC439)</f>
        <v>5000000</v>
      </c>
      <c r="O459" s="62">
        <f t="shared" ref="O459:O467" si="416">$B439+($C439-$B439)*(1-AD439)</f>
        <v>5000000</v>
      </c>
      <c r="P459" s="62">
        <f t="shared" ref="P459:P467" si="417">$B439+($C439-$B439)*(1-AE439)</f>
        <v>5000000</v>
      </c>
      <c r="Q459" s="62">
        <f t="shared" ref="Q459:Q467" si="418">$B439+($C439-$B439)*(1-AF439)</f>
        <v>5000000</v>
      </c>
      <c r="R459" s="62">
        <f t="shared" ref="R459:R467" si="419">$B439+($C439-$B439)*(1-AG439)</f>
        <v>5000000</v>
      </c>
      <c r="S459" s="62">
        <f t="shared" ref="S459:S467" si="420">$B439+($C439-$B439)*(1-AH439)</f>
        <v>5000000</v>
      </c>
      <c r="T459" s="62">
        <f t="shared" ref="T459:T467" si="421">$B439+($C439-$B439)*(1-AI439)</f>
        <v>5000000</v>
      </c>
      <c r="U459" s="62">
        <f t="shared" ref="U459:U467" si="422">$B439+($C439-$B439)*(1-AJ439)</f>
        <v>5000000</v>
      </c>
      <c r="V459" s="62">
        <f t="shared" ref="V459:V467" si="423">$B439+($C439-$B439)*(1-AK439)</f>
        <v>5000000</v>
      </c>
      <c r="W459" s="62">
        <f t="shared" ref="W459:W467" si="424">$B439+($C439-$B439)*(1-AL439)</f>
        <v>5000000</v>
      </c>
      <c r="X459" s="62">
        <f t="shared" ref="X459:X467" si="425">$B439+($C439-$B439)*(1-AM439)</f>
        <v>5000000</v>
      </c>
      <c r="Y459" s="62">
        <f t="shared" ref="Y459:Y467" si="426">$B439+($C439-$B439)*(1-AN439)</f>
        <v>5000000</v>
      </c>
      <c r="Z459" s="62">
        <f t="shared" ref="Z459:Z467" si="427">$B439+($C439-$B439)*(1-AO439)</f>
        <v>5000000</v>
      </c>
      <c r="AA459" s="62">
        <f t="shared" ref="AA459:AA467" si="428">$B439+($C439-$B439)*(1-AP439)</f>
        <v>5000000</v>
      </c>
      <c r="AB459" s="62">
        <f t="shared" ref="AB459:AB467" si="429">$B439+($C439-$B439)*(1-AQ439)</f>
        <v>5000000</v>
      </c>
      <c r="AC459" s="62">
        <f t="shared" ref="AC459:AC467" si="430">$B439+($C439-$B439)*(1-AR439)</f>
        <v>5000000</v>
      </c>
    </row>
    <row r="460" spans="1:44" x14ac:dyDescent="0.25">
      <c r="A460" s="30" t="str">
        <f t="shared" si="402"/>
        <v>Residual value (vehicle)</v>
      </c>
      <c r="B460" s="62">
        <f t="shared" si="403"/>
        <v>-750000</v>
      </c>
      <c r="C460" s="62">
        <f t="shared" si="404"/>
        <v>-750000</v>
      </c>
      <c r="D460" s="62">
        <f t="shared" si="405"/>
        <v>-750000</v>
      </c>
      <c r="E460" s="62">
        <f t="shared" si="406"/>
        <v>-750000</v>
      </c>
      <c r="F460" s="62">
        <f t="shared" si="407"/>
        <v>-750000</v>
      </c>
      <c r="G460" s="62">
        <f t="shared" si="408"/>
        <v>-750000</v>
      </c>
      <c r="H460" s="62">
        <f t="shared" si="409"/>
        <v>-750000</v>
      </c>
      <c r="I460" s="62">
        <f t="shared" si="410"/>
        <v>-750000</v>
      </c>
      <c r="J460" s="62">
        <f t="shared" si="411"/>
        <v>-750000</v>
      </c>
      <c r="K460" s="62">
        <f t="shared" si="412"/>
        <v>-750000</v>
      </c>
      <c r="L460" s="62">
        <f t="shared" si="413"/>
        <v>-750000</v>
      </c>
      <c r="M460" s="62">
        <f t="shared" si="414"/>
        <v>-750000</v>
      </c>
      <c r="N460" s="62">
        <f t="shared" si="415"/>
        <v>-750000</v>
      </c>
      <c r="O460" s="62">
        <f t="shared" si="416"/>
        <v>-750000</v>
      </c>
      <c r="P460" s="62">
        <f t="shared" si="417"/>
        <v>-750000</v>
      </c>
      <c r="Q460" s="62">
        <f t="shared" si="418"/>
        <v>-750000</v>
      </c>
      <c r="R460" s="62">
        <f t="shared" si="419"/>
        <v>-750000</v>
      </c>
      <c r="S460" s="62">
        <f t="shared" si="420"/>
        <v>-750000</v>
      </c>
      <c r="T460" s="62">
        <f t="shared" si="421"/>
        <v>-750000</v>
      </c>
      <c r="U460" s="62">
        <f t="shared" si="422"/>
        <v>-750000</v>
      </c>
      <c r="V460" s="62">
        <f t="shared" si="423"/>
        <v>-750000</v>
      </c>
      <c r="W460" s="62">
        <f t="shared" si="424"/>
        <v>-750000</v>
      </c>
      <c r="X460" s="62">
        <f t="shared" si="425"/>
        <v>-750000</v>
      </c>
      <c r="Y460" s="62">
        <f t="shared" si="426"/>
        <v>-750000</v>
      </c>
      <c r="Z460" s="62">
        <f t="shared" si="427"/>
        <v>-750000</v>
      </c>
      <c r="AA460" s="62">
        <f t="shared" si="428"/>
        <v>-750000</v>
      </c>
      <c r="AB460" s="62">
        <f t="shared" si="429"/>
        <v>-750000</v>
      </c>
      <c r="AC460" s="62">
        <f t="shared" si="430"/>
        <v>-750000</v>
      </c>
    </row>
    <row r="461" spans="1:44" x14ac:dyDescent="0.25">
      <c r="A461" s="30" t="str">
        <f t="shared" si="402"/>
        <v>Capex costumization</v>
      </c>
      <c r="B461" s="62">
        <f t="shared" si="403"/>
        <v>3500000</v>
      </c>
      <c r="C461" s="62">
        <f t="shared" si="404"/>
        <v>3500000</v>
      </c>
      <c r="D461" s="62">
        <f t="shared" si="405"/>
        <v>3500000</v>
      </c>
      <c r="E461" s="62">
        <f t="shared" si="406"/>
        <v>3500000</v>
      </c>
      <c r="F461" s="62">
        <f t="shared" si="407"/>
        <v>3500000</v>
      </c>
      <c r="G461" s="62">
        <f t="shared" si="408"/>
        <v>3500000</v>
      </c>
      <c r="H461" s="62">
        <f t="shared" si="409"/>
        <v>3500000</v>
      </c>
      <c r="I461" s="62">
        <f t="shared" si="410"/>
        <v>3500000</v>
      </c>
      <c r="J461" s="62">
        <f t="shared" si="411"/>
        <v>3500000</v>
      </c>
      <c r="K461" s="62">
        <f t="shared" si="412"/>
        <v>3500000</v>
      </c>
      <c r="L461" s="62">
        <f t="shared" si="413"/>
        <v>3500000</v>
      </c>
      <c r="M461" s="62">
        <f t="shared" si="414"/>
        <v>3500000</v>
      </c>
      <c r="N461" s="62">
        <f t="shared" si="415"/>
        <v>3500000</v>
      </c>
      <c r="O461" s="62">
        <f t="shared" si="416"/>
        <v>3500000</v>
      </c>
      <c r="P461" s="62">
        <f t="shared" si="417"/>
        <v>3500000</v>
      </c>
      <c r="Q461" s="62">
        <f t="shared" si="418"/>
        <v>3500000</v>
      </c>
      <c r="R461" s="62">
        <f t="shared" si="419"/>
        <v>3500000</v>
      </c>
      <c r="S461" s="62">
        <f t="shared" si="420"/>
        <v>3500000</v>
      </c>
      <c r="T461" s="62">
        <f t="shared" si="421"/>
        <v>3500000</v>
      </c>
      <c r="U461" s="62">
        <f t="shared" si="422"/>
        <v>3500000</v>
      </c>
      <c r="V461" s="62">
        <f t="shared" si="423"/>
        <v>3500000</v>
      </c>
      <c r="W461" s="62">
        <f t="shared" si="424"/>
        <v>3500000</v>
      </c>
      <c r="X461" s="62">
        <f t="shared" si="425"/>
        <v>3500000</v>
      </c>
      <c r="Y461" s="62">
        <f t="shared" si="426"/>
        <v>3500000</v>
      </c>
      <c r="Z461" s="62">
        <f t="shared" si="427"/>
        <v>3500000</v>
      </c>
      <c r="AA461" s="62">
        <f t="shared" si="428"/>
        <v>3500000</v>
      </c>
      <c r="AB461" s="62">
        <f t="shared" si="429"/>
        <v>3500000</v>
      </c>
      <c r="AC461" s="62">
        <f t="shared" si="430"/>
        <v>3500000</v>
      </c>
    </row>
    <row r="462" spans="1:44" x14ac:dyDescent="0.25">
      <c r="A462" s="30" t="str">
        <f t="shared" si="402"/>
        <v>Residual value (costumization)</v>
      </c>
      <c r="B462" s="62">
        <f t="shared" si="403"/>
        <v>-175000</v>
      </c>
      <c r="C462" s="62">
        <f t="shared" si="404"/>
        <v>-175000</v>
      </c>
      <c r="D462" s="62">
        <f t="shared" si="405"/>
        <v>-175000</v>
      </c>
      <c r="E462" s="62">
        <f t="shared" si="406"/>
        <v>-175000</v>
      </c>
      <c r="F462" s="62">
        <f t="shared" si="407"/>
        <v>-175000</v>
      </c>
      <c r="G462" s="62">
        <f t="shared" si="408"/>
        <v>-175000</v>
      </c>
      <c r="H462" s="62">
        <f t="shared" si="409"/>
        <v>-175000</v>
      </c>
      <c r="I462" s="62">
        <f t="shared" si="410"/>
        <v>-175000</v>
      </c>
      <c r="J462" s="62">
        <f t="shared" si="411"/>
        <v>-175000</v>
      </c>
      <c r="K462" s="62">
        <f t="shared" si="412"/>
        <v>-175000</v>
      </c>
      <c r="L462" s="62">
        <f t="shared" si="413"/>
        <v>-175000</v>
      </c>
      <c r="M462" s="62">
        <f t="shared" si="414"/>
        <v>-175000</v>
      </c>
      <c r="N462" s="62">
        <f t="shared" si="415"/>
        <v>-175000</v>
      </c>
      <c r="O462" s="62">
        <f t="shared" si="416"/>
        <v>-175000</v>
      </c>
      <c r="P462" s="62">
        <f t="shared" si="417"/>
        <v>-175000</v>
      </c>
      <c r="Q462" s="62">
        <f t="shared" si="418"/>
        <v>-175000</v>
      </c>
      <c r="R462" s="62">
        <f t="shared" si="419"/>
        <v>-175000</v>
      </c>
      <c r="S462" s="62">
        <f t="shared" si="420"/>
        <v>-175000</v>
      </c>
      <c r="T462" s="62">
        <f t="shared" si="421"/>
        <v>-175000</v>
      </c>
      <c r="U462" s="62">
        <f t="shared" si="422"/>
        <v>-175000</v>
      </c>
      <c r="V462" s="62">
        <f t="shared" si="423"/>
        <v>-175000</v>
      </c>
      <c r="W462" s="62">
        <f t="shared" si="424"/>
        <v>-175000</v>
      </c>
      <c r="X462" s="62">
        <f t="shared" si="425"/>
        <v>-175000</v>
      </c>
      <c r="Y462" s="62">
        <f t="shared" si="426"/>
        <v>-175000</v>
      </c>
      <c r="Z462" s="62">
        <f t="shared" si="427"/>
        <v>-175000</v>
      </c>
      <c r="AA462" s="62">
        <f t="shared" si="428"/>
        <v>-175000</v>
      </c>
      <c r="AB462" s="62">
        <f t="shared" si="429"/>
        <v>-175000</v>
      </c>
      <c r="AC462" s="62">
        <f t="shared" si="430"/>
        <v>-175000</v>
      </c>
    </row>
    <row r="463" spans="1:44" x14ac:dyDescent="0.25">
      <c r="A463" s="30" t="str">
        <f t="shared" si="402"/>
        <v>WACC</v>
      </c>
      <c r="B463" s="62">
        <f t="shared" si="403"/>
        <v>0.06</v>
      </c>
      <c r="C463" s="62">
        <f t="shared" si="404"/>
        <v>0.06</v>
      </c>
      <c r="D463" s="62">
        <f t="shared" si="405"/>
        <v>0.06</v>
      </c>
      <c r="E463" s="62">
        <f t="shared" si="406"/>
        <v>0.06</v>
      </c>
      <c r="F463" s="62">
        <f t="shared" si="407"/>
        <v>0.06</v>
      </c>
      <c r="G463" s="62">
        <f t="shared" si="408"/>
        <v>0.06</v>
      </c>
      <c r="H463" s="62">
        <f t="shared" si="409"/>
        <v>0.06</v>
      </c>
      <c r="I463" s="62">
        <f t="shared" si="410"/>
        <v>0.06</v>
      </c>
      <c r="J463" s="62">
        <f t="shared" si="411"/>
        <v>0.06</v>
      </c>
      <c r="K463" s="62">
        <f t="shared" si="412"/>
        <v>0.06</v>
      </c>
      <c r="L463" s="62">
        <f t="shared" si="413"/>
        <v>0.06</v>
      </c>
      <c r="M463" s="62">
        <f t="shared" si="414"/>
        <v>0.06</v>
      </c>
      <c r="N463" s="62">
        <f t="shared" si="415"/>
        <v>0.06</v>
      </c>
      <c r="O463" s="62">
        <f t="shared" si="416"/>
        <v>0.06</v>
      </c>
      <c r="P463" s="62">
        <f t="shared" si="417"/>
        <v>0.06</v>
      </c>
      <c r="Q463" s="62">
        <f t="shared" si="418"/>
        <v>0.06</v>
      </c>
      <c r="R463" s="62">
        <f t="shared" si="419"/>
        <v>0.06</v>
      </c>
      <c r="S463" s="62">
        <f t="shared" si="420"/>
        <v>0.06</v>
      </c>
      <c r="T463" s="62">
        <f t="shared" si="421"/>
        <v>0.06</v>
      </c>
      <c r="U463" s="62">
        <f t="shared" si="422"/>
        <v>0.06</v>
      </c>
      <c r="V463" s="62">
        <f t="shared" si="423"/>
        <v>0.06</v>
      </c>
      <c r="W463" s="62">
        <f t="shared" si="424"/>
        <v>0.06</v>
      </c>
      <c r="X463" s="62">
        <f t="shared" si="425"/>
        <v>0.06</v>
      </c>
      <c r="Y463" s="62">
        <f t="shared" si="426"/>
        <v>0.06</v>
      </c>
      <c r="Z463" s="62">
        <f t="shared" si="427"/>
        <v>0.06</v>
      </c>
      <c r="AA463" s="62">
        <f t="shared" si="428"/>
        <v>0.06</v>
      </c>
      <c r="AB463" s="62">
        <f t="shared" si="429"/>
        <v>0.06</v>
      </c>
      <c r="AC463" s="62">
        <f t="shared" si="430"/>
        <v>0.06</v>
      </c>
    </row>
    <row r="464" spans="1:44" x14ac:dyDescent="0.25">
      <c r="A464" s="30" t="str">
        <f t="shared" si="402"/>
        <v>Opex fix (admin, crew, insurance)</v>
      </c>
      <c r="B464" s="62">
        <f t="shared" si="403"/>
        <v>650000</v>
      </c>
      <c r="C464" s="62">
        <f t="shared" si="404"/>
        <v>650000</v>
      </c>
      <c r="D464" s="62">
        <f t="shared" si="405"/>
        <v>650000</v>
      </c>
      <c r="E464" s="62">
        <f t="shared" si="406"/>
        <v>650000</v>
      </c>
      <c r="F464" s="62">
        <f t="shared" si="407"/>
        <v>650000</v>
      </c>
      <c r="G464" s="62">
        <f t="shared" si="408"/>
        <v>650000</v>
      </c>
      <c r="H464" s="62">
        <f t="shared" si="409"/>
        <v>650000</v>
      </c>
      <c r="I464" s="62">
        <f t="shared" si="410"/>
        <v>650000</v>
      </c>
      <c r="J464" s="62">
        <f t="shared" si="411"/>
        <v>650000</v>
      </c>
      <c r="K464" s="62">
        <f t="shared" si="412"/>
        <v>650000</v>
      </c>
      <c r="L464" s="62">
        <f t="shared" si="413"/>
        <v>650000</v>
      </c>
      <c r="M464" s="62">
        <f t="shared" si="414"/>
        <v>650000</v>
      </c>
      <c r="N464" s="62">
        <f t="shared" si="415"/>
        <v>650000</v>
      </c>
      <c r="O464" s="62">
        <f t="shared" si="416"/>
        <v>650000</v>
      </c>
      <c r="P464" s="62">
        <f t="shared" si="417"/>
        <v>650000</v>
      </c>
      <c r="Q464" s="62">
        <f t="shared" si="418"/>
        <v>650000</v>
      </c>
      <c r="R464" s="62">
        <f t="shared" si="419"/>
        <v>650000</v>
      </c>
      <c r="S464" s="62">
        <f t="shared" si="420"/>
        <v>650000</v>
      </c>
      <c r="T464" s="62">
        <f t="shared" si="421"/>
        <v>650000</v>
      </c>
      <c r="U464" s="62">
        <f t="shared" si="422"/>
        <v>650000</v>
      </c>
      <c r="V464" s="62">
        <f t="shared" si="423"/>
        <v>650000</v>
      </c>
      <c r="W464" s="62">
        <f t="shared" si="424"/>
        <v>650000</v>
      </c>
      <c r="X464" s="62">
        <f t="shared" si="425"/>
        <v>650000</v>
      </c>
      <c r="Y464" s="62">
        <f t="shared" si="426"/>
        <v>650000</v>
      </c>
      <c r="Z464" s="62">
        <f t="shared" si="427"/>
        <v>650000</v>
      </c>
      <c r="AA464" s="62">
        <f t="shared" si="428"/>
        <v>650000</v>
      </c>
      <c r="AB464" s="62">
        <f t="shared" si="429"/>
        <v>650000</v>
      </c>
      <c r="AC464" s="62">
        <f t="shared" si="430"/>
        <v>650000</v>
      </c>
    </row>
    <row r="465" spans="1:29" x14ac:dyDescent="0.25">
      <c r="A465" s="30" t="str">
        <f t="shared" si="402"/>
        <v>Opex maintenance &amp; repair</v>
      </c>
      <c r="B465" s="62">
        <f t="shared" si="403"/>
        <v>650000</v>
      </c>
      <c r="C465" s="62">
        <f t="shared" si="404"/>
        <v>650000</v>
      </c>
      <c r="D465" s="62">
        <f t="shared" si="405"/>
        <v>650000</v>
      </c>
      <c r="E465" s="62">
        <f t="shared" si="406"/>
        <v>650000</v>
      </c>
      <c r="F465" s="62">
        <f t="shared" si="407"/>
        <v>650000</v>
      </c>
      <c r="G465" s="62">
        <f t="shared" si="408"/>
        <v>650000</v>
      </c>
      <c r="H465" s="62">
        <f t="shared" si="409"/>
        <v>650000</v>
      </c>
      <c r="I465" s="62">
        <f t="shared" si="410"/>
        <v>650000</v>
      </c>
      <c r="J465" s="62">
        <f t="shared" si="411"/>
        <v>650000</v>
      </c>
      <c r="K465" s="62">
        <f t="shared" si="412"/>
        <v>650000</v>
      </c>
      <c r="L465" s="62">
        <f t="shared" si="413"/>
        <v>650000</v>
      </c>
      <c r="M465" s="62">
        <f t="shared" si="414"/>
        <v>650000</v>
      </c>
      <c r="N465" s="62">
        <f t="shared" si="415"/>
        <v>650000</v>
      </c>
      <c r="O465" s="62">
        <f t="shared" si="416"/>
        <v>650000</v>
      </c>
      <c r="P465" s="62">
        <f t="shared" si="417"/>
        <v>650000</v>
      </c>
      <c r="Q465" s="62">
        <f t="shared" si="418"/>
        <v>650000</v>
      </c>
      <c r="R465" s="62">
        <f t="shared" si="419"/>
        <v>650000</v>
      </c>
      <c r="S465" s="62">
        <f t="shared" si="420"/>
        <v>650000</v>
      </c>
      <c r="T465" s="62">
        <f t="shared" si="421"/>
        <v>650000</v>
      </c>
      <c r="U465" s="62">
        <f t="shared" si="422"/>
        <v>650000</v>
      </c>
      <c r="V465" s="62">
        <f t="shared" si="423"/>
        <v>650000</v>
      </c>
      <c r="W465" s="62">
        <f t="shared" si="424"/>
        <v>650000</v>
      </c>
      <c r="X465" s="62">
        <f t="shared" si="425"/>
        <v>650000</v>
      </c>
      <c r="Y465" s="62">
        <f t="shared" si="426"/>
        <v>650000</v>
      </c>
      <c r="Z465" s="62">
        <f t="shared" si="427"/>
        <v>650000</v>
      </c>
      <c r="AA465" s="62">
        <f t="shared" si="428"/>
        <v>650000</v>
      </c>
      <c r="AB465" s="62">
        <f t="shared" si="429"/>
        <v>650000</v>
      </c>
      <c r="AC465" s="62">
        <f t="shared" si="430"/>
        <v>650000</v>
      </c>
    </row>
    <row r="466" spans="1:29" x14ac:dyDescent="0.25">
      <c r="A466" s="30" t="str">
        <f t="shared" si="402"/>
        <v>Opex var (mode-fees, shunting)</v>
      </c>
      <c r="B466" s="62">
        <f t="shared" si="403"/>
        <v>3.9215686274509802</v>
      </c>
      <c r="C466" s="62">
        <f t="shared" si="404"/>
        <v>3.9215686274509802</v>
      </c>
      <c r="D466" s="62">
        <f t="shared" si="405"/>
        <v>3.9215686274509802</v>
      </c>
      <c r="E466" s="62">
        <f t="shared" si="406"/>
        <v>3.9215686274509802</v>
      </c>
      <c r="F466" s="62">
        <f t="shared" si="407"/>
        <v>3.9215686274509802</v>
      </c>
      <c r="G466" s="62">
        <f t="shared" si="408"/>
        <v>3.9215686274509802</v>
      </c>
      <c r="H466" s="62">
        <f t="shared" si="409"/>
        <v>3.9215686274509802</v>
      </c>
      <c r="I466" s="62">
        <f t="shared" si="410"/>
        <v>3.9215686274509802</v>
      </c>
      <c r="J466" s="62">
        <f t="shared" si="411"/>
        <v>3.9215686274509802</v>
      </c>
      <c r="K466" s="62">
        <f t="shared" si="412"/>
        <v>3.9215686274509802</v>
      </c>
      <c r="L466" s="62">
        <f t="shared" si="413"/>
        <v>3.9215686274509802</v>
      </c>
      <c r="M466" s="62">
        <f t="shared" si="414"/>
        <v>3.9215686274509802</v>
      </c>
      <c r="N466" s="62">
        <f t="shared" si="415"/>
        <v>3.9215686274509802</v>
      </c>
      <c r="O466" s="62">
        <f t="shared" si="416"/>
        <v>3.9215686274509802</v>
      </c>
      <c r="P466" s="62">
        <f t="shared" si="417"/>
        <v>3.9215686274509802</v>
      </c>
      <c r="Q466" s="62">
        <f t="shared" si="418"/>
        <v>3.9215686274509802</v>
      </c>
      <c r="R466" s="62">
        <f t="shared" si="419"/>
        <v>3.9215686274509802</v>
      </c>
      <c r="S466" s="62">
        <f t="shared" si="420"/>
        <v>3.9215686274509802</v>
      </c>
      <c r="T466" s="62">
        <f t="shared" si="421"/>
        <v>3.9215686274509802</v>
      </c>
      <c r="U466" s="62">
        <f t="shared" si="422"/>
        <v>3.9215686274509802</v>
      </c>
      <c r="V466" s="62">
        <f t="shared" si="423"/>
        <v>3.9215686274509802</v>
      </c>
      <c r="W466" s="62">
        <f t="shared" si="424"/>
        <v>3.9215686274509802</v>
      </c>
      <c r="X466" s="62">
        <f t="shared" si="425"/>
        <v>3.9215686274509802</v>
      </c>
      <c r="Y466" s="62">
        <f t="shared" si="426"/>
        <v>3.9215686274509802</v>
      </c>
      <c r="Z466" s="62">
        <f t="shared" si="427"/>
        <v>3.9215686274509802</v>
      </c>
      <c r="AA466" s="62">
        <f t="shared" si="428"/>
        <v>3.9215686274509802</v>
      </c>
      <c r="AB466" s="62">
        <f t="shared" si="429"/>
        <v>3.9215686274509802</v>
      </c>
      <c r="AC466" s="62">
        <f t="shared" si="430"/>
        <v>3.9215686274509802</v>
      </c>
    </row>
    <row r="467" spans="1:29" x14ac:dyDescent="0.25">
      <c r="A467" s="30" t="str">
        <f t="shared" si="402"/>
        <v>Fuel Economy</v>
      </c>
      <c r="B467" s="62">
        <f t="shared" si="403"/>
        <v>31.614305882352937</v>
      </c>
      <c r="C467" s="62">
        <f t="shared" si="404"/>
        <v>31.614305882352937</v>
      </c>
      <c r="D467" s="62">
        <f t="shared" si="405"/>
        <v>31.614305882352937</v>
      </c>
      <c r="E467" s="62">
        <f t="shared" si="406"/>
        <v>31.614305882352937</v>
      </c>
      <c r="F467" s="62">
        <f t="shared" si="407"/>
        <v>31.614305882352937</v>
      </c>
      <c r="G467" s="62">
        <f t="shared" si="408"/>
        <v>31.614305882352937</v>
      </c>
      <c r="H467" s="62">
        <f t="shared" si="409"/>
        <v>31.614305882352937</v>
      </c>
      <c r="I467" s="62">
        <f t="shared" si="410"/>
        <v>31.614305882352937</v>
      </c>
      <c r="J467" s="62">
        <f t="shared" si="411"/>
        <v>31.614305882352937</v>
      </c>
      <c r="K467" s="62">
        <f t="shared" si="412"/>
        <v>31.614305882352937</v>
      </c>
      <c r="L467" s="62">
        <f t="shared" si="413"/>
        <v>31.614305882352937</v>
      </c>
      <c r="M467" s="62">
        <f t="shared" si="414"/>
        <v>31.614305882352937</v>
      </c>
      <c r="N467" s="62">
        <f t="shared" si="415"/>
        <v>31.614305882352937</v>
      </c>
      <c r="O467" s="62">
        <f t="shared" si="416"/>
        <v>31.614305882352937</v>
      </c>
      <c r="P467" s="62">
        <f t="shared" si="417"/>
        <v>31.614305882352937</v>
      </c>
      <c r="Q467" s="62">
        <f t="shared" si="418"/>
        <v>31.614305882352937</v>
      </c>
      <c r="R467" s="62">
        <f t="shared" si="419"/>
        <v>31.614305882352937</v>
      </c>
      <c r="S467" s="62">
        <f t="shared" si="420"/>
        <v>31.614305882352937</v>
      </c>
      <c r="T467" s="62">
        <f t="shared" si="421"/>
        <v>31.614305882352937</v>
      </c>
      <c r="U467" s="62">
        <f t="shared" si="422"/>
        <v>31.614305882352937</v>
      </c>
      <c r="V467" s="62">
        <f t="shared" si="423"/>
        <v>31.614305882352937</v>
      </c>
      <c r="W467" s="62">
        <f t="shared" si="424"/>
        <v>31.614305882352937</v>
      </c>
      <c r="X467" s="62">
        <f t="shared" si="425"/>
        <v>31.614305882352937</v>
      </c>
      <c r="Y467" s="62">
        <f t="shared" si="426"/>
        <v>31.614305882352937</v>
      </c>
      <c r="Z467" s="62">
        <f t="shared" si="427"/>
        <v>31.614305882352937</v>
      </c>
      <c r="AA467" s="62">
        <f t="shared" si="428"/>
        <v>31.614305882352937</v>
      </c>
      <c r="AB467" s="62">
        <f t="shared" si="429"/>
        <v>31.614305882352937</v>
      </c>
      <c r="AC467" s="62">
        <f t="shared" si="430"/>
        <v>31.614305882352937</v>
      </c>
    </row>
    <row r="468" spans="1:29" x14ac:dyDescent="0.25">
      <c r="A468" s="30" t="str">
        <f t="shared" si="402"/>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431">A449</f>
        <v>Emission Cost</v>
      </c>
      <c r="B469" s="66">
        <f>$B449+($C449-$B449)*(1-Q449)</f>
        <v>0</v>
      </c>
      <c r="C469" s="66">
        <f t="shared" ref="C469" si="432">$B449+($C449-$B449)*(1-R449)</f>
        <v>0</v>
      </c>
      <c r="D469" s="66">
        <f t="shared" ref="D469" si="433">$B449+($C449-$B449)*(1-S449)</f>
        <v>0</v>
      </c>
      <c r="E469" s="66">
        <f t="shared" ref="E469" si="434">$B449+($C449-$B449)*(1-T449)</f>
        <v>0</v>
      </c>
      <c r="F469" s="66">
        <f t="shared" ref="F469" si="435">$B449+($C449-$B449)*(1-U449)</f>
        <v>0</v>
      </c>
      <c r="G469" s="66">
        <f t="shared" ref="G469" si="436">$B449+($C449-$B449)*(1-V449)</f>
        <v>0</v>
      </c>
      <c r="H469" s="66">
        <f t="shared" ref="H469" si="437">$B449+($C449-$B449)*(1-W449)</f>
        <v>0</v>
      </c>
      <c r="I469" s="66">
        <f t="shared" ref="I469" si="438">$B449+($C449-$B449)*(1-X449)</f>
        <v>0</v>
      </c>
      <c r="J469" s="66">
        <f t="shared" ref="J469" si="439">$B449+($C449-$B449)*(1-Y449)</f>
        <v>0</v>
      </c>
      <c r="K469" s="66">
        <f t="shared" ref="K469" si="440">$B449+($C449-$B449)*(1-Z449)</f>
        <v>0</v>
      </c>
      <c r="L469" s="66">
        <f t="shared" ref="L469" si="441">$B449+($C449-$B449)*(1-AA449)</f>
        <v>0</v>
      </c>
      <c r="M469" s="66">
        <f t="shared" ref="M469" si="442">$B449+($C449-$B449)*(1-AB449)</f>
        <v>0</v>
      </c>
      <c r="N469" s="66">
        <f t="shared" ref="N469" si="443">$B449+($C449-$B449)*(1-AC449)</f>
        <v>0</v>
      </c>
      <c r="O469" s="66">
        <f t="shared" ref="O469" si="444">$B449+($C449-$B449)*(1-AD449)</f>
        <v>0</v>
      </c>
      <c r="P469" s="66">
        <f t="shared" ref="P469" si="445">$B449+($C449-$B449)*(1-AE449)</f>
        <v>0</v>
      </c>
      <c r="Q469" s="66">
        <f t="shared" ref="Q469" si="446">$B449+($C449-$B449)*(1-AF449)</f>
        <v>0</v>
      </c>
      <c r="R469" s="66">
        <f t="shared" ref="R469" si="447">$B449+($C449-$B449)*(1-AG449)</f>
        <v>0</v>
      </c>
      <c r="S469" s="66">
        <f t="shared" ref="S469" si="448">$B449+($C449-$B449)*(1-AH449)</f>
        <v>0</v>
      </c>
      <c r="T469" s="66">
        <f t="shared" ref="T469" si="449">$B449+($C449-$B449)*(1-AI449)</f>
        <v>0</v>
      </c>
      <c r="U469" s="66">
        <f t="shared" ref="U469" si="450">$B449+($C449-$B449)*(1-AJ449)</f>
        <v>0</v>
      </c>
      <c r="V469" s="66">
        <f t="shared" ref="V469" si="451">$B449+($C449-$B449)*(1-AK449)</f>
        <v>0</v>
      </c>
      <c r="W469" s="66">
        <f t="shared" ref="W469" si="452">$B449+($C449-$B449)*(1-AL449)</f>
        <v>0</v>
      </c>
      <c r="X469" s="66">
        <f t="shared" ref="X469" si="453">$B449+($C449-$B449)*(1-AM449)</f>
        <v>0</v>
      </c>
      <c r="Y469" s="66">
        <f t="shared" ref="Y469" si="454">$B449+($C449-$B449)*(1-AN449)</f>
        <v>0</v>
      </c>
      <c r="Z469" s="66">
        <f t="shared" ref="Z469" si="455">$B449+($C449-$B449)*(1-AO449)</f>
        <v>0</v>
      </c>
      <c r="AA469" s="66">
        <f t="shared" ref="AA469" si="456">$B449+($C449-$B449)*(1-AP449)</f>
        <v>0</v>
      </c>
      <c r="AB469" s="66">
        <f t="shared" ref="AB469" si="457">$B449+($C449-$B449)*(1-AQ449)</f>
        <v>0</v>
      </c>
      <c r="AC469" s="66">
        <f t="shared" ref="AC469" si="458">$B449+($C449-$B449)*(1-AR449)</f>
        <v>0</v>
      </c>
    </row>
    <row r="470" spans="1:29" x14ac:dyDescent="0.25">
      <c r="A470" s="30" t="str">
        <f>A450</f>
        <v>Lifetime vehicle</v>
      </c>
      <c r="B470" s="62">
        <f>$B450+($C450-$B450)*(1-Q450)</f>
        <v>20</v>
      </c>
      <c r="C470" s="62">
        <f t="shared" ref="C470:L472" si="459">$B450+($C450-$B450)*(1-R450)</f>
        <v>20</v>
      </c>
      <c r="D470" s="62">
        <f t="shared" si="459"/>
        <v>20</v>
      </c>
      <c r="E470" s="62">
        <f t="shared" si="459"/>
        <v>20</v>
      </c>
      <c r="F470" s="62">
        <f t="shared" si="459"/>
        <v>20</v>
      </c>
      <c r="G470" s="62">
        <f t="shared" si="459"/>
        <v>20</v>
      </c>
      <c r="H470" s="62">
        <f t="shared" si="459"/>
        <v>20</v>
      </c>
      <c r="I470" s="62">
        <f t="shared" si="459"/>
        <v>20</v>
      </c>
      <c r="J470" s="62">
        <f t="shared" si="459"/>
        <v>20</v>
      </c>
      <c r="K470" s="62">
        <f t="shared" si="459"/>
        <v>20</v>
      </c>
      <c r="L470" s="62">
        <f t="shared" si="459"/>
        <v>20</v>
      </c>
      <c r="M470" s="62">
        <f t="shared" ref="M470:V472" si="460">$B450+($C450-$B450)*(1-AB450)</f>
        <v>20</v>
      </c>
      <c r="N470" s="62">
        <f t="shared" si="460"/>
        <v>20</v>
      </c>
      <c r="O470" s="62">
        <f t="shared" si="460"/>
        <v>20</v>
      </c>
      <c r="P470" s="62">
        <f t="shared" si="460"/>
        <v>20</v>
      </c>
      <c r="Q470" s="62">
        <f t="shared" si="460"/>
        <v>20</v>
      </c>
      <c r="R470" s="62">
        <f t="shared" si="460"/>
        <v>20</v>
      </c>
      <c r="S470" s="62">
        <f t="shared" si="460"/>
        <v>20</v>
      </c>
      <c r="T470" s="62">
        <f t="shared" si="460"/>
        <v>20</v>
      </c>
      <c r="U470" s="62">
        <f t="shared" si="460"/>
        <v>20</v>
      </c>
      <c r="V470" s="62">
        <f t="shared" si="460"/>
        <v>20</v>
      </c>
      <c r="W470" s="62">
        <f t="shared" ref="W470:AC472" si="461">$B450+($C450-$B450)*(1-AL450)</f>
        <v>20</v>
      </c>
      <c r="X470" s="62">
        <f t="shared" si="461"/>
        <v>20</v>
      </c>
      <c r="Y470" s="62">
        <f t="shared" si="461"/>
        <v>20</v>
      </c>
      <c r="Z470" s="62">
        <f t="shared" si="461"/>
        <v>20</v>
      </c>
      <c r="AA470" s="62">
        <f t="shared" si="461"/>
        <v>20</v>
      </c>
      <c r="AB470" s="62">
        <f t="shared" si="461"/>
        <v>20</v>
      </c>
      <c r="AC470" s="62">
        <f t="shared" si="461"/>
        <v>20</v>
      </c>
    </row>
    <row r="471" spans="1:29" x14ac:dyDescent="0.25">
      <c r="A471" s="30" t="str">
        <f>A451</f>
        <v>Lifetime costumization</v>
      </c>
      <c r="B471" s="62">
        <f>$B451+($C451-$B451)*(1-Q451)</f>
        <v>30</v>
      </c>
      <c r="C471" s="62">
        <f t="shared" si="459"/>
        <v>30</v>
      </c>
      <c r="D471" s="62">
        <f t="shared" si="459"/>
        <v>30</v>
      </c>
      <c r="E471" s="62">
        <f t="shared" si="459"/>
        <v>30</v>
      </c>
      <c r="F471" s="62">
        <f t="shared" si="459"/>
        <v>30</v>
      </c>
      <c r="G471" s="62">
        <f t="shared" si="459"/>
        <v>30</v>
      </c>
      <c r="H471" s="62">
        <f t="shared" si="459"/>
        <v>30</v>
      </c>
      <c r="I471" s="62">
        <f t="shared" si="459"/>
        <v>30</v>
      </c>
      <c r="J471" s="62">
        <f t="shared" si="459"/>
        <v>30</v>
      </c>
      <c r="K471" s="62">
        <f t="shared" si="459"/>
        <v>30</v>
      </c>
      <c r="L471" s="62">
        <f t="shared" si="459"/>
        <v>30</v>
      </c>
      <c r="M471" s="62">
        <f t="shared" si="460"/>
        <v>30</v>
      </c>
      <c r="N471" s="62">
        <f t="shared" si="460"/>
        <v>30</v>
      </c>
      <c r="O471" s="62">
        <f t="shared" si="460"/>
        <v>30</v>
      </c>
      <c r="P471" s="62">
        <f t="shared" si="460"/>
        <v>30</v>
      </c>
      <c r="Q471" s="62">
        <f t="shared" si="460"/>
        <v>30</v>
      </c>
      <c r="R471" s="62">
        <f t="shared" si="460"/>
        <v>30</v>
      </c>
      <c r="S471" s="62">
        <f t="shared" si="460"/>
        <v>30</v>
      </c>
      <c r="T471" s="62">
        <f t="shared" si="460"/>
        <v>30</v>
      </c>
      <c r="U471" s="62">
        <f t="shared" si="460"/>
        <v>30</v>
      </c>
      <c r="V471" s="62">
        <f t="shared" si="460"/>
        <v>30</v>
      </c>
      <c r="W471" s="62">
        <f t="shared" si="461"/>
        <v>30</v>
      </c>
      <c r="X471" s="62">
        <f t="shared" si="461"/>
        <v>30</v>
      </c>
      <c r="Y471" s="62">
        <f t="shared" si="461"/>
        <v>30</v>
      </c>
      <c r="Z471" s="62">
        <f t="shared" si="461"/>
        <v>30</v>
      </c>
      <c r="AA471" s="62">
        <f t="shared" si="461"/>
        <v>30</v>
      </c>
      <c r="AB471" s="62">
        <f t="shared" si="461"/>
        <v>30</v>
      </c>
      <c r="AC471" s="62">
        <f t="shared" si="461"/>
        <v>30</v>
      </c>
    </row>
    <row r="472" spans="1:29" x14ac:dyDescent="0.25">
      <c r="A472" s="30" t="str">
        <f>A452</f>
        <v>Tonnage .</v>
      </c>
      <c r="B472" s="62">
        <f>$B452+($C452-$B452)*(1-Q452)</f>
        <v>2800</v>
      </c>
      <c r="C472" s="62">
        <f t="shared" si="459"/>
        <v>2800</v>
      </c>
      <c r="D472" s="62">
        <f t="shared" si="459"/>
        <v>2800</v>
      </c>
      <c r="E472" s="62">
        <f t="shared" si="459"/>
        <v>2800</v>
      </c>
      <c r="F472" s="62">
        <f t="shared" si="459"/>
        <v>2800</v>
      </c>
      <c r="G472" s="62">
        <f t="shared" si="459"/>
        <v>2800</v>
      </c>
      <c r="H472" s="62">
        <f t="shared" si="459"/>
        <v>2800</v>
      </c>
      <c r="I472" s="62">
        <f t="shared" si="459"/>
        <v>2800</v>
      </c>
      <c r="J472" s="62">
        <f t="shared" si="459"/>
        <v>2800</v>
      </c>
      <c r="K472" s="62">
        <f t="shared" si="459"/>
        <v>2800</v>
      </c>
      <c r="L472" s="62">
        <f t="shared" si="459"/>
        <v>2800</v>
      </c>
      <c r="M472" s="62">
        <f t="shared" si="460"/>
        <v>2800</v>
      </c>
      <c r="N472" s="62">
        <f t="shared" si="460"/>
        <v>2800</v>
      </c>
      <c r="O472" s="62">
        <f t="shared" si="460"/>
        <v>2800</v>
      </c>
      <c r="P472" s="62">
        <f t="shared" si="460"/>
        <v>2800</v>
      </c>
      <c r="Q472" s="62">
        <f t="shared" si="460"/>
        <v>2800</v>
      </c>
      <c r="R472" s="62">
        <f t="shared" si="460"/>
        <v>2800</v>
      </c>
      <c r="S472" s="62">
        <f t="shared" si="460"/>
        <v>2800</v>
      </c>
      <c r="T472" s="62">
        <f t="shared" si="460"/>
        <v>2800</v>
      </c>
      <c r="U472" s="62">
        <f t="shared" si="460"/>
        <v>2800</v>
      </c>
      <c r="V472" s="62">
        <f t="shared" si="460"/>
        <v>2800</v>
      </c>
      <c r="W472" s="62">
        <f t="shared" si="461"/>
        <v>2800</v>
      </c>
      <c r="X472" s="62">
        <f t="shared" si="461"/>
        <v>2800</v>
      </c>
      <c r="Y472" s="62">
        <f t="shared" si="461"/>
        <v>2800</v>
      </c>
      <c r="Z472" s="62">
        <f t="shared" si="461"/>
        <v>2800</v>
      </c>
      <c r="AA472" s="62">
        <f t="shared" si="461"/>
        <v>2800</v>
      </c>
      <c r="AB472" s="62">
        <f t="shared" si="461"/>
        <v>2800</v>
      </c>
      <c r="AC472" s="62">
        <f t="shared" si="461"/>
        <v>2800</v>
      </c>
    </row>
    <row r="473" spans="1:29" x14ac:dyDescent="0.25">
      <c r="A473" s="30" t="str">
        <f>A453</f>
        <v>Market failure (av. utilization)</v>
      </c>
      <c r="B473" s="62">
        <f t="shared" ref="B473:K474" si="462">($B453+($C453-$B453)*(1-Q453))*B$44</f>
        <v>955.73333333333335</v>
      </c>
      <c r="C473" s="62">
        <f t="shared" si="462"/>
        <v>955.73333333333335</v>
      </c>
      <c r="D473" s="62">
        <f t="shared" si="462"/>
        <v>955.73333333333335</v>
      </c>
      <c r="E473" s="62">
        <f t="shared" si="462"/>
        <v>955.73333333333335</v>
      </c>
      <c r="F473" s="62">
        <f t="shared" si="462"/>
        <v>955.73333333333335</v>
      </c>
      <c r="G473" s="62">
        <f t="shared" si="462"/>
        <v>955.73333333333335</v>
      </c>
      <c r="H473" s="62">
        <f t="shared" si="462"/>
        <v>955.73333333333335</v>
      </c>
      <c r="I473" s="62">
        <f t="shared" si="462"/>
        <v>955.73333333333335</v>
      </c>
      <c r="J473" s="62">
        <f t="shared" si="462"/>
        <v>955.73333333333335</v>
      </c>
      <c r="K473" s="62">
        <f t="shared" si="462"/>
        <v>955.73333333333335</v>
      </c>
      <c r="L473" s="62">
        <f t="shared" ref="L473:U474" si="463">($B453+($C453-$B453)*(1-AA453))*L$44</f>
        <v>955.73333333333335</v>
      </c>
      <c r="M473" s="62">
        <f t="shared" si="463"/>
        <v>955.73333333333335</v>
      </c>
      <c r="N473" s="62">
        <f t="shared" si="463"/>
        <v>955.73333333333335</v>
      </c>
      <c r="O473" s="62">
        <f t="shared" si="463"/>
        <v>955.73333333333335</v>
      </c>
      <c r="P473" s="62">
        <f t="shared" si="463"/>
        <v>955.73333333333335</v>
      </c>
      <c r="Q473" s="62">
        <f t="shared" si="463"/>
        <v>955.73333333333335</v>
      </c>
      <c r="R473" s="62">
        <f t="shared" si="463"/>
        <v>955.73333333333335</v>
      </c>
      <c r="S473" s="62">
        <f t="shared" si="463"/>
        <v>955.73333333333335</v>
      </c>
      <c r="T473" s="62">
        <f t="shared" si="463"/>
        <v>955.73333333333335</v>
      </c>
      <c r="U473" s="62">
        <f t="shared" si="463"/>
        <v>955.73333333333335</v>
      </c>
      <c r="V473" s="62">
        <f t="shared" ref="V473:AC474" si="464">($B453+($C453-$B453)*(1-AK453))*V$44</f>
        <v>955.73333333333335</v>
      </c>
      <c r="W473" s="62">
        <f t="shared" si="464"/>
        <v>955.73333333333335</v>
      </c>
      <c r="X473" s="62">
        <f t="shared" si="464"/>
        <v>955.73333333333335</v>
      </c>
      <c r="Y473" s="62">
        <f t="shared" si="464"/>
        <v>955.73333333333335</v>
      </c>
      <c r="Z473" s="62">
        <f t="shared" si="464"/>
        <v>955.73333333333335</v>
      </c>
      <c r="AA473" s="62">
        <f t="shared" si="464"/>
        <v>955.73333333333335</v>
      </c>
      <c r="AB473" s="62">
        <f t="shared" si="464"/>
        <v>955.73333333333335</v>
      </c>
      <c r="AC473" s="62">
        <f t="shared" si="464"/>
        <v>955.73333333333335</v>
      </c>
    </row>
    <row r="474" spans="1:29" x14ac:dyDescent="0.25">
      <c r="A474" s="30" t="s">
        <v>73</v>
      </c>
      <c r="B474" s="62">
        <f t="shared" si="462"/>
        <v>0</v>
      </c>
      <c r="C474" s="62">
        <f t="shared" si="462"/>
        <v>0</v>
      </c>
      <c r="D474" s="62">
        <f t="shared" si="462"/>
        <v>0</v>
      </c>
      <c r="E474" s="62">
        <f t="shared" si="462"/>
        <v>0</v>
      </c>
      <c r="F474" s="62">
        <f t="shared" si="462"/>
        <v>0</v>
      </c>
      <c r="G474" s="62">
        <f t="shared" si="462"/>
        <v>0</v>
      </c>
      <c r="H474" s="62">
        <f t="shared" si="462"/>
        <v>0</v>
      </c>
      <c r="I474" s="62">
        <f t="shared" si="462"/>
        <v>0</v>
      </c>
      <c r="J474" s="62">
        <f t="shared" si="462"/>
        <v>0</v>
      </c>
      <c r="K474" s="62">
        <f t="shared" si="462"/>
        <v>0</v>
      </c>
      <c r="L474" s="62">
        <f t="shared" si="463"/>
        <v>0</v>
      </c>
      <c r="M474" s="62">
        <f t="shared" si="463"/>
        <v>0</v>
      </c>
      <c r="N474" s="62">
        <f t="shared" si="463"/>
        <v>0</v>
      </c>
      <c r="O474" s="62">
        <f t="shared" si="463"/>
        <v>0</v>
      </c>
      <c r="P474" s="62">
        <f t="shared" si="463"/>
        <v>0</v>
      </c>
      <c r="Q474" s="62">
        <f t="shared" si="463"/>
        <v>0</v>
      </c>
      <c r="R474" s="62">
        <f t="shared" si="463"/>
        <v>0</v>
      </c>
      <c r="S474" s="62">
        <f t="shared" si="463"/>
        <v>0</v>
      </c>
      <c r="T474" s="62">
        <f t="shared" si="463"/>
        <v>0</v>
      </c>
      <c r="U474" s="62">
        <f t="shared" si="463"/>
        <v>0</v>
      </c>
      <c r="V474" s="62">
        <f t="shared" si="464"/>
        <v>0</v>
      </c>
      <c r="W474" s="62">
        <f t="shared" si="464"/>
        <v>0</v>
      </c>
      <c r="X474" s="62">
        <f t="shared" si="464"/>
        <v>0</v>
      </c>
      <c r="Y474" s="62">
        <f t="shared" si="464"/>
        <v>0</v>
      </c>
      <c r="Z474" s="62">
        <f t="shared" si="464"/>
        <v>0</v>
      </c>
      <c r="AA474" s="62">
        <f t="shared" si="464"/>
        <v>0</v>
      </c>
      <c r="AB474" s="62">
        <f t="shared" si="464"/>
        <v>0</v>
      </c>
      <c r="AC474" s="62">
        <f t="shared" si="464"/>
        <v>0</v>
      </c>
    </row>
    <row r="475" spans="1:29" x14ac:dyDescent="0.25">
      <c r="A475" s="30" t="str">
        <f>A455</f>
        <v>Annual Mileage</v>
      </c>
      <c r="B475" s="62">
        <f t="shared" ref="B475:AC475" si="465">$B455+($C455-$B455)*(1-Q455)</f>
        <v>178500</v>
      </c>
      <c r="C475" s="62">
        <f t="shared" si="465"/>
        <v>178500</v>
      </c>
      <c r="D475" s="62">
        <f t="shared" si="465"/>
        <v>178500</v>
      </c>
      <c r="E475" s="62">
        <f t="shared" si="465"/>
        <v>178500</v>
      </c>
      <c r="F475" s="62">
        <f t="shared" si="465"/>
        <v>178500</v>
      </c>
      <c r="G475" s="62">
        <f t="shared" si="465"/>
        <v>178500</v>
      </c>
      <c r="H475" s="62">
        <f t="shared" si="465"/>
        <v>178500</v>
      </c>
      <c r="I475" s="62">
        <f t="shared" si="465"/>
        <v>178500</v>
      </c>
      <c r="J475" s="62">
        <f t="shared" si="465"/>
        <v>178500</v>
      </c>
      <c r="K475" s="62">
        <f t="shared" si="465"/>
        <v>178500</v>
      </c>
      <c r="L475" s="62">
        <f t="shared" si="465"/>
        <v>178500</v>
      </c>
      <c r="M475" s="62">
        <f t="shared" si="465"/>
        <v>178500</v>
      </c>
      <c r="N475" s="62">
        <f t="shared" si="465"/>
        <v>178500</v>
      </c>
      <c r="O475" s="62">
        <f t="shared" si="465"/>
        <v>178500</v>
      </c>
      <c r="P475" s="62">
        <f t="shared" si="465"/>
        <v>178500</v>
      </c>
      <c r="Q475" s="62">
        <f t="shared" si="465"/>
        <v>178500</v>
      </c>
      <c r="R475" s="62">
        <f t="shared" si="465"/>
        <v>178500</v>
      </c>
      <c r="S475" s="62">
        <f t="shared" si="465"/>
        <v>178500</v>
      </c>
      <c r="T475" s="62">
        <f t="shared" si="465"/>
        <v>178500</v>
      </c>
      <c r="U475" s="62">
        <f t="shared" si="465"/>
        <v>178500</v>
      </c>
      <c r="V475" s="62">
        <f t="shared" si="465"/>
        <v>178500</v>
      </c>
      <c r="W475" s="62">
        <f t="shared" si="465"/>
        <v>178500</v>
      </c>
      <c r="X475" s="62">
        <f t="shared" si="465"/>
        <v>178500</v>
      </c>
      <c r="Y475" s="62">
        <f t="shared" si="465"/>
        <v>178500</v>
      </c>
      <c r="Z475" s="62">
        <f t="shared" si="465"/>
        <v>178500</v>
      </c>
      <c r="AA475" s="62">
        <f t="shared" si="465"/>
        <v>178500</v>
      </c>
      <c r="AB475" s="62">
        <f t="shared" si="465"/>
        <v>178500</v>
      </c>
      <c r="AC475" s="62">
        <f t="shared" si="465"/>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6">((1+C463)^C470)*C463/(((1+C463)^C470)-1)*(C459)</f>
        <v>435922.78488425701</v>
      </c>
      <c r="D478" s="63">
        <f t="shared" si="466"/>
        <v>435922.78488425701</v>
      </c>
      <c r="E478" s="63">
        <f t="shared" si="466"/>
        <v>435922.78488425701</v>
      </c>
      <c r="F478" s="63">
        <f t="shared" si="466"/>
        <v>435922.78488425701</v>
      </c>
      <c r="G478" s="63">
        <f t="shared" si="466"/>
        <v>435922.78488425701</v>
      </c>
      <c r="H478" s="63">
        <f t="shared" si="466"/>
        <v>435922.78488425701</v>
      </c>
      <c r="I478" s="63">
        <f t="shared" si="466"/>
        <v>435922.78488425701</v>
      </c>
      <c r="J478" s="63">
        <f t="shared" si="466"/>
        <v>435922.78488425701</v>
      </c>
      <c r="K478" s="63">
        <f t="shared" si="466"/>
        <v>435922.78488425701</v>
      </c>
      <c r="L478" s="63">
        <f t="shared" si="466"/>
        <v>435922.78488425701</v>
      </c>
      <c r="M478" s="63">
        <f t="shared" si="466"/>
        <v>435922.78488425701</v>
      </c>
      <c r="N478" s="63">
        <f t="shared" si="466"/>
        <v>435922.78488425701</v>
      </c>
      <c r="O478" s="63">
        <f t="shared" si="466"/>
        <v>435922.78488425701</v>
      </c>
      <c r="P478" s="63">
        <f t="shared" si="466"/>
        <v>435922.78488425701</v>
      </c>
      <c r="Q478" s="63">
        <f t="shared" si="466"/>
        <v>435922.78488425701</v>
      </c>
      <c r="R478" s="63">
        <f t="shared" si="466"/>
        <v>435922.78488425701</v>
      </c>
      <c r="S478" s="63">
        <f t="shared" si="466"/>
        <v>435922.78488425701</v>
      </c>
      <c r="T478" s="63">
        <f t="shared" si="466"/>
        <v>435922.78488425701</v>
      </c>
      <c r="U478" s="63">
        <f t="shared" si="466"/>
        <v>435922.78488425701</v>
      </c>
      <c r="V478" s="63">
        <f t="shared" si="466"/>
        <v>435922.78488425701</v>
      </c>
      <c r="W478" s="63">
        <f t="shared" si="466"/>
        <v>435922.78488425701</v>
      </c>
      <c r="X478" s="63">
        <f t="shared" si="466"/>
        <v>435922.78488425701</v>
      </c>
      <c r="Y478" s="63">
        <f t="shared" si="466"/>
        <v>435922.78488425701</v>
      </c>
      <c r="Z478" s="63">
        <f t="shared" si="466"/>
        <v>435922.78488425701</v>
      </c>
      <c r="AA478" s="63">
        <f t="shared" si="466"/>
        <v>435922.78488425701</v>
      </c>
      <c r="AB478" s="63">
        <f t="shared" si="466"/>
        <v>435922.78488425701</v>
      </c>
      <c r="AC478" s="63">
        <f t="shared" si="466"/>
        <v>435922.78488425701</v>
      </c>
    </row>
    <row r="479" spans="1:29" x14ac:dyDescent="0.25">
      <c r="A479" s="30" t="str">
        <f>A460</f>
        <v>Residual value (vehicle)</v>
      </c>
      <c r="B479" s="62">
        <f>((1+B463)^B470)*B463/(((1+B463)^B470)-1)*(B460)</f>
        <v>-65388.417732638554</v>
      </c>
      <c r="C479" s="62">
        <f t="shared" ref="C479:AC479" si="467">((1+C463)^C470)*C463/(((1+C463)^C470)-1)*(C460)</f>
        <v>-65388.417732638554</v>
      </c>
      <c r="D479" s="62">
        <f t="shared" si="467"/>
        <v>-65388.417732638554</v>
      </c>
      <c r="E479" s="62">
        <f t="shared" si="467"/>
        <v>-65388.417732638554</v>
      </c>
      <c r="F479" s="62">
        <f t="shared" si="467"/>
        <v>-65388.417732638554</v>
      </c>
      <c r="G479" s="62">
        <f t="shared" si="467"/>
        <v>-65388.417732638554</v>
      </c>
      <c r="H479" s="62">
        <f t="shared" si="467"/>
        <v>-65388.417732638554</v>
      </c>
      <c r="I479" s="62">
        <f t="shared" si="467"/>
        <v>-65388.417732638554</v>
      </c>
      <c r="J479" s="62">
        <f t="shared" si="467"/>
        <v>-65388.417732638554</v>
      </c>
      <c r="K479" s="62">
        <f t="shared" si="467"/>
        <v>-65388.417732638554</v>
      </c>
      <c r="L479" s="62">
        <f t="shared" si="467"/>
        <v>-65388.417732638554</v>
      </c>
      <c r="M479" s="62">
        <f t="shared" si="467"/>
        <v>-65388.417732638554</v>
      </c>
      <c r="N479" s="62">
        <f t="shared" si="467"/>
        <v>-65388.417732638554</v>
      </c>
      <c r="O479" s="62">
        <f t="shared" si="467"/>
        <v>-65388.417732638554</v>
      </c>
      <c r="P479" s="62">
        <f t="shared" si="467"/>
        <v>-65388.417732638554</v>
      </c>
      <c r="Q479" s="62">
        <f t="shared" si="467"/>
        <v>-65388.417732638554</v>
      </c>
      <c r="R479" s="62">
        <f t="shared" si="467"/>
        <v>-65388.417732638554</v>
      </c>
      <c r="S479" s="62">
        <f t="shared" si="467"/>
        <v>-65388.417732638554</v>
      </c>
      <c r="T479" s="62">
        <f t="shared" si="467"/>
        <v>-65388.417732638554</v>
      </c>
      <c r="U479" s="62">
        <f t="shared" si="467"/>
        <v>-65388.417732638554</v>
      </c>
      <c r="V479" s="62">
        <f t="shared" si="467"/>
        <v>-65388.417732638554</v>
      </c>
      <c r="W479" s="62">
        <f t="shared" si="467"/>
        <v>-65388.417732638554</v>
      </c>
      <c r="X479" s="62">
        <f t="shared" si="467"/>
        <v>-65388.417732638554</v>
      </c>
      <c r="Y479" s="62">
        <f t="shared" si="467"/>
        <v>-65388.417732638554</v>
      </c>
      <c r="Z479" s="62">
        <f t="shared" si="467"/>
        <v>-65388.417732638554</v>
      </c>
      <c r="AA479" s="62">
        <f t="shared" si="467"/>
        <v>-65388.417732638554</v>
      </c>
      <c r="AB479" s="62">
        <f t="shared" si="467"/>
        <v>-65388.417732638554</v>
      </c>
      <c r="AC479" s="62">
        <f t="shared" si="467"/>
        <v>-65388.417732638554</v>
      </c>
    </row>
    <row r="480" spans="1:29" x14ac:dyDescent="0.25">
      <c r="A480" s="30" t="str">
        <f>A461</f>
        <v>Capex costumization</v>
      </c>
      <c r="B480" s="62">
        <f>((1+B463)^B471)*B463/(((1+B463)^B471)-1)*(B461)</f>
        <v>254271.19021516517</v>
      </c>
      <c r="C480" s="62">
        <f t="shared" ref="C480:AC480" si="468">((1+C463)^C471)*C463/(((1+C463)^C471)-1)*(C461)</f>
        <v>254271.19021516517</v>
      </c>
      <c r="D480" s="62">
        <f t="shared" si="468"/>
        <v>254271.19021516517</v>
      </c>
      <c r="E480" s="62">
        <f t="shared" si="468"/>
        <v>254271.19021516517</v>
      </c>
      <c r="F480" s="62">
        <f t="shared" si="468"/>
        <v>254271.19021516517</v>
      </c>
      <c r="G480" s="62">
        <f t="shared" si="468"/>
        <v>254271.19021516517</v>
      </c>
      <c r="H480" s="62">
        <f t="shared" si="468"/>
        <v>254271.19021516517</v>
      </c>
      <c r="I480" s="62">
        <f t="shared" si="468"/>
        <v>254271.19021516517</v>
      </c>
      <c r="J480" s="62">
        <f t="shared" si="468"/>
        <v>254271.19021516517</v>
      </c>
      <c r="K480" s="62">
        <f t="shared" si="468"/>
        <v>254271.19021516517</v>
      </c>
      <c r="L480" s="62">
        <f t="shared" si="468"/>
        <v>254271.19021516517</v>
      </c>
      <c r="M480" s="62">
        <f t="shared" si="468"/>
        <v>254271.19021516517</v>
      </c>
      <c r="N480" s="62">
        <f t="shared" si="468"/>
        <v>254271.19021516517</v>
      </c>
      <c r="O480" s="62">
        <f t="shared" si="468"/>
        <v>254271.19021516517</v>
      </c>
      <c r="P480" s="62">
        <f t="shared" si="468"/>
        <v>254271.19021516517</v>
      </c>
      <c r="Q480" s="62">
        <f t="shared" si="468"/>
        <v>254271.19021516517</v>
      </c>
      <c r="R480" s="62">
        <f t="shared" si="468"/>
        <v>254271.19021516517</v>
      </c>
      <c r="S480" s="62">
        <f t="shared" si="468"/>
        <v>254271.19021516517</v>
      </c>
      <c r="T480" s="62">
        <f t="shared" si="468"/>
        <v>254271.19021516517</v>
      </c>
      <c r="U480" s="62">
        <f t="shared" si="468"/>
        <v>254271.19021516517</v>
      </c>
      <c r="V480" s="62">
        <f t="shared" si="468"/>
        <v>254271.19021516517</v>
      </c>
      <c r="W480" s="62">
        <f t="shared" si="468"/>
        <v>254271.19021516517</v>
      </c>
      <c r="X480" s="62">
        <f t="shared" si="468"/>
        <v>254271.19021516517</v>
      </c>
      <c r="Y480" s="62">
        <f t="shared" si="468"/>
        <v>254271.19021516517</v>
      </c>
      <c r="Z480" s="62">
        <f t="shared" si="468"/>
        <v>254271.19021516517</v>
      </c>
      <c r="AA480" s="62">
        <f t="shared" si="468"/>
        <v>254271.19021516517</v>
      </c>
      <c r="AB480" s="62">
        <f t="shared" si="468"/>
        <v>254271.19021516517</v>
      </c>
      <c r="AC480" s="62">
        <f t="shared" si="468"/>
        <v>254271.19021516517</v>
      </c>
    </row>
    <row r="481" spans="1:29" x14ac:dyDescent="0.25">
      <c r="A481" s="30" t="str">
        <f>A462</f>
        <v>Residual value (costumization)</v>
      </c>
      <c r="B481" s="62">
        <f>((1+B463)^B471)*B463/(((1+B463)^B471)-1)*(B462)</f>
        <v>-12713.559510758259</v>
      </c>
      <c r="C481" s="62">
        <f t="shared" ref="C481:AC481" si="469">((1+C463)^C471)*C463/(((1+C463)^C471)-1)*(C462)</f>
        <v>-12713.559510758259</v>
      </c>
      <c r="D481" s="62">
        <f t="shared" si="469"/>
        <v>-12713.559510758259</v>
      </c>
      <c r="E481" s="62">
        <f t="shared" si="469"/>
        <v>-12713.559510758259</v>
      </c>
      <c r="F481" s="62">
        <f t="shared" si="469"/>
        <v>-12713.559510758259</v>
      </c>
      <c r="G481" s="62">
        <f t="shared" si="469"/>
        <v>-12713.559510758259</v>
      </c>
      <c r="H481" s="62">
        <f t="shared" si="469"/>
        <v>-12713.559510758259</v>
      </c>
      <c r="I481" s="62">
        <f t="shared" si="469"/>
        <v>-12713.559510758259</v>
      </c>
      <c r="J481" s="62">
        <f t="shared" si="469"/>
        <v>-12713.559510758259</v>
      </c>
      <c r="K481" s="62">
        <f t="shared" si="469"/>
        <v>-12713.559510758259</v>
      </c>
      <c r="L481" s="62">
        <f t="shared" si="469"/>
        <v>-12713.559510758259</v>
      </c>
      <c r="M481" s="62">
        <f t="shared" si="469"/>
        <v>-12713.559510758259</v>
      </c>
      <c r="N481" s="62">
        <f t="shared" si="469"/>
        <v>-12713.559510758259</v>
      </c>
      <c r="O481" s="62">
        <f t="shared" si="469"/>
        <v>-12713.559510758259</v>
      </c>
      <c r="P481" s="62">
        <f t="shared" si="469"/>
        <v>-12713.559510758259</v>
      </c>
      <c r="Q481" s="62">
        <f t="shared" si="469"/>
        <v>-12713.559510758259</v>
      </c>
      <c r="R481" s="62">
        <f t="shared" si="469"/>
        <v>-12713.559510758259</v>
      </c>
      <c r="S481" s="62">
        <f t="shared" si="469"/>
        <v>-12713.559510758259</v>
      </c>
      <c r="T481" s="62">
        <f t="shared" si="469"/>
        <v>-12713.559510758259</v>
      </c>
      <c r="U481" s="62">
        <f t="shared" si="469"/>
        <v>-12713.559510758259</v>
      </c>
      <c r="V481" s="62">
        <f t="shared" si="469"/>
        <v>-12713.559510758259</v>
      </c>
      <c r="W481" s="62">
        <f t="shared" si="469"/>
        <v>-12713.559510758259</v>
      </c>
      <c r="X481" s="62">
        <f t="shared" si="469"/>
        <v>-12713.559510758259</v>
      </c>
      <c r="Y481" s="62">
        <f t="shared" si="469"/>
        <v>-12713.559510758259</v>
      </c>
      <c r="Z481" s="62">
        <f t="shared" si="469"/>
        <v>-12713.559510758259</v>
      </c>
      <c r="AA481" s="62">
        <f t="shared" si="469"/>
        <v>-12713.559510758259</v>
      </c>
      <c r="AB481" s="62">
        <f t="shared" si="469"/>
        <v>-12713.559510758259</v>
      </c>
      <c r="AC481" s="62">
        <f t="shared" si="469"/>
        <v>-12713.559510758259</v>
      </c>
    </row>
    <row r="482" spans="1:29" x14ac:dyDescent="0.25">
      <c r="A482" s="30" t="str">
        <f t="shared" ref="A482:AC482" si="470">A464</f>
        <v>Opex fix (admin, crew, insurance)</v>
      </c>
      <c r="B482" s="62">
        <f t="shared" si="470"/>
        <v>650000</v>
      </c>
      <c r="C482" s="62">
        <f t="shared" si="470"/>
        <v>650000</v>
      </c>
      <c r="D482" s="62">
        <f t="shared" si="470"/>
        <v>650000</v>
      </c>
      <c r="E482" s="62">
        <f t="shared" si="470"/>
        <v>650000</v>
      </c>
      <c r="F482" s="62">
        <f t="shared" si="470"/>
        <v>650000</v>
      </c>
      <c r="G482" s="62">
        <f t="shared" si="470"/>
        <v>650000</v>
      </c>
      <c r="H482" s="62">
        <f t="shared" si="470"/>
        <v>650000</v>
      </c>
      <c r="I482" s="62">
        <f t="shared" si="470"/>
        <v>650000</v>
      </c>
      <c r="J482" s="62">
        <f t="shared" si="470"/>
        <v>650000</v>
      </c>
      <c r="K482" s="62">
        <f t="shared" si="470"/>
        <v>650000</v>
      </c>
      <c r="L482" s="62">
        <f t="shared" si="470"/>
        <v>650000</v>
      </c>
      <c r="M482" s="62">
        <f t="shared" si="470"/>
        <v>650000</v>
      </c>
      <c r="N482" s="62">
        <f t="shared" si="470"/>
        <v>650000</v>
      </c>
      <c r="O482" s="62">
        <f t="shared" si="470"/>
        <v>650000</v>
      </c>
      <c r="P482" s="62">
        <f t="shared" si="470"/>
        <v>650000</v>
      </c>
      <c r="Q482" s="62">
        <f t="shared" si="470"/>
        <v>650000</v>
      </c>
      <c r="R482" s="62">
        <f t="shared" si="470"/>
        <v>650000</v>
      </c>
      <c r="S482" s="62">
        <f t="shared" si="470"/>
        <v>650000</v>
      </c>
      <c r="T482" s="62">
        <f t="shared" si="470"/>
        <v>650000</v>
      </c>
      <c r="U482" s="62">
        <f t="shared" si="470"/>
        <v>650000</v>
      </c>
      <c r="V482" s="62">
        <f t="shared" si="470"/>
        <v>650000</v>
      </c>
      <c r="W482" s="62">
        <f t="shared" si="470"/>
        <v>650000</v>
      </c>
      <c r="X482" s="62">
        <f t="shared" si="470"/>
        <v>650000</v>
      </c>
      <c r="Y482" s="62">
        <f t="shared" si="470"/>
        <v>650000</v>
      </c>
      <c r="Z482" s="62">
        <f t="shared" si="470"/>
        <v>650000</v>
      </c>
      <c r="AA482" s="62">
        <f t="shared" si="470"/>
        <v>650000</v>
      </c>
      <c r="AB482" s="62">
        <f t="shared" si="470"/>
        <v>650000</v>
      </c>
      <c r="AC482" s="62">
        <f t="shared" si="470"/>
        <v>650000</v>
      </c>
    </row>
    <row r="483" spans="1:29" x14ac:dyDescent="0.25">
      <c r="A483" s="30" t="str">
        <f t="shared" ref="A483:AC483" si="471">A465</f>
        <v>Opex maintenance &amp; repair</v>
      </c>
      <c r="B483" s="62">
        <f t="shared" si="471"/>
        <v>650000</v>
      </c>
      <c r="C483" s="62">
        <f t="shared" si="471"/>
        <v>650000</v>
      </c>
      <c r="D483" s="62">
        <f t="shared" si="471"/>
        <v>650000</v>
      </c>
      <c r="E483" s="62">
        <f t="shared" si="471"/>
        <v>650000</v>
      </c>
      <c r="F483" s="62">
        <f t="shared" si="471"/>
        <v>650000</v>
      </c>
      <c r="G483" s="62">
        <f t="shared" si="471"/>
        <v>650000</v>
      </c>
      <c r="H483" s="62">
        <f t="shared" si="471"/>
        <v>650000</v>
      </c>
      <c r="I483" s="62">
        <f t="shared" si="471"/>
        <v>650000</v>
      </c>
      <c r="J483" s="62">
        <f t="shared" si="471"/>
        <v>650000</v>
      </c>
      <c r="K483" s="62">
        <f t="shared" si="471"/>
        <v>650000</v>
      </c>
      <c r="L483" s="62">
        <f t="shared" si="471"/>
        <v>650000</v>
      </c>
      <c r="M483" s="62">
        <f t="shared" si="471"/>
        <v>650000</v>
      </c>
      <c r="N483" s="62">
        <f t="shared" si="471"/>
        <v>650000</v>
      </c>
      <c r="O483" s="62">
        <f t="shared" si="471"/>
        <v>650000</v>
      </c>
      <c r="P483" s="62">
        <f t="shared" si="471"/>
        <v>650000</v>
      </c>
      <c r="Q483" s="62">
        <f t="shared" si="471"/>
        <v>650000</v>
      </c>
      <c r="R483" s="62">
        <f t="shared" si="471"/>
        <v>650000</v>
      </c>
      <c r="S483" s="62">
        <f t="shared" si="471"/>
        <v>650000</v>
      </c>
      <c r="T483" s="62">
        <f t="shared" si="471"/>
        <v>650000</v>
      </c>
      <c r="U483" s="62">
        <f t="shared" si="471"/>
        <v>650000</v>
      </c>
      <c r="V483" s="62">
        <f t="shared" si="471"/>
        <v>650000</v>
      </c>
      <c r="W483" s="62">
        <f t="shared" si="471"/>
        <v>650000</v>
      </c>
      <c r="X483" s="62">
        <f t="shared" si="471"/>
        <v>650000</v>
      </c>
      <c r="Y483" s="62">
        <f t="shared" si="471"/>
        <v>650000</v>
      </c>
      <c r="Z483" s="62">
        <f t="shared" si="471"/>
        <v>650000</v>
      </c>
      <c r="AA483" s="62">
        <f t="shared" si="471"/>
        <v>650000</v>
      </c>
      <c r="AB483" s="62">
        <f t="shared" si="471"/>
        <v>650000</v>
      </c>
      <c r="AC483" s="62">
        <f t="shared" si="471"/>
        <v>650000</v>
      </c>
    </row>
    <row r="484" spans="1:29" x14ac:dyDescent="0.25">
      <c r="A484" s="30" t="str">
        <f>A466</f>
        <v>Opex var (mode-fees, shunting)</v>
      </c>
      <c r="B484" s="62">
        <f>B466*B475</f>
        <v>700000</v>
      </c>
      <c r="C484" s="62">
        <f t="shared" ref="C484:AC484" si="472">C466*C475</f>
        <v>700000</v>
      </c>
      <c r="D484" s="62">
        <f t="shared" si="472"/>
        <v>700000</v>
      </c>
      <c r="E484" s="62">
        <f t="shared" si="472"/>
        <v>700000</v>
      </c>
      <c r="F484" s="62">
        <f t="shared" si="472"/>
        <v>700000</v>
      </c>
      <c r="G484" s="62">
        <f t="shared" si="472"/>
        <v>700000</v>
      </c>
      <c r="H484" s="62">
        <f t="shared" si="472"/>
        <v>700000</v>
      </c>
      <c r="I484" s="62">
        <f t="shared" si="472"/>
        <v>700000</v>
      </c>
      <c r="J484" s="62">
        <f t="shared" si="472"/>
        <v>700000</v>
      </c>
      <c r="K484" s="62">
        <f t="shared" si="472"/>
        <v>700000</v>
      </c>
      <c r="L484" s="62">
        <f t="shared" si="472"/>
        <v>700000</v>
      </c>
      <c r="M484" s="62">
        <f t="shared" si="472"/>
        <v>700000</v>
      </c>
      <c r="N484" s="62">
        <f t="shared" si="472"/>
        <v>700000</v>
      </c>
      <c r="O484" s="62">
        <f t="shared" si="472"/>
        <v>700000</v>
      </c>
      <c r="P484" s="62">
        <f t="shared" si="472"/>
        <v>700000</v>
      </c>
      <c r="Q484" s="62">
        <f t="shared" si="472"/>
        <v>700000</v>
      </c>
      <c r="R484" s="62">
        <f t="shared" si="472"/>
        <v>700000</v>
      </c>
      <c r="S484" s="62">
        <f t="shared" si="472"/>
        <v>700000</v>
      </c>
      <c r="T484" s="62">
        <f t="shared" si="472"/>
        <v>700000</v>
      </c>
      <c r="U484" s="62">
        <f t="shared" si="472"/>
        <v>700000</v>
      </c>
      <c r="V484" s="62">
        <f t="shared" si="472"/>
        <v>700000</v>
      </c>
      <c r="W484" s="62">
        <f t="shared" si="472"/>
        <v>700000</v>
      </c>
      <c r="X484" s="62">
        <f t="shared" si="472"/>
        <v>700000</v>
      </c>
      <c r="Y484" s="62">
        <f t="shared" si="472"/>
        <v>700000</v>
      </c>
      <c r="Z484" s="62">
        <f t="shared" si="472"/>
        <v>700000</v>
      </c>
      <c r="AA484" s="62">
        <f t="shared" si="472"/>
        <v>700000</v>
      </c>
      <c r="AB484" s="62">
        <f t="shared" si="472"/>
        <v>700000</v>
      </c>
      <c r="AC484" s="62">
        <f t="shared" si="472"/>
        <v>700000</v>
      </c>
    </row>
    <row r="485" spans="1:29" x14ac:dyDescent="0.25">
      <c r="A485" s="30" t="str">
        <f>A468</f>
        <v>Fuel Cost</v>
      </c>
      <c r="B485" s="62">
        <f>B467*B468*B475</f>
        <v>457095.41846307018</v>
      </c>
      <c r="C485" s="62">
        <f t="shared" ref="C485:AC485" si="473">C467*C468*C475</f>
        <v>457095.41846307018</v>
      </c>
      <c r="D485" s="62">
        <f t="shared" si="473"/>
        <v>457095.41846307018</v>
      </c>
      <c r="E485" s="62">
        <f t="shared" si="473"/>
        <v>457095.41846307018</v>
      </c>
      <c r="F485" s="62">
        <f t="shared" si="473"/>
        <v>457095.41846307018</v>
      </c>
      <c r="G485" s="62">
        <f t="shared" si="473"/>
        <v>457095.41846307018</v>
      </c>
      <c r="H485" s="62">
        <f t="shared" si="473"/>
        <v>457095.41846307018</v>
      </c>
      <c r="I485" s="62">
        <f t="shared" si="473"/>
        <v>457095.41846307018</v>
      </c>
      <c r="J485" s="62">
        <f t="shared" si="473"/>
        <v>468757.93473681842</v>
      </c>
      <c r="K485" s="62">
        <f t="shared" si="473"/>
        <v>480420.45101056673</v>
      </c>
      <c r="L485" s="62">
        <f t="shared" si="473"/>
        <v>492082.96728431497</v>
      </c>
      <c r="M485" s="62">
        <f t="shared" si="473"/>
        <v>503745.48355806334</v>
      </c>
      <c r="N485" s="62">
        <f t="shared" si="473"/>
        <v>515407.99983181141</v>
      </c>
      <c r="O485" s="62">
        <f t="shared" si="473"/>
        <v>510517.26720088476</v>
      </c>
      <c r="P485" s="62">
        <f t="shared" si="473"/>
        <v>505626.53456995805</v>
      </c>
      <c r="Q485" s="62">
        <f t="shared" si="473"/>
        <v>500735.80193903128</v>
      </c>
      <c r="R485" s="62">
        <f t="shared" si="473"/>
        <v>495845.06930810458</v>
      </c>
      <c r="S485" s="62">
        <f t="shared" si="473"/>
        <v>490954.33667717798</v>
      </c>
      <c r="T485" s="62">
        <f t="shared" si="473"/>
        <v>486063.60404625122</v>
      </c>
      <c r="U485" s="62">
        <f t="shared" si="473"/>
        <v>481172.87141532457</v>
      </c>
      <c r="V485" s="62">
        <f t="shared" si="473"/>
        <v>476282.13878439786</v>
      </c>
      <c r="W485" s="62">
        <f t="shared" si="473"/>
        <v>471391.40615347109</v>
      </c>
      <c r="X485" s="62">
        <f t="shared" si="473"/>
        <v>466500.67352254456</v>
      </c>
      <c r="Y485" s="62">
        <f t="shared" si="473"/>
        <v>461609.94089161785</v>
      </c>
      <c r="Z485" s="62">
        <f t="shared" si="473"/>
        <v>456719.20826069114</v>
      </c>
      <c r="AA485" s="62">
        <f t="shared" si="473"/>
        <v>451828.47562976438</v>
      </c>
      <c r="AB485" s="62">
        <f t="shared" si="473"/>
        <v>446937.74299883778</v>
      </c>
      <c r="AC485" s="62">
        <f t="shared" si="473"/>
        <v>442047.01036791113</v>
      </c>
    </row>
    <row r="486" spans="1:29" ht="15.75" thickBot="1" x14ac:dyDescent="0.3">
      <c r="A486" s="59" t="str">
        <f>A449</f>
        <v>Emission Cost</v>
      </c>
      <c r="B486" s="62">
        <f>B469*B475</f>
        <v>0</v>
      </c>
      <c r="C486" s="62">
        <f t="shared" ref="C486:AC486" si="474">C469*C475</f>
        <v>0</v>
      </c>
      <c r="D486" s="62">
        <f t="shared" si="474"/>
        <v>0</v>
      </c>
      <c r="E486" s="62">
        <f t="shared" si="474"/>
        <v>0</v>
      </c>
      <c r="F486" s="62">
        <f t="shared" si="474"/>
        <v>0</v>
      </c>
      <c r="G486" s="62">
        <f t="shared" si="474"/>
        <v>0</v>
      </c>
      <c r="H486" s="62">
        <f t="shared" si="474"/>
        <v>0</v>
      </c>
      <c r="I486" s="62">
        <f t="shared" si="474"/>
        <v>0</v>
      </c>
      <c r="J486" s="62">
        <f t="shared" si="474"/>
        <v>0</v>
      </c>
      <c r="K486" s="62">
        <f t="shared" si="474"/>
        <v>0</v>
      </c>
      <c r="L486" s="62">
        <f t="shared" si="474"/>
        <v>0</v>
      </c>
      <c r="M486" s="62">
        <f t="shared" si="474"/>
        <v>0</v>
      </c>
      <c r="N486" s="62">
        <f t="shared" si="474"/>
        <v>0</v>
      </c>
      <c r="O486" s="62">
        <f t="shared" si="474"/>
        <v>0</v>
      </c>
      <c r="P486" s="62">
        <f t="shared" si="474"/>
        <v>0</v>
      </c>
      <c r="Q486" s="62">
        <f t="shared" si="474"/>
        <v>0</v>
      </c>
      <c r="R486" s="62">
        <f t="shared" si="474"/>
        <v>0</v>
      </c>
      <c r="S486" s="62">
        <f t="shared" si="474"/>
        <v>0</v>
      </c>
      <c r="T486" s="62">
        <f t="shared" si="474"/>
        <v>0</v>
      </c>
      <c r="U486" s="62">
        <f t="shared" si="474"/>
        <v>0</v>
      </c>
      <c r="V486" s="62">
        <f t="shared" si="474"/>
        <v>0</v>
      </c>
      <c r="W486" s="62">
        <f t="shared" si="474"/>
        <v>0</v>
      </c>
      <c r="X486" s="62">
        <f t="shared" si="474"/>
        <v>0</v>
      </c>
      <c r="Y486" s="62">
        <f t="shared" si="474"/>
        <v>0</v>
      </c>
      <c r="Z486" s="62">
        <f t="shared" si="474"/>
        <v>0</v>
      </c>
      <c r="AA486" s="62">
        <f t="shared" si="474"/>
        <v>0</v>
      </c>
      <c r="AB486" s="62">
        <f t="shared" si="474"/>
        <v>0</v>
      </c>
      <c r="AC486" s="62">
        <f t="shared" si="474"/>
        <v>0</v>
      </c>
    </row>
    <row r="487" spans="1:29" ht="15.75" thickBot="1" x14ac:dyDescent="0.3">
      <c r="A487" s="31" t="s">
        <v>209</v>
      </c>
      <c r="B487" s="64">
        <f>B478+B479+B480+B481+B482+B483+B484+B485+B486</f>
        <v>3069187.4163190955</v>
      </c>
      <c r="C487" s="64">
        <f t="shared" ref="C487:AC487" si="475">C478+C479+C480+C481+C482+C483+C484+C485+C486</f>
        <v>3069187.4163190955</v>
      </c>
      <c r="D487" s="64">
        <f t="shared" si="475"/>
        <v>3069187.4163190955</v>
      </c>
      <c r="E487" s="64">
        <f t="shared" si="475"/>
        <v>3069187.4163190955</v>
      </c>
      <c r="F487" s="64">
        <f t="shared" si="475"/>
        <v>3069187.4163190955</v>
      </c>
      <c r="G487" s="64">
        <f t="shared" si="475"/>
        <v>3069187.4163190955</v>
      </c>
      <c r="H487" s="64">
        <f t="shared" si="475"/>
        <v>3069187.4163190955</v>
      </c>
      <c r="I487" s="64">
        <f t="shared" si="475"/>
        <v>3069187.4163190955</v>
      </c>
      <c r="J487" s="64">
        <f t="shared" si="475"/>
        <v>3080849.9325928441</v>
      </c>
      <c r="K487" s="64">
        <f t="shared" si="475"/>
        <v>3092512.4488665923</v>
      </c>
      <c r="L487" s="64">
        <f t="shared" si="475"/>
        <v>3104174.9651403404</v>
      </c>
      <c r="M487" s="64">
        <f t="shared" si="475"/>
        <v>3115837.481414089</v>
      </c>
      <c r="N487" s="64">
        <f t="shared" si="475"/>
        <v>3127499.9976878371</v>
      </c>
      <c r="O487" s="64">
        <f t="shared" si="475"/>
        <v>3122609.2650569105</v>
      </c>
      <c r="P487" s="64">
        <f t="shared" si="475"/>
        <v>3117718.5324259838</v>
      </c>
      <c r="Q487" s="64">
        <f t="shared" si="475"/>
        <v>3112827.7997950567</v>
      </c>
      <c r="R487" s="64">
        <f t="shared" si="475"/>
        <v>3107937.06716413</v>
      </c>
      <c r="S487" s="64">
        <f t="shared" si="475"/>
        <v>3103046.3345332034</v>
      </c>
      <c r="T487" s="64">
        <f t="shared" si="475"/>
        <v>3098155.6019022767</v>
      </c>
      <c r="U487" s="64">
        <f t="shared" si="475"/>
        <v>3093264.8692713501</v>
      </c>
      <c r="V487" s="64">
        <f t="shared" si="475"/>
        <v>3088374.1366404234</v>
      </c>
      <c r="W487" s="64">
        <f t="shared" si="475"/>
        <v>3083483.4040094968</v>
      </c>
      <c r="X487" s="64">
        <f t="shared" si="475"/>
        <v>3078592.6713785701</v>
      </c>
      <c r="Y487" s="64">
        <f t="shared" si="475"/>
        <v>3073701.9387476435</v>
      </c>
      <c r="Z487" s="64">
        <f t="shared" si="475"/>
        <v>3068811.2061167168</v>
      </c>
      <c r="AA487" s="64">
        <f t="shared" si="475"/>
        <v>3063920.4734857902</v>
      </c>
      <c r="AB487" s="64">
        <f t="shared" si="475"/>
        <v>3059029.7408548635</v>
      </c>
      <c r="AC487" s="64">
        <f t="shared" si="475"/>
        <v>3054139.0082239369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6">A478</f>
        <v>Capex vehicle</v>
      </c>
      <c r="B490" s="65">
        <f>((1+B463)^B470)*B463/(((1+B463)^B470)-1)*(B459)/B475</f>
        <v>2.4421444531330927</v>
      </c>
      <c r="C490" s="65">
        <f t="shared" ref="C490:AC490" si="477">((1+C463)^C470)*C463/(((1+C463)^C470)-1)*(C459)/C475</f>
        <v>2.4421444531330927</v>
      </c>
      <c r="D490" s="65">
        <f t="shared" si="477"/>
        <v>2.4421444531330927</v>
      </c>
      <c r="E490" s="65">
        <f t="shared" si="477"/>
        <v>2.4421444531330927</v>
      </c>
      <c r="F490" s="65">
        <f t="shared" si="477"/>
        <v>2.4421444531330927</v>
      </c>
      <c r="G490" s="65">
        <f t="shared" si="477"/>
        <v>2.4421444531330927</v>
      </c>
      <c r="H490" s="65">
        <f t="shared" si="477"/>
        <v>2.4421444531330927</v>
      </c>
      <c r="I490" s="65">
        <f t="shared" si="477"/>
        <v>2.4421444531330927</v>
      </c>
      <c r="J490" s="65">
        <f t="shared" si="477"/>
        <v>2.4421444531330927</v>
      </c>
      <c r="K490" s="65">
        <f t="shared" si="477"/>
        <v>2.4421444531330927</v>
      </c>
      <c r="L490" s="65">
        <f t="shared" si="477"/>
        <v>2.4421444531330927</v>
      </c>
      <c r="M490" s="65">
        <f t="shared" si="477"/>
        <v>2.4421444531330927</v>
      </c>
      <c r="N490" s="65">
        <f t="shared" si="477"/>
        <v>2.4421444531330927</v>
      </c>
      <c r="O490" s="65">
        <f t="shared" si="477"/>
        <v>2.4421444531330927</v>
      </c>
      <c r="P490" s="65">
        <f t="shared" si="477"/>
        <v>2.4421444531330927</v>
      </c>
      <c r="Q490" s="65">
        <f t="shared" si="477"/>
        <v>2.4421444531330927</v>
      </c>
      <c r="R490" s="65">
        <f t="shared" si="477"/>
        <v>2.4421444531330927</v>
      </c>
      <c r="S490" s="65">
        <f t="shared" si="477"/>
        <v>2.4421444531330927</v>
      </c>
      <c r="T490" s="65">
        <f t="shared" si="477"/>
        <v>2.4421444531330927</v>
      </c>
      <c r="U490" s="65">
        <f t="shared" si="477"/>
        <v>2.4421444531330927</v>
      </c>
      <c r="V490" s="65">
        <f t="shared" si="477"/>
        <v>2.4421444531330927</v>
      </c>
      <c r="W490" s="65">
        <f t="shared" si="477"/>
        <v>2.4421444531330927</v>
      </c>
      <c r="X490" s="65">
        <f t="shared" si="477"/>
        <v>2.4421444531330927</v>
      </c>
      <c r="Y490" s="65">
        <f t="shared" si="477"/>
        <v>2.4421444531330927</v>
      </c>
      <c r="Z490" s="65">
        <f t="shared" si="477"/>
        <v>2.4421444531330927</v>
      </c>
      <c r="AA490" s="65">
        <f t="shared" si="477"/>
        <v>2.4421444531330927</v>
      </c>
      <c r="AB490" s="65">
        <f t="shared" si="477"/>
        <v>2.4421444531330927</v>
      </c>
      <c r="AC490" s="65">
        <f t="shared" si="477"/>
        <v>2.4421444531330927</v>
      </c>
    </row>
    <row r="491" spans="1:29" x14ac:dyDescent="0.25">
      <c r="A491" s="30" t="str">
        <f t="shared" si="476"/>
        <v>Residual value (vehicle)</v>
      </c>
      <c r="B491" s="66">
        <f>((1+B463)^B470)*B463/(((1+B463)^B470)-1)*(B460)/B475</f>
        <v>-0.3663216679699639</v>
      </c>
      <c r="C491" s="66">
        <f t="shared" ref="C491:AC491" si="478">((1+C463)^C470)*C463/(((1+C463)^C470)-1)*(C460)/C475</f>
        <v>-0.3663216679699639</v>
      </c>
      <c r="D491" s="66">
        <f t="shared" si="478"/>
        <v>-0.3663216679699639</v>
      </c>
      <c r="E491" s="66">
        <f t="shared" si="478"/>
        <v>-0.3663216679699639</v>
      </c>
      <c r="F491" s="66">
        <f t="shared" si="478"/>
        <v>-0.3663216679699639</v>
      </c>
      <c r="G491" s="66">
        <f t="shared" si="478"/>
        <v>-0.3663216679699639</v>
      </c>
      <c r="H491" s="66">
        <f t="shared" si="478"/>
        <v>-0.3663216679699639</v>
      </c>
      <c r="I491" s="66">
        <f t="shared" si="478"/>
        <v>-0.3663216679699639</v>
      </c>
      <c r="J491" s="66">
        <f t="shared" si="478"/>
        <v>-0.3663216679699639</v>
      </c>
      <c r="K491" s="66">
        <f t="shared" si="478"/>
        <v>-0.3663216679699639</v>
      </c>
      <c r="L491" s="66">
        <f t="shared" si="478"/>
        <v>-0.3663216679699639</v>
      </c>
      <c r="M491" s="66">
        <f t="shared" si="478"/>
        <v>-0.3663216679699639</v>
      </c>
      <c r="N491" s="66">
        <f t="shared" si="478"/>
        <v>-0.3663216679699639</v>
      </c>
      <c r="O491" s="66">
        <f t="shared" si="478"/>
        <v>-0.3663216679699639</v>
      </c>
      <c r="P491" s="66">
        <f t="shared" si="478"/>
        <v>-0.3663216679699639</v>
      </c>
      <c r="Q491" s="66">
        <f t="shared" si="478"/>
        <v>-0.3663216679699639</v>
      </c>
      <c r="R491" s="66">
        <f t="shared" si="478"/>
        <v>-0.3663216679699639</v>
      </c>
      <c r="S491" s="66">
        <f t="shared" si="478"/>
        <v>-0.3663216679699639</v>
      </c>
      <c r="T491" s="66">
        <f t="shared" si="478"/>
        <v>-0.3663216679699639</v>
      </c>
      <c r="U491" s="66">
        <f t="shared" si="478"/>
        <v>-0.3663216679699639</v>
      </c>
      <c r="V491" s="66">
        <f t="shared" si="478"/>
        <v>-0.3663216679699639</v>
      </c>
      <c r="W491" s="66">
        <f t="shared" si="478"/>
        <v>-0.3663216679699639</v>
      </c>
      <c r="X491" s="66">
        <f t="shared" si="478"/>
        <v>-0.3663216679699639</v>
      </c>
      <c r="Y491" s="66">
        <f t="shared" si="478"/>
        <v>-0.3663216679699639</v>
      </c>
      <c r="Z491" s="66">
        <f t="shared" si="478"/>
        <v>-0.3663216679699639</v>
      </c>
      <c r="AA491" s="66">
        <f t="shared" si="478"/>
        <v>-0.3663216679699639</v>
      </c>
      <c r="AB491" s="66">
        <f t="shared" si="478"/>
        <v>-0.3663216679699639</v>
      </c>
      <c r="AC491" s="66">
        <f t="shared" si="478"/>
        <v>-0.3663216679699639</v>
      </c>
    </row>
    <row r="492" spans="1:29" x14ac:dyDescent="0.25">
      <c r="A492" s="30" t="str">
        <f t="shared" si="476"/>
        <v>Capex costumization</v>
      </c>
      <c r="B492" s="66">
        <f>((1+B463)^B471)*B463/(((1+B463)^B471)-1)*(B461)/B475</f>
        <v>1.4244884605891606</v>
      </c>
      <c r="C492" s="66">
        <f t="shared" ref="C492:AC492" si="479">((1+C463)^C471)*C463/(((1+C463)^C471)-1)*(C461)/C475</f>
        <v>1.4244884605891606</v>
      </c>
      <c r="D492" s="66">
        <f t="shared" si="479"/>
        <v>1.4244884605891606</v>
      </c>
      <c r="E492" s="66">
        <f t="shared" si="479"/>
        <v>1.4244884605891606</v>
      </c>
      <c r="F492" s="66">
        <f t="shared" si="479"/>
        <v>1.4244884605891606</v>
      </c>
      <c r="G492" s="66">
        <f t="shared" si="479"/>
        <v>1.4244884605891606</v>
      </c>
      <c r="H492" s="66">
        <f t="shared" si="479"/>
        <v>1.4244884605891606</v>
      </c>
      <c r="I492" s="66">
        <f t="shared" si="479"/>
        <v>1.4244884605891606</v>
      </c>
      <c r="J492" s="66">
        <f t="shared" si="479"/>
        <v>1.4244884605891606</v>
      </c>
      <c r="K492" s="66">
        <f t="shared" si="479"/>
        <v>1.4244884605891606</v>
      </c>
      <c r="L492" s="66">
        <f t="shared" si="479"/>
        <v>1.4244884605891606</v>
      </c>
      <c r="M492" s="66">
        <f t="shared" si="479"/>
        <v>1.4244884605891606</v>
      </c>
      <c r="N492" s="66">
        <f t="shared" si="479"/>
        <v>1.4244884605891606</v>
      </c>
      <c r="O492" s="66">
        <f t="shared" si="479"/>
        <v>1.4244884605891606</v>
      </c>
      <c r="P492" s="66">
        <f t="shared" si="479"/>
        <v>1.4244884605891606</v>
      </c>
      <c r="Q492" s="66">
        <f t="shared" si="479"/>
        <v>1.4244884605891606</v>
      </c>
      <c r="R492" s="66">
        <f t="shared" si="479"/>
        <v>1.4244884605891606</v>
      </c>
      <c r="S492" s="66">
        <f t="shared" si="479"/>
        <v>1.4244884605891606</v>
      </c>
      <c r="T492" s="66">
        <f t="shared" si="479"/>
        <v>1.4244884605891606</v>
      </c>
      <c r="U492" s="66">
        <f t="shared" si="479"/>
        <v>1.4244884605891606</v>
      </c>
      <c r="V492" s="66">
        <f t="shared" si="479"/>
        <v>1.4244884605891606</v>
      </c>
      <c r="W492" s="66">
        <f t="shared" si="479"/>
        <v>1.4244884605891606</v>
      </c>
      <c r="X492" s="66">
        <f t="shared" si="479"/>
        <v>1.4244884605891606</v>
      </c>
      <c r="Y492" s="66">
        <f t="shared" si="479"/>
        <v>1.4244884605891606</v>
      </c>
      <c r="Z492" s="66">
        <f t="shared" si="479"/>
        <v>1.4244884605891606</v>
      </c>
      <c r="AA492" s="66">
        <f t="shared" si="479"/>
        <v>1.4244884605891606</v>
      </c>
      <c r="AB492" s="66">
        <f t="shared" si="479"/>
        <v>1.4244884605891606</v>
      </c>
      <c r="AC492" s="66">
        <f t="shared" si="479"/>
        <v>1.4244884605891606</v>
      </c>
    </row>
    <row r="493" spans="1:29" x14ac:dyDescent="0.25">
      <c r="A493" s="30" t="str">
        <f t="shared" si="476"/>
        <v>Residual value (costumization)</v>
      </c>
      <c r="B493" s="66">
        <f>((1+B463)^B471)*B463/(((1+B463)^B471)-1)*(B462)/B475</f>
        <v>-7.1224423029458042E-2</v>
      </c>
      <c r="C493" s="66">
        <f t="shared" ref="C493:AC493" si="480">((1+C463)^C471)*C463/(((1+C463)^C471)-1)*(C462)/C475</f>
        <v>-7.1224423029458042E-2</v>
      </c>
      <c r="D493" s="66">
        <f t="shared" si="480"/>
        <v>-7.1224423029458042E-2</v>
      </c>
      <c r="E493" s="66">
        <f t="shared" si="480"/>
        <v>-7.1224423029458042E-2</v>
      </c>
      <c r="F493" s="66">
        <f t="shared" si="480"/>
        <v>-7.1224423029458042E-2</v>
      </c>
      <c r="G493" s="66">
        <f t="shared" si="480"/>
        <v>-7.1224423029458042E-2</v>
      </c>
      <c r="H493" s="66">
        <f t="shared" si="480"/>
        <v>-7.1224423029458042E-2</v>
      </c>
      <c r="I493" s="66">
        <f t="shared" si="480"/>
        <v>-7.1224423029458042E-2</v>
      </c>
      <c r="J493" s="66">
        <f t="shared" si="480"/>
        <v>-7.1224423029458042E-2</v>
      </c>
      <c r="K493" s="66">
        <f t="shared" si="480"/>
        <v>-7.1224423029458042E-2</v>
      </c>
      <c r="L493" s="66">
        <f t="shared" si="480"/>
        <v>-7.1224423029458042E-2</v>
      </c>
      <c r="M493" s="66">
        <f t="shared" si="480"/>
        <v>-7.1224423029458042E-2</v>
      </c>
      <c r="N493" s="66">
        <f t="shared" si="480"/>
        <v>-7.1224423029458042E-2</v>
      </c>
      <c r="O493" s="66">
        <f t="shared" si="480"/>
        <v>-7.1224423029458042E-2</v>
      </c>
      <c r="P493" s="66">
        <f t="shared" si="480"/>
        <v>-7.1224423029458042E-2</v>
      </c>
      <c r="Q493" s="66">
        <f t="shared" si="480"/>
        <v>-7.1224423029458042E-2</v>
      </c>
      <c r="R493" s="66">
        <f t="shared" si="480"/>
        <v>-7.1224423029458042E-2</v>
      </c>
      <c r="S493" s="66">
        <f t="shared" si="480"/>
        <v>-7.1224423029458042E-2</v>
      </c>
      <c r="T493" s="66">
        <f t="shared" si="480"/>
        <v>-7.1224423029458042E-2</v>
      </c>
      <c r="U493" s="66">
        <f t="shared" si="480"/>
        <v>-7.1224423029458042E-2</v>
      </c>
      <c r="V493" s="66">
        <f t="shared" si="480"/>
        <v>-7.1224423029458042E-2</v>
      </c>
      <c r="W493" s="66">
        <f t="shared" si="480"/>
        <v>-7.1224423029458042E-2</v>
      </c>
      <c r="X493" s="66">
        <f t="shared" si="480"/>
        <v>-7.1224423029458042E-2</v>
      </c>
      <c r="Y493" s="66">
        <f t="shared" si="480"/>
        <v>-7.1224423029458042E-2</v>
      </c>
      <c r="Z493" s="66">
        <f t="shared" si="480"/>
        <v>-7.1224423029458042E-2</v>
      </c>
      <c r="AA493" s="66">
        <f t="shared" si="480"/>
        <v>-7.1224423029458042E-2</v>
      </c>
      <c r="AB493" s="66">
        <f t="shared" si="480"/>
        <v>-7.1224423029458042E-2</v>
      </c>
      <c r="AC493" s="66">
        <f t="shared" si="480"/>
        <v>-7.1224423029458042E-2</v>
      </c>
    </row>
    <row r="494" spans="1:29" x14ac:dyDescent="0.25">
      <c r="A494" s="30" t="str">
        <f t="shared" si="476"/>
        <v>Opex fix (admin, crew, insurance)</v>
      </c>
      <c r="B494" s="66">
        <f>B464/B475</f>
        <v>3.6414565826330532</v>
      </c>
      <c r="C494" s="66">
        <f t="shared" ref="C494:AC494" si="481">C464/C475</f>
        <v>3.6414565826330532</v>
      </c>
      <c r="D494" s="66">
        <f t="shared" si="481"/>
        <v>3.6414565826330532</v>
      </c>
      <c r="E494" s="66">
        <f t="shared" si="481"/>
        <v>3.6414565826330532</v>
      </c>
      <c r="F494" s="66">
        <f t="shared" si="481"/>
        <v>3.6414565826330532</v>
      </c>
      <c r="G494" s="66">
        <f t="shared" si="481"/>
        <v>3.6414565826330532</v>
      </c>
      <c r="H494" s="66">
        <f t="shared" si="481"/>
        <v>3.6414565826330532</v>
      </c>
      <c r="I494" s="66">
        <f t="shared" si="481"/>
        <v>3.6414565826330532</v>
      </c>
      <c r="J494" s="66">
        <f t="shared" si="481"/>
        <v>3.6414565826330532</v>
      </c>
      <c r="K494" s="66">
        <f t="shared" si="481"/>
        <v>3.6414565826330532</v>
      </c>
      <c r="L494" s="66">
        <f t="shared" si="481"/>
        <v>3.6414565826330532</v>
      </c>
      <c r="M494" s="66">
        <f t="shared" si="481"/>
        <v>3.6414565826330532</v>
      </c>
      <c r="N494" s="66">
        <f t="shared" si="481"/>
        <v>3.6414565826330532</v>
      </c>
      <c r="O494" s="66">
        <f t="shared" si="481"/>
        <v>3.6414565826330532</v>
      </c>
      <c r="P494" s="66">
        <f t="shared" si="481"/>
        <v>3.6414565826330532</v>
      </c>
      <c r="Q494" s="66">
        <f t="shared" si="481"/>
        <v>3.6414565826330532</v>
      </c>
      <c r="R494" s="66">
        <f t="shared" si="481"/>
        <v>3.6414565826330532</v>
      </c>
      <c r="S494" s="66">
        <f t="shared" si="481"/>
        <v>3.6414565826330532</v>
      </c>
      <c r="T494" s="66">
        <f t="shared" si="481"/>
        <v>3.6414565826330532</v>
      </c>
      <c r="U494" s="66">
        <f t="shared" si="481"/>
        <v>3.6414565826330532</v>
      </c>
      <c r="V494" s="66">
        <f t="shared" si="481"/>
        <v>3.6414565826330532</v>
      </c>
      <c r="W494" s="66">
        <f t="shared" si="481"/>
        <v>3.6414565826330532</v>
      </c>
      <c r="X494" s="66">
        <f t="shared" si="481"/>
        <v>3.6414565826330532</v>
      </c>
      <c r="Y494" s="66">
        <f t="shared" si="481"/>
        <v>3.6414565826330532</v>
      </c>
      <c r="Z494" s="66">
        <f t="shared" si="481"/>
        <v>3.6414565826330532</v>
      </c>
      <c r="AA494" s="66">
        <f t="shared" si="481"/>
        <v>3.6414565826330532</v>
      </c>
      <c r="AB494" s="66">
        <f t="shared" si="481"/>
        <v>3.6414565826330532</v>
      </c>
      <c r="AC494" s="66">
        <f t="shared" si="481"/>
        <v>3.6414565826330532</v>
      </c>
    </row>
    <row r="495" spans="1:29" x14ac:dyDescent="0.25">
      <c r="A495" s="30" t="str">
        <f t="shared" si="476"/>
        <v>Opex maintenance &amp; repair</v>
      </c>
      <c r="B495" s="66">
        <f>B465/B475</f>
        <v>3.6414565826330532</v>
      </c>
      <c r="C495" s="66">
        <f t="shared" ref="C495:AC495" si="482">C465/C475</f>
        <v>3.6414565826330532</v>
      </c>
      <c r="D495" s="66">
        <f t="shared" si="482"/>
        <v>3.6414565826330532</v>
      </c>
      <c r="E495" s="66">
        <f t="shared" si="482"/>
        <v>3.6414565826330532</v>
      </c>
      <c r="F495" s="66">
        <f t="shared" si="482"/>
        <v>3.6414565826330532</v>
      </c>
      <c r="G495" s="66">
        <f t="shared" si="482"/>
        <v>3.6414565826330532</v>
      </c>
      <c r="H495" s="66">
        <f t="shared" si="482"/>
        <v>3.6414565826330532</v>
      </c>
      <c r="I495" s="66">
        <f t="shared" si="482"/>
        <v>3.6414565826330532</v>
      </c>
      <c r="J495" s="66">
        <f t="shared" si="482"/>
        <v>3.6414565826330532</v>
      </c>
      <c r="K495" s="66">
        <f t="shared" si="482"/>
        <v>3.6414565826330532</v>
      </c>
      <c r="L495" s="66">
        <f t="shared" si="482"/>
        <v>3.6414565826330532</v>
      </c>
      <c r="M495" s="66">
        <f t="shared" si="482"/>
        <v>3.6414565826330532</v>
      </c>
      <c r="N495" s="66">
        <f t="shared" si="482"/>
        <v>3.6414565826330532</v>
      </c>
      <c r="O495" s="66">
        <f t="shared" si="482"/>
        <v>3.6414565826330532</v>
      </c>
      <c r="P495" s="66">
        <f t="shared" si="482"/>
        <v>3.6414565826330532</v>
      </c>
      <c r="Q495" s="66">
        <f t="shared" si="482"/>
        <v>3.6414565826330532</v>
      </c>
      <c r="R495" s="66">
        <f t="shared" si="482"/>
        <v>3.6414565826330532</v>
      </c>
      <c r="S495" s="66">
        <f t="shared" si="482"/>
        <v>3.6414565826330532</v>
      </c>
      <c r="T495" s="66">
        <f t="shared" si="482"/>
        <v>3.6414565826330532</v>
      </c>
      <c r="U495" s="66">
        <f t="shared" si="482"/>
        <v>3.6414565826330532</v>
      </c>
      <c r="V495" s="66">
        <f t="shared" si="482"/>
        <v>3.6414565826330532</v>
      </c>
      <c r="W495" s="66">
        <f t="shared" si="482"/>
        <v>3.6414565826330532</v>
      </c>
      <c r="X495" s="66">
        <f t="shared" si="482"/>
        <v>3.6414565826330532</v>
      </c>
      <c r="Y495" s="66">
        <f t="shared" si="482"/>
        <v>3.6414565826330532</v>
      </c>
      <c r="Z495" s="66">
        <f t="shared" si="482"/>
        <v>3.6414565826330532</v>
      </c>
      <c r="AA495" s="66">
        <f t="shared" si="482"/>
        <v>3.6414565826330532</v>
      </c>
      <c r="AB495" s="66">
        <f t="shared" si="482"/>
        <v>3.6414565826330532</v>
      </c>
      <c r="AC495" s="66">
        <f t="shared" si="482"/>
        <v>3.6414565826330532</v>
      </c>
    </row>
    <row r="496" spans="1:29" x14ac:dyDescent="0.25">
      <c r="A496" s="30" t="str">
        <f t="shared" si="476"/>
        <v>Opex var (mode-fees, shunting)</v>
      </c>
      <c r="B496" s="66">
        <f>B466*B475/B475</f>
        <v>3.9215686274509802</v>
      </c>
      <c r="C496" s="66">
        <f t="shared" ref="C496:AC496" si="483">C466*C475/C475</f>
        <v>3.9215686274509802</v>
      </c>
      <c r="D496" s="66">
        <f t="shared" si="483"/>
        <v>3.9215686274509802</v>
      </c>
      <c r="E496" s="66">
        <f t="shared" si="483"/>
        <v>3.9215686274509802</v>
      </c>
      <c r="F496" s="66">
        <f t="shared" si="483"/>
        <v>3.9215686274509802</v>
      </c>
      <c r="G496" s="66">
        <f t="shared" si="483"/>
        <v>3.9215686274509802</v>
      </c>
      <c r="H496" s="66">
        <f t="shared" si="483"/>
        <v>3.9215686274509802</v>
      </c>
      <c r="I496" s="66">
        <f t="shared" si="483"/>
        <v>3.9215686274509802</v>
      </c>
      <c r="J496" s="66">
        <f t="shared" si="483"/>
        <v>3.9215686274509802</v>
      </c>
      <c r="K496" s="66">
        <f t="shared" si="483"/>
        <v>3.9215686274509802</v>
      </c>
      <c r="L496" s="66">
        <f t="shared" si="483"/>
        <v>3.9215686274509802</v>
      </c>
      <c r="M496" s="66">
        <f t="shared" si="483"/>
        <v>3.9215686274509802</v>
      </c>
      <c r="N496" s="66">
        <f t="shared" si="483"/>
        <v>3.9215686274509802</v>
      </c>
      <c r="O496" s="66">
        <f t="shared" si="483"/>
        <v>3.9215686274509802</v>
      </c>
      <c r="P496" s="66">
        <f t="shared" si="483"/>
        <v>3.9215686274509802</v>
      </c>
      <c r="Q496" s="66">
        <f t="shared" si="483"/>
        <v>3.9215686274509802</v>
      </c>
      <c r="R496" s="66">
        <f t="shared" si="483"/>
        <v>3.9215686274509802</v>
      </c>
      <c r="S496" s="66">
        <f t="shared" si="483"/>
        <v>3.9215686274509802</v>
      </c>
      <c r="T496" s="66">
        <f t="shared" si="483"/>
        <v>3.9215686274509802</v>
      </c>
      <c r="U496" s="66">
        <f t="shared" si="483"/>
        <v>3.9215686274509802</v>
      </c>
      <c r="V496" s="66">
        <f t="shared" si="483"/>
        <v>3.9215686274509802</v>
      </c>
      <c r="W496" s="66">
        <f t="shared" si="483"/>
        <v>3.9215686274509802</v>
      </c>
      <c r="X496" s="66">
        <f t="shared" si="483"/>
        <v>3.9215686274509802</v>
      </c>
      <c r="Y496" s="66">
        <f t="shared" si="483"/>
        <v>3.9215686274509802</v>
      </c>
      <c r="Z496" s="66">
        <f t="shared" si="483"/>
        <v>3.9215686274509802</v>
      </c>
      <c r="AA496" s="66">
        <f t="shared" si="483"/>
        <v>3.9215686274509802</v>
      </c>
      <c r="AB496" s="66">
        <f t="shared" si="483"/>
        <v>3.9215686274509802</v>
      </c>
      <c r="AC496" s="66">
        <f t="shared" si="483"/>
        <v>3.9215686274509802</v>
      </c>
    </row>
    <row r="497" spans="1:29" x14ac:dyDescent="0.25">
      <c r="A497" s="30" t="str">
        <f t="shared" si="476"/>
        <v>Fuel Cost</v>
      </c>
      <c r="B497" s="66">
        <f>B467*B468*B475/B475</f>
        <v>2.5607586468519337</v>
      </c>
      <c r="C497" s="66">
        <f t="shared" ref="C497:AC497" si="484">C467*C468*C475/C475</f>
        <v>2.5607586468519337</v>
      </c>
      <c r="D497" s="66">
        <f t="shared" si="484"/>
        <v>2.5607586468519337</v>
      </c>
      <c r="E497" s="66">
        <f t="shared" si="484"/>
        <v>2.5607586468519337</v>
      </c>
      <c r="F497" s="66">
        <f t="shared" si="484"/>
        <v>2.5607586468519337</v>
      </c>
      <c r="G497" s="66">
        <f t="shared" si="484"/>
        <v>2.5607586468519337</v>
      </c>
      <c r="H497" s="66">
        <f t="shared" si="484"/>
        <v>2.5607586468519337</v>
      </c>
      <c r="I497" s="66">
        <f t="shared" si="484"/>
        <v>2.5607586468519337</v>
      </c>
      <c r="J497" s="66">
        <f t="shared" si="484"/>
        <v>2.6260948724751731</v>
      </c>
      <c r="K497" s="66">
        <f t="shared" si="484"/>
        <v>2.6914310980984131</v>
      </c>
      <c r="L497" s="66">
        <f t="shared" si="484"/>
        <v>2.7567673237216526</v>
      </c>
      <c r="M497" s="66">
        <f t="shared" si="484"/>
        <v>2.8221035493448925</v>
      </c>
      <c r="N497" s="66">
        <f t="shared" si="484"/>
        <v>2.8874397749681311</v>
      </c>
      <c r="O497" s="66">
        <f t="shared" si="484"/>
        <v>2.8600407126099987</v>
      </c>
      <c r="P497" s="66">
        <f t="shared" si="484"/>
        <v>2.8326416502518659</v>
      </c>
      <c r="Q497" s="66">
        <f t="shared" si="484"/>
        <v>2.8052425878937326</v>
      </c>
      <c r="R497" s="66">
        <f t="shared" si="484"/>
        <v>2.7778435255355998</v>
      </c>
      <c r="S497" s="66">
        <f t="shared" si="484"/>
        <v>2.7504444631774678</v>
      </c>
      <c r="T497" s="66">
        <f t="shared" si="484"/>
        <v>2.7230454008193345</v>
      </c>
      <c r="U497" s="66">
        <f t="shared" si="484"/>
        <v>2.6956463384612022</v>
      </c>
      <c r="V497" s="66">
        <f t="shared" si="484"/>
        <v>2.6682472761030693</v>
      </c>
      <c r="W497" s="66">
        <f t="shared" si="484"/>
        <v>2.6408482137449361</v>
      </c>
      <c r="X497" s="66">
        <f t="shared" si="484"/>
        <v>2.6134491513868041</v>
      </c>
      <c r="Y497" s="66">
        <f t="shared" si="484"/>
        <v>2.5860500890286713</v>
      </c>
      <c r="Z497" s="66">
        <f t="shared" si="484"/>
        <v>2.5586510266705385</v>
      </c>
      <c r="AA497" s="66">
        <f t="shared" si="484"/>
        <v>2.5312519643124056</v>
      </c>
      <c r="AB497" s="66">
        <f t="shared" si="484"/>
        <v>2.5038529019542732</v>
      </c>
      <c r="AC497" s="66">
        <f t="shared" si="484"/>
        <v>2.4764538395961408</v>
      </c>
    </row>
    <row r="498" spans="1:29" ht="15.75" thickBot="1" x14ac:dyDescent="0.3">
      <c r="A498" s="59" t="str">
        <f t="shared" ref="A498" si="485">A486</f>
        <v>Emission Cost</v>
      </c>
      <c r="B498" s="66">
        <f>B469</f>
        <v>0</v>
      </c>
      <c r="C498" s="66">
        <f t="shared" ref="C498:AC498" si="486">C469</f>
        <v>0</v>
      </c>
      <c r="D498" s="66">
        <f t="shared" si="486"/>
        <v>0</v>
      </c>
      <c r="E498" s="66">
        <f t="shared" si="486"/>
        <v>0</v>
      </c>
      <c r="F498" s="66">
        <f t="shared" si="486"/>
        <v>0</v>
      </c>
      <c r="G498" s="66">
        <f t="shared" si="486"/>
        <v>0</v>
      </c>
      <c r="H498" s="66">
        <f t="shared" si="486"/>
        <v>0</v>
      </c>
      <c r="I498" s="66">
        <f t="shared" si="486"/>
        <v>0</v>
      </c>
      <c r="J498" s="66">
        <f t="shared" si="486"/>
        <v>0</v>
      </c>
      <c r="K498" s="66">
        <f t="shared" si="486"/>
        <v>0</v>
      </c>
      <c r="L498" s="66">
        <f t="shared" si="486"/>
        <v>0</v>
      </c>
      <c r="M498" s="66">
        <f t="shared" si="486"/>
        <v>0</v>
      </c>
      <c r="N498" s="66">
        <f t="shared" si="486"/>
        <v>0</v>
      </c>
      <c r="O498" s="66">
        <f t="shared" si="486"/>
        <v>0</v>
      </c>
      <c r="P498" s="66">
        <f t="shared" si="486"/>
        <v>0</v>
      </c>
      <c r="Q498" s="66">
        <f t="shared" si="486"/>
        <v>0</v>
      </c>
      <c r="R498" s="66">
        <f t="shared" si="486"/>
        <v>0</v>
      </c>
      <c r="S498" s="66">
        <f t="shared" si="486"/>
        <v>0</v>
      </c>
      <c r="T498" s="66">
        <f t="shared" si="486"/>
        <v>0</v>
      </c>
      <c r="U498" s="66">
        <f t="shared" si="486"/>
        <v>0</v>
      </c>
      <c r="V498" s="66">
        <f t="shared" si="486"/>
        <v>0</v>
      </c>
      <c r="W498" s="66">
        <f t="shared" si="486"/>
        <v>0</v>
      </c>
      <c r="X498" s="66">
        <f t="shared" si="486"/>
        <v>0</v>
      </c>
      <c r="Y498" s="66">
        <f t="shared" si="486"/>
        <v>0</v>
      </c>
      <c r="Z498" s="66">
        <f t="shared" si="486"/>
        <v>0</v>
      </c>
      <c r="AA498" s="66">
        <f t="shared" si="486"/>
        <v>0</v>
      </c>
      <c r="AB498" s="66">
        <f t="shared" si="486"/>
        <v>0</v>
      </c>
      <c r="AC498" s="66">
        <f t="shared" si="486"/>
        <v>0</v>
      </c>
    </row>
    <row r="499" spans="1:29" ht="15.75" thickBot="1" x14ac:dyDescent="0.3">
      <c r="A499" s="31" t="s">
        <v>63</v>
      </c>
      <c r="B499" s="76">
        <f>B490+B491+B492-B493+B494+B495+B496+B497+B498</f>
        <v>17.336776108350769</v>
      </c>
      <c r="C499" s="76">
        <f t="shared" ref="C499:AC499" si="487">C490+C491+C492-C493+C494+C495+C496+C497+C498</f>
        <v>17.336776108350769</v>
      </c>
      <c r="D499" s="76">
        <f t="shared" si="487"/>
        <v>17.336776108350769</v>
      </c>
      <c r="E499" s="76">
        <f t="shared" si="487"/>
        <v>17.336776108350769</v>
      </c>
      <c r="F499" s="76">
        <f t="shared" si="487"/>
        <v>17.336776108350769</v>
      </c>
      <c r="G499" s="76">
        <f t="shared" si="487"/>
        <v>17.336776108350769</v>
      </c>
      <c r="H499" s="76">
        <f t="shared" si="487"/>
        <v>17.336776108350769</v>
      </c>
      <c r="I499" s="76">
        <f t="shared" si="487"/>
        <v>17.336776108350769</v>
      </c>
      <c r="J499" s="76">
        <f t="shared" si="487"/>
        <v>17.40211233397401</v>
      </c>
      <c r="K499" s="76">
        <f t="shared" si="487"/>
        <v>17.467448559597248</v>
      </c>
      <c r="L499" s="76">
        <f t="shared" si="487"/>
        <v>17.532784785220489</v>
      </c>
      <c r="M499" s="76">
        <f t="shared" si="487"/>
        <v>17.598121010843727</v>
      </c>
      <c r="N499" s="76">
        <f t="shared" si="487"/>
        <v>17.663457236466968</v>
      </c>
      <c r="O499" s="76">
        <f t="shared" si="487"/>
        <v>17.636058174108832</v>
      </c>
      <c r="P499" s="76">
        <f t="shared" si="487"/>
        <v>17.608659111750701</v>
      </c>
      <c r="Q499" s="76">
        <f t="shared" si="487"/>
        <v>17.581260049392569</v>
      </c>
      <c r="R499" s="76">
        <f t="shared" si="487"/>
        <v>17.553860987034433</v>
      </c>
      <c r="S499" s="76">
        <f t="shared" si="487"/>
        <v>17.526461924676305</v>
      </c>
      <c r="T499" s="76">
        <f t="shared" si="487"/>
        <v>17.499062862318169</v>
      </c>
      <c r="U499" s="76">
        <f t="shared" si="487"/>
        <v>17.471663799960037</v>
      </c>
      <c r="V499" s="76">
        <f t="shared" si="487"/>
        <v>17.444264737601905</v>
      </c>
      <c r="W499" s="76">
        <f t="shared" si="487"/>
        <v>17.41686567524377</v>
      </c>
      <c r="X499" s="76">
        <f t="shared" si="487"/>
        <v>17.389466612885638</v>
      </c>
      <c r="Y499" s="76">
        <f t="shared" si="487"/>
        <v>17.362067550527506</v>
      </c>
      <c r="Z499" s="76">
        <f t="shared" si="487"/>
        <v>17.334668488169374</v>
      </c>
      <c r="AA499" s="76">
        <f t="shared" si="487"/>
        <v>17.307269425811242</v>
      </c>
      <c r="AB499" s="76">
        <f t="shared" si="487"/>
        <v>17.279870363453107</v>
      </c>
      <c r="AC499" s="76">
        <f t="shared" si="487"/>
        <v>17.252471301094975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8">A478</f>
        <v>Capex vehicle</v>
      </c>
      <c r="B502" s="65">
        <f>((1+B463)^B470)*B463/(((1+B463)^B470)-1)*(B459)/B475/(B472)</f>
        <v>8.7219444754753307E-4</v>
      </c>
      <c r="C502" s="65">
        <f t="shared" ref="C502:AC502" si="489">((1+C463)^C470)*C463/(((1+C463)^C470)-1)*(C459)/C475/(C472)</f>
        <v>8.7219444754753307E-4</v>
      </c>
      <c r="D502" s="65">
        <f t="shared" si="489"/>
        <v>8.7219444754753307E-4</v>
      </c>
      <c r="E502" s="65">
        <f t="shared" si="489"/>
        <v>8.7219444754753307E-4</v>
      </c>
      <c r="F502" s="65">
        <f t="shared" si="489"/>
        <v>8.7219444754753307E-4</v>
      </c>
      <c r="G502" s="65">
        <f t="shared" si="489"/>
        <v>8.7219444754753307E-4</v>
      </c>
      <c r="H502" s="65">
        <f t="shared" si="489"/>
        <v>8.7219444754753307E-4</v>
      </c>
      <c r="I502" s="65">
        <f t="shared" si="489"/>
        <v>8.7219444754753307E-4</v>
      </c>
      <c r="J502" s="65">
        <f t="shared" si="489"/>
        <v>8.7219444754753307E-4</v>
      </c>
      <c r="K502" s="65">
        <f t="shared" si="489"/>
        <v>8.7219444754753307E-4</v>
      </c>
      <c r="L502" s="65">
        <f t="shared" si="489"/>
        <v>8.7219444754753307E-4</v>
      </c>
      <c r="M502" s="65">
        <f t="shared" si="489"/>
        <v>8.7219444754753307E-4</v>
      </c>
      <c r="N502" s="65">
        <f t="shared" si="489"/>
        <v>8.7219444754753307E-4</v>
      </c>
      <c r="O502" s="65">
        <f t="shared" si="489"/>
        <v>8.7219444754753307E-4</v>
      </c>
      <c r="P502" s="65">
        <f t="shared" si="489"/>
        <v>8.7219444754753307E-4</v>
      </c>
      <c r="Q502" s="65">
        <f t="shared" si="489"/>
        <v>8.7219444754753307E-4</v>
      </c>
      <c r="R502" s="65">
        <f t="shared" si="489"/>
        <v>8.7219444754753307E-4</v>
      </c>
      <c r="S502" s="65">
        <f t="shared" si="489"/>
        <v>8.7219444754753307E-4</v>
      </c>
      <c r="T502" s="65">
        <f t="shared" si="489"/>
        <v>8.7219444754753307E-4</v>
      </c>
      <c r="U502" s="65">
        <f t="shared" si="489"/>
        <v>8.7219444754753307E-4</v>
      </c>
      <c r="V502" s="65">
        <f t="shared" si="489"/>
        <v>8.7219444754753307E-4</v>
      </c>
      <c r="W502" s="65">
        <f t="shared" si="489"/>
        <v>8.7219444754753307E-4</v>
      </c>
      <c r="X502" s="65">
        <f t="shared" si="489"/>
        <v>8.7219444754753307E-4</v>
      </c>
      <c r="Y502" s="65">
        <f t="shared" si="489"/>
        <v>8.7219444754753307E-4</v>
      </c>
      <c r="Z502" s="65">
        <f t="shared" si="489"/>
        <v>8.7219444754753307E-4</v>
      </c>
      <c r="AA502" s="65">
        <f t="shared" si="489"/>
        <v>8.7219444754753307E-4</v>
      </c>
      <c r="AB502" s="65">
        <f t="shared" si="489"/>
        <v>8.7219444754753307E-4</v>
      </c>
      <c r="AC502" s="65">
        <f t="shared" si="489"/>
        <v>8.7219444754753307E-4</v>
      </c>
    </row>
    <row r="503" spans="1:29" x14ac:dyDescent="0.25">
      <c r="A503" s="30" t="str">
        <f t="shared" si="488"/>
        <v>Residual value (vehicle)</v>
      </c>
      <c r="B503" s="68">
        <f>((1+B463)^B470)*B463/(((1+B463)^B470)-1)*(B460)/B475/(B472)</f>
        <v>-1.3082916713212997E-4</v>
      </c>
      <c r="C503" s="68">
        <f t="shared" ref="C503:AC503" si="490">((1+C463)^C470)*C463/(((1+C463)^C470)-1)*(C460)/C475/(C472)</f>
        <v>-1.3082916713212997E-4</v>
      </c>
      <c r="D503" s="68">
        <f t="shared" si="490"/>
        <v>-1.3082916713212997E-4</v>
      </c>
      <c r="E503" s="68">
        <f t="shared" si="490"/>
        <v>-1.3082916713212997E-4</v>
      </c>
      <c r="F503" s="68">
        <f t="shared" si="490"/>
        <v>-1.3082916713212997E-4</v>
      </c>
      <c r="G503" s="68">
        <f t="shared" si="490"/>
        <v>-1.3082916713212997E-4</v>
      </c>
      <c r="H503" s="68">
        <f t="shared" si="490"/>
        <v>-1.3082916713212997E-4</v>
      </c>
      <c r="I503" s="68">
        <f t="shared" si="490"/>
        <v>-1.3082916713212997E-4</v>
      </c>
      <c r="J503" s="68">
        <f t="shared" si="490"/>
        <v>-1.3082916713212997E-4</v>
      </c>
      <c r="K503" s="68">
        <f t="shared" si="490"/>
        <v>-1.3082916713212997E-4</v>
      </c>
      <c r="L503" s="68">
        <f t="shared" si="490"/>
        <v>-1.3082916713212997E-4</v>
      </c>
      <c r="M503" s="68">
        <f t="shared" si="490"/>
        <v>-1.3082916713212997E-4</v>
      </c>
      <c r="N503" s="68">
        <f t="shared" si="490"/>
        <v>-1.3082916713212997E-4</v>
      </c>
      <c r="O503" s="68">
        <f t="shared" si="490"/>
        <v>-1.3082916713212997E-4</v>
      </c>
      <c r="P503" s="68">
        <f t="shared" si="490"/>
        <v>-1.3082916713212997E-4</v>
      </c>
      <c r="Q503" s="68">
        <f t="shared" si="490"/>
        <v>-1.3082916713212997E-4</v>
      </c>
      <c r="R503" s="68">
        <f t="shared" si="490"/>
        <v>-1.3082916713212997E-4</v>
      </c>
      <c r="S503" s="68">
        <f t="shared" si="490"/>
        <v>-1.3082916713212997E-4</v>
      </c>
      <c r="T503" s="68">
        <f t="shared" si="490"/>
        <v>-1.3082916713212997E-4</v>
      </c>
      <c r="U503" s="68">
        <f t="shared" si="490"/>
        <v>-1.3082916713212997E-4</v>
      </c>
      <c r="V503" s="68">
        <f t="shared" si="490"/>
        <v>-1.3082916713212997E-4</v>
      </c>
      <c r="W503" s="68">
        <f t="shared" si="490"/>
        <v>-1.3082916713212997E-4</v>
      </c>
      <c r="X503" s="68">
        <f t="shared" si="490"/>
        <v>-1.3082916713212997E-4</v>
      </c>
      <c r="Y503" s="68">
        <f t="shared" si="490"/>
        <v>-1.3082916713212997E-4</v>
      </c>
      <c r="Z503" s="68">
        <f t="shared" si="490"/>
        <v>-1.3082916713212997E-4</v>
      </c>
      <c r="AA503" s="68">
        <f t="shared" si="490"/>
        <v>-1.3082916713212997E-4</v>
      </c>
      <c r="AB503" s="68">
        <f t="shared" si="490"/>
        <v>-1.3082916713212997E-4</v>
      </c>
      <c r="AC503" s="68">
        <f t="shared" si="490"/>
        <v>-1.3082916713212997E-4</v>
      </c>
    </row>
    <row r="504" spans="1:29" x14ac:dyDescent="0.25">
      <c r="A504" s="30" t="str">
        <f t="shared" si="488"/>
        <v>Capex costumization</v>
      </c>
      <c r="B504" s="66">
        <f>((1+B463)^B471)*B463/(((1+B463)^B471)-1)*(B461)/B475/(B472)</f>
        <v>5.0874587878184309E-4</v>
      </c>
      <c r="C504" s="66">
        <f t="shared" ref="C504:AC504" si="491">((1+C463)^C471)*C463/(((1+C463)^C471)-1)*(C461)/C475/(C472)</f>
        <v>5.0874587878184309E-4</v>
      </c>
      <c r="D504" s="66">
        <f t="shared" si="491"/>
        <v>5.0874587878184309E-4</v>
      </c>
      <c r="E504" s="66">
        <f t="shared" si="491"/>
        <v>5.0874587878184309E-4</v>
      </c>
      <c r="F504" s="66">
        <f t="shared" si="491"/>
        <v>5.0874587878184309E-4</v>
      </c>
      <c r="G504" s="66">
        <f t="shared" si="491"/>
        <v>5.0874587878184309E-4</v>
      </c>
      <c r="H504" s="66">
        <f t="shared" si="491"/>
        <v>5.0874587878184309E-4</v>
      </c>
      <c r="I504" s="66">
        <f t="shared" si="491"/>
        <v>5.0874587878184309E-4</v>
      </c>
      <c r="J504" s="66">
        <f t="shared" si="491"/>
        <v>5.0874587878184309E-4</v>
      </c>
      <c r="K504" s="66">
        <f t="shared" si="491"/>
        <v>5.0874587878184309E-4</v>
      </c>
      <c r="L504" s="66">
        <f t="shared" si="491"/>
        <v>5.0874587878184309E-4</v>
      </c>
      <c r="M504" s="66">
        <f t="shared" si="491"/>
        <v>5.0874587878184309E-4</v>
      </c>
      <c r="N504" s="66">
        <f t="shared" si="491"/>
        <v>5.0874587878184309E-4</v>
      </c>
      <c r="O504" s="66">
        <f t="shared" si="491"/>
        <v>5.0874587878184309E-4</v>
      </c>
      <c r="P504" s="66">
        <f t="shared" si="491"/>
        <v>5.0874587878184309E-4</v>
      </c>
      <c r="Q504" s="66">
        <f t="shared" si="491"/>
        <v>5.0874587878184309E-4</v>
      </c>
      <c r="R504" s="66">
        <f t="shared" si="491"/>
        <v>5.0874587878184309E-4</v>
      </c>
      <c r="S504" s="66">
        <f t="shared" si="491"/>
        <v>5.0874587878184309E-4</v>
      </c>
      <c r="T504" s="66">
        <f t="shared" si="491"/>
        <v>5.0874587878184309E-4</v>
      </c>
      <c r="U504" s="66">
        <f t="shared" si="491"/>
        <v>5.0874587878184309E-4</v>
      </c>
      <c r="V504" s="66">
        <f t="shared" si="491"/>
        <v>5.0874587878184309E-4</v>
      </c>
      <c r="W504" s="66">
        <f t="shared" si="491"/>
        <v>5.0874587878184309E-4</v>
      </c>
      <c r="X504" s="66">
        <f t="shared" si="491"/>
        <v>5.0874587878184309E-4</v>
      </c>
      <c r="Y504" s="66">
        <f t="shared" si="491"/>
        <v>5.0874587878184309E-4</v>
      </c>
      <c r="Z504" s="66">
        <f t="shared" si="491"/>
        <v>5.0874587878184309E-4</v>
      </c>
      <c r="AA504" s="66">
        <f t="shared" si="491"/>
        <v>5.0874587878184309E-4</v>
      </c>
      <c r="AB504" s="66">
        <f t="shared" si="491"/>
        <v>5.0874587878184309E-4</v>
      </c>
      <c r="AC504" s="66">
        <f t="shared" si="491"/>
        <v>5.0874587878184309E-4</v>
      </c>
    </row>
    <row r="505" spans="1:29" x14ac:dyDescent="0.25">
      <c r="A505" s="30" t="str">
        <f t="shared" si="488"/>
        <v>Residual value (costumization)</v>
      </c>
      <c r="B505" s="69">
        <f>((1+B463)^B471)*B463/(((1+B463)^B471)-1)*(B462)/B475/(B472)</f>
        <v>-2.5437293939092159E-5</v>
      </c>
      <c r="C505" s="69">
        <f t="shared" ref="C505:AC505" si="492">((1+C463)^C471)*C463/(((1+C463)^C471)-1)*(C462)/C475/(C472)</f>
        <v>-2.5437293939092159E-5</v>
      </c>
      <c r="D505" s="69">
        <f t="shared" si="492"/>
        <v>-2.5437293939092159E-5</v>
      </c>
      <c r="E505" s="69">
        <f t="shared" si="492"/>
        <v>-2.5437293939092159E-5</v>
      </c>
      <c r="F505" s="69">
        <f t="shared" si="492"/>
        <v>-2.5437293939092159E-5</v>
      </c>
      <c r="G505" s="69">
        <f t="shared" si="492"/>
        <v>-2.5437293939092159E-5</v>
      </c>
      <c r="H505" s="69">
        <f t="shared" si="492"/>
        <v>-2.5437293939092159E-5</v>
      </c>
      <c r="I505" s="69">
        <f t="shared" si="492"/>
        <v>-2.5437293939092159E-5</v>
      </c>
      <c r="J505" s="69">
        <f t="shared" si="492"/>
        <v>-2.5437293939092159E-5</v>
      </c>
      <c r="K505" s="69">
        <f t="shared" si="492"/>
        <v>-2.5437293939092159E-5</v>
      </c>
      <c r="L505" s="69">
        <f t="shared" si="492"/>
        <v>-2.5437293939092159E-5</v>
      </c>
      <c r="M505" s="69">
        <f t="shared" si="492"/>
        <v>-2.5437293939092159E-5</v>
      </c>
      <c r="N505" s="69">
        <f t="shared" si="492"/>
        <v>-2.5437293939092159E-5</v>
      </c>
      <c r="O505" s="69">
        <f t="shared" si="492"/>
        <v>-2.5437293939092159E-5</v>
      </c>
      <c r="P505" s="69">
        <f t="shared" si="492"/>
        <v>-2.5437293939092159E-5</v>
      </c>
      <c r="Q505" s="69">
        <f t="shared" si="492"/>
        <v>-2.5437293939092159E-5</v>
      </c>
      <c r="R505" s="69">
        <f t="shared" si="492"/>
        <v>-2.5437293939092159E-5</v>
      </c>
      <c r="S505" s="69">
        <f t="shared" si="492"/>
        <v>-2.5437293939092159E-5</v>
      </c>
      <c r="T505" s="69">
        <f t="shared" si="492"/>
        <v>-2.5437293939092159E-5</v>
      </c>
      <c r="U505" s="69">
        <f t="shared" si="492"/>
        <v>-2.5437293939092159E-5</v>
      </c>
      <c r="V505" s="69">
        <f t="shared" si="492"/>
        <v>-2.5437293939092159E-5</v>
      </c>
      <c r="W505" s="69">
        <f t="shared" si="492"/>
        <v>-2.5437293939092159E-5</v>
      </c>
      <c r="X505" s="69">
        <f t="shared" si="492"/>
        <v>-2.5437293939092159E-5</v>
      </c>
      <c r="Y505" s="69">
        <f t="shared" si="492"/>
        <v>-2.5437293939092159E-5</v>
      </c>
      <c r="Z505" s="69">
        <f t="shared" si="492"/>
        <v>-2.5437293939092159E-5</v>
      </c>
      <c r="AA505" s="69">
        <f t="shared" si="492"/>
        <v>-2.5437293939092159E-5</v>
      </c>
      <c r="AB505" s="69">
        <f t="shared" si="492"/>
        <v>-2.5437293939092159E-5</v>
      </c>
      <c r="AC505" s="69">
        <f t="shared" si="492"/>
        <v>-2.5437293939092159E-5</v>
      </c>
    </row>
    <row r="506" spans="1:29" x14ac:dyDescent="0.25">
      <c r="A506" s="30" t="str">
        <f t="shared" si="488"/>
        <v>Opex fix (admin, crew, insurance)</v>
      </c>
      <c r="B506" s="66">
        <f>B464/B475/(B472)</f>
        <v>1.3005202080832333E-3</v>
      </c>
      <c r="C506" s="66">
        <f t="shared" ref="C506:AC506" si="493">C464/C475/(C472)</f>
        <v>1.3005202080832333E-3</v>
      </c>
      <c r="D506" s="66">
        <f t="shared" si="493"/>
        <v>1.3005202080832333E-3</v>
      </c>
      <c r="E506" s="66">
        <f t="shared" si="493"/>
        <v>1.3005202080832333E-3</v>
      </c>
      <c r="F506" s="66">
        <f t="shared" si="493"/>
        <v>1.3005202080832333E-3</v>
      </c>
      <c r="G506" s="66">
        <f t="shared" si="493"/>
        <v>1.3005202080832333E-3</v>
      </c>
      <c r="H506" s="66">
        <f t="shared" si="493"/>
        <v>1.3005202080832333E-3</v>
      </c>
      <c r="I506" s="66">
        <f t="shared" si="493"/>
        <v>1.3005202080832333E-3</v>
      </c>
      <c r="J506" s="66">
        <f t="shared" si="493"/>
        <v>1.3005202080832333E-3</v>
      </c>
      <c r="K506" s="66">
        <f t="shared" si="493"/>
        <v>1.3005202080832333E-3</v>
      </c>
      <c r="L506" s="66">
        <f t="shared" si="493"/>
        <v>1.3005202080832333E-3</v>
      </c>
      <c r="M506" s="66">
        <f t="shared" si="493"/>
        <v>1.3005202080832333E-3</v>
      </c>
      <c r="N506" s="66">
        <f t="shared" si="493"/>
        <v>1.3005202080832333E-3</v>
      </c>
      <c r="O506" s="66">
        <f t="shared" si="493"/>
        <v>1.3005202080832333E-3</v>
      </c>
      <c r="P506" s="66">
        <f t="shared" si="493"/>
        <v>1.3005202080832333E-3</v>
      </c>
      <c r="Q506" s="66">
        <f t="shared" si="493"/>
        <v>1.3005202080832333E-3</v>
      </c>
      <c r="R506" s="66">
        <f t="shared" si="493"/>
        <v>1.3005202080832333E-3</v>
      </c>
      <c r="S506" s="66">
        <f t="shared" si="493"/>
        <v>1.3005202080832333E-3</v>
      </c>
      <c r="T506" s="66">
        <f t="shared" si="493"/>
        <v>1.3005202080832333E-3</v>
      </c>
      <c r="U506" s="66">
        <f t="shared" si="493"/>
        <v>1.3005202080832333E-3</v>
      </c>
      <c r="V506" s="66">
        <f t="shared" si="493"/>
        <v>1.3005202080832333E-3</v>
      </c>
      <c r="W506" s="66">
        <f t="shared" si="493"/>
        <v>1.3005202080832333E-3</v>
      </c>
      <c r="X506" s="66">
        <f t="shared" si="493"/>
        <v>1.3005202080832333E-3</v>
      </c>
      <c r="Y506" s="66">
        <f t="shared" si="493"/>
        <v>1.3005202080832333E-3</v>
      </c>
      <c r="Z506" s="66">
        <f t="shared" si="493"/>
        <v>1.3005202080832333E-3</v>
      </c>
      <c r="AA506" s="66">
        <f t="shared" si="493"/>
        <v>1.3005202080832333E-3</v>
      </c>
      <c r="AB506" s="66">
        <f t="shared" si="493"/>
        <v>1.3005202080832333E-3</v>
      </c>
      <c r="AC506" s="66">
        <f t="shared" si="493"/>
        <v>1.3005202080832333E-3</v>
      </c>
    </row>
    <row r="507" spans="1:29" x14ac:dyDescent="0.25">
      <c r="A507" s="30" t="str">
        <f t="shared" si="488"/>
        <v>Opex maintenance &amp; repair</v>
      </c>
      <c r="B507" s="66">
        <f>B465/B475/(B472)</f>
        <v>1.3005202080832333E-3</v>
      </c>
      <c r="C507" s="66">
        <f t="shared" ref="C507:AC507" si="494">C465/C475/(C472)</f>
        <v>1.3005202080832333E-3</v>
      </c>
      <c r="D507" s="66">
        <f t="shared" si="494"/>
        <v>1.3005202080832333E-3</v>
      </c>
      <c r="E507" s="66">
        <f t="shared" si="494"/>
        <v>1.3005202080832333E-3</v>
      </c>
      <c r="F507" s="66">
        <f t="shared" si="494"/>
        <v>1.3005202080832333E-3</v>
      </c>
      <c r="G507" s="66">
        <f t="shared" si="494"/>
        <v>1.3005202080832333E-3</v>
      </c>
      <c r="H507" s="66">
        <f t="shared" si="494"/>
        <v>1.3005202080832333E-3</v>
      </c>
      <c r="I507" s="66">
        <f t="shared" si="494"/>
        <v>1.3005202080832333E-3</v>
      </c>
      <c r="J507" s="66">
        <f t="shared" si="494"/>
        <v>1.3005202080832333E-3</v>
      </c>
      <c r="K507" s="66">
        <f t="shared" si="494"/>
        <v>1.3005202080832333E-3</v>
      </c>
      <c r="L507" s="66">
        <f t="shared" si="494"/>
        <v>1.3005202080832333E-3</v>
      </c>
      <c r="M507" s="66">
        <f t="shared" si="494"/>
        <v>1.3005202080832333E-3</v>
      </c>
      <c r="N507" s="66">
        <f t="shared" si="494"/>
        <v>1.3005202080832333E-3</v>
      </c>
      <c r="O507" s="66">
        <f t="shared" si="494"/>
        <v>1.3005202080832333E-3</v>
      </c>
      <c r="P507" s="66">
        <f t="shared" si="494"/>
        <v>1.3005202080832333E-3</v>
      </c>
      <c r="Q507" s="66">
        <f t="shared" si="494"/>
        <v>1.3005202080832333E-3</v>
      </c>
      <c r="R507" s="66">
        <f t="shared" si="494"/>
        <v>1.3005202080832333E-3</v>
      </c>
      <c r="S507" s="66">
        <f t="shared" si="494"/>
        <v>1.3005202080832333E-3</v>
      </c>
      <c r="T507" s="66">
        <f t="shared" si="494"/>
        <v>1.3005202080832333E-3</v>
      </c>
      <c r="U507" s="66">
        <f t="shared" si="494"/>
        <v>1.3005202080832333E-3</v>
      </c>
      <c r="V507" s="66">
        <f t="shared" si="494"/>
        <v>1.3005202080832333E-3</v>
      </c>
      <c r="W507" s="66">
        <f t="shared" si="494"/>
        <v>1.3005202080832333E-3</v>
      </c>
      <c r="X507" s="66">
        <f t="shared" si="494"/>
        <v>1.3005202080832333E-3</v>
      </c>
      <c r="Y507" s="66">
        <f t="shared" si="494"/>
        <v>1.3005202080832333E-3</v>
      </c>
      <c r="Z507" s="66">
        <f t="shared" si="494"/>
        <v>1.3005202080832333E-3</v>
      </c>
      <c r="AA507" s="66">
        <f t="shared" si="494"/>
        <v>1.3005202080832333E-3</v>
      </c>
      <c r="AB507" s="66">
        <f t="shared" si="494"/>
        <v>1.3005202080832333E-3</v>
      </c>
      <c r="AC507" s="66">
        <f t="shared" si="494"/>
        <v>1.3005202080832333E-3</v>
      </c>
    </row>
    <row r="508" spans="1:29" x14ac:dyDescent="0.25">
      <c r="A508" s="30" t="str">
        <f t="shared" si="488"/>
        <v>Opex var (mode-fees, shunting)</v>
      </c>
      <c r="B508" s="66">
        <f>B466*B475/B475/(B472)</f>
        <v>1.4005602240896359E-3</v>
      </c>
      <c r="C508" s="66">
        <f t="shared" ref="C508:AC508" si="495">C466*C475/C475/(C472)</f>
        <v>1.4005602240896359E-3</v>
      </c>
      <c r="D508" s="66">
        <f t="shared" si="495"/>
        <v>1.4005602240896359E-3</v>
      </c>
      <c r="E508" s="66">
        <f t="shared" si="495"/>
        <v>1.4005602240896359E-3</v>
      </c>
      <c r="F508" s="66">
        <f t="shared" si="495"/>
        <v>1.4005602240896359E-3</v>
      </c>
      <c r="G508" s="66">
        <f t="shared" si="495"/>
        <v>1.4005602240896359E-3</v>
      </c>
      <c r="H508" s="66">
        <f t="shared" si="495"/>
        <v>1.4005602240896359E-3</v>
      </c>
      <c r="I508" s="66">
        <f t="shared" si="495"/>
        <v>1.4005602240896359E-3</v>
      </c>
      <c r="J508" s="66">
        <f t="shared" si="495"/>
        <v>1.4005602240896359E-3</v>
      </c>
      <c r="K508" s="66">
        <f t="shared" si="495"/>
        <v>1.4005602240896359E-3</v>
      </c>
      <c r="L508" s="66">
        <f t="shared" si="495"/>
        <v>1.4005602240896359E-3</v>
      </c>
      <c r="M508" s="66">
        <f t="shared" si="495"/>
        <v>1.4005602240896359E-3</v>
      </c>
      <c r="N508" s="66">
        <f t="shared" si="495"/>
        <v>1.4005602240896359E-3</v>
      </c>
      <c r="O508" s="66">
        <f t="shared" si="495"/>
        <v>1.4005602240896359E-3</v>
      </c>
      <c r="P508" s="66">
        <f t="shared" si="495"/>
        <v>1.4005602240896359E-3</v>
      </c>
      <c r="Q508" s="66">
        <f t="shared" si="495"/>
        <v>1.4005602240896359E-3</v>
      </c>
      <c r="R508" s="66">
        <f t="shared" si="495"/>
        <v>1.4005602240896359E-3</v>
      </c>
      <c r="S508" s="66">
        <f t="shared" si="495"/>
        <v>1.4005602240896359E-3</v>
      </c>
      <c r="T508" s="66">
        <f t="shared" si="495"/>
        <v>1.4005602240896359E-3</v>
      </c>
      <c r="U508" s="66">
        <f t="shared" si="495"/>
        <v>1.4005602240896359E-3</v>
      </c>
      <c r="V508" s="66">
        <f t="shared" si="495"/>
        <v>1.4005602240896359E-3</v>
      </c>
      <c r="W508" s="66">
        <f t="shared" si="495"/>
        <v>1.4005602240896359E-3</v>
      </c>
      <c r="X508" s="66">
        <f t="shared" si="495"/>
        <v>1.4005602240896359E-3</v>
      </c>
      <c r="Y508" s="66">
        <f t="shared" si="495"/>
        <v>1.4005602240896359E-3</v>
      </c>
      <c r="Z508" s="66">
        <f t="shared" si="495"/>
        <v>1.4005602240896359E-3</v>
      </c>
      <c r="AA508" s="66">
        <f t="shared" si="495"/>
        <v>1.4005602240896359E-3</v>
      </c>
      <c r="AB508" s="66">
        <f t="shared" si="495"/>
        <v>1.4005602240896359E-3</v>
      </c>
      <c r="AC508" s="66">
        <f t="shared" si="495"/>
        <v>1.4005602240896359E-3</v>
      </c>
    </row>
    <row r="509" spans="1:29" x14ac:dyDescent="0.25">
      <c r="A509" s="30" t="str">
        <f t="shared" si="488"/>
        <v>Fuel Cost</v>
      </c>
      <c r="B509" s="66">
        <f>B467*B468*B475/B475/(B472)</f>
        <v>9.1455665958997635E-4</v>
      </c>
      <c r="C509" s="66">
        <f t="shared" ref="C509:AC509" si="496">C467*C468*C475/C475/(C472)</f>
        <v>9.1455665958997635E-4</v>
      </c>
      <c r="D509" s="66">
        <f t="shared" si="496"/>
        <v>9.1455665958997635E-4</v>
      </c>
      <c r="E509" s="66">
        <f t="shared" si="496"/>
        <v>9.1455665958997635E-4</v>
      </c>
      <c r="F509" s="66">
        <f t="shared" si="496"/>
        <v>9.1455665958997635E-4</v>
      </c>
      <c r="G509" s="66">
        <f t="shared" si="496"/>
        <v>9.1455665958997635E-4</v>
      </c>
      <c r="H509" s="66">
        <f t="shared" si="496"/>
        <v>9.1455665958997635E-4</v>
      </c>
      <c r="I509" s="66">
        <f t="shared" si="496"/>
        <v>9.1455665958997635E-4</v>
      </c>
      <c r="J509" s="66">
        <f t="shared" si="496"/>
        <v>9.3789102588399042E-4</v>
      </c>
      <c r="K509" s="66">
        <f t="shared" si="496"/>
        <v>9.6122539217800471E-4</v>
      </c>
      <c r="L509" s="66">
        <f t="shared" si="496"/>
        <v>9.8455975847201878E-4</v>
      </c>
      <c r="M509" s="66">
        <f t="shared" si="496"/>
        <v>1.0078941247660331E-3</v>
      </c>
      <c r="N509" s="66">
        <f t="shared" si="496"/>
        <v>1.0312284910600467E-3</v>
      </c>
      <c r="O509" s="66">
        <f t="shared" si="496"/>
        <v>1.0214431116464281E-3</v>
      </c>
      <c r="P509" s="66">
        <f t="shared" si="496"/>
        <v>1.0116577322328093E-3</v>
      </c>
      <c r="Q509" s="66">
        <f t="shared" si="496"/>
        <v>1.0018723528191903E-3</v>
      </c>
      <c r="R509" s="66">
        <f t="shared" si="496"/>
        <v>9.920869734055713E-4</v>
      </c>
      <c r="S509" s="66">
        <f t="shared" si="496"/>
        <v>9.8230159399195272E-4</v>
      </c>
      <c r="T509" s="66">
        <f t="shared" si="496"/>
        <v>9.7251621457833382E-4</v>
      </c>
      <c r="U509" s="66">
        <f t="shared" si="496"/>
        <v>9.6273083516471502E-4</v>
      </c>
      <c r="V509" s="66">
        <f t="shared" si="496"/>
        <v>9.5294545575109622E-4</v>
      </c>
      <c r="W509" s="66">
        <f t="shared" si="496"/>
        <v>9.4316007633747721E-4</v>
      </c>
      <c r="X509" s="66">
        <f t="shared" si="496"/>
        <v>9.3337469692385863E-4</v>
      </c>
      <c r="Y509" s="66">
        <f t="shared" si="496"/>
        <v>9.2358931751023972E-4</v>
      </c>
      <c r="Z509" s="66">
        <f t="shared" si="496"/>
        <v>9.1380393809662092E-4</v>
      </c>
      <c r="AA509" s="66">
        <f t="shared" si="496"/>
        <v>9.0401855868300202E-4</v>
      </c>
      <c r="AB509" s="66">
        <f t="shared" si="496"/>
        <v>8.9423317926938333E-4</v>
      </c>
      <c r="AC509" s="66">
        <f t="shared" si="496"/>
        <v>8.8444779985576464E-4</v>
      </c>
    </row>
    <row r="510" spans="1:29" x14ac:dyDescent="0.25">
      <c r="A510" s="59" t="str">
        <f>A473</f>
        <v>Market failure (av. utilization)</v>
      </c>
      <c r="B510" s="66">
        <f t="shared" ref="B510:AC510" si="497">B499/B473-B499/B472</f>
        <v>1.1948057195208257E-2</v>
      </c>
      <c r="C510" s="66">
        <f t="shared" si="497"/>
        <v>1.1948057195208257E-2</v>
      </c>
      <c r="D510" s="66">
        <f t="shared" si="497"/>
        <v>1.1948057195208257E-2</v>
      </c>
      <c r="E510" s="66">
        <f t="shared" si="497"/>
        <v>1.1948057195208257E-2</v>
      </c>
      <c r="F510" s="66">
        <f t="shared" si="497"/>
        <v>1.1948057195208257E-2</v>
      </c>
      <c r="G510" s="66">
        <f t="shared" si="497"/>
        <v>1.1948057195208257E-2</v>
      </c>
      <c r="H510" s="66">
        <f t="shared" si="497"/>
        <v>1.1948057195208257E-2</v>
      </c>
      <c r="I510" s="66">
        <f t="shared" si="497"/>
        <v>1.1948057195208257E-2</v>
      </c>
      <c r="J510" s="66">
        <f t="shared" si="497"/>
        <v>1.1993085230166239E-2</v>
      </c>
      <c r="K510" s="66">
        <f t="shared" si="497"/>
        <v>1.2038113265124217E-2</v>
      </c>
      <c r="L510" s="66">
        <f t="shared" si="497"/>
        <v>1.2083141300082199E-2</v>
      </c>
      <c r="M510" s="66">
        <f t="shared" si="497"/>
        <v>1.2128169335040177E-2</v>
      </c>
      <c r="N510" s="66">
        <f t="shared" si="497"/>
        <v>1.2173197369998163E-2</v>
      </c>
      <c r="O510" s="66">
        <f t="shared" si="497"/>
        <v>1.2154314645660941E-2</v>
      </c>
      <c r="P510" s="66">
        <f t="shared" si="497"/>
        <v>1.2135431921323724E-2</v>
      </c>
      <c r="Q510" s="66">
        <f t="shared" si="497"/>
        <v>1.2116549196986508E-2</v>
      </c>
      <c r="R510" s="66">
        <f t="shared" si="497"/>
        <v>1.2097666472649288E-2</v>
      </c>
      <c r="S510" s="66">
        <f t="shared" si="497"/>
        <v>1.2078783748312071E-2</v>
      </c>
      <c r="T510" s="66">
        <f t="shared" si="497"/>
        <v>1.2059901023974855E-2</v>
      </c>
      <c r="U510" s="66">
        <f t="shared" si="497"/>
        <v>1.2041018299637638E-2</v>
      </c>
      <c r="V510" s="66">
        <f t="shared" si="497"/>
        <v>1.2022135575300418E-2</v>
      </c>
      <c r="W510" s="66">
        <f t="shared" si="497"/>
        <v>1.2003252850963202E-2</v>
      </c>
      <c r="X510" s="66">
        <f t="shared" si="497"/>
        <v>1.1984370126625983E-2</v>
      </c>
      <c r="Y510" s="66">
        <f t="shared" si="497"/>
        <v>1.1965487402288765E-2</v>
      </c>
      <c r="Z510" s="66">
        <f t="shared" si="497"/>
        <v>1.194660467795155E-2</v>
      </c>
      <c r="AA510" s="66">
        <f t="shared" si="497"/>
        <v>1.1927721953614332E-2</v>
      </c>
      <c r="AB510" s="66">
        <f t="shared" si="497"/>
        <v>1.1908839229277112E-2</v>
      </c>
      <c r="AC510" s="66">
        <f t="shared" si="497"/>
        <v>1.1889956504939896E-2</v>
      </c>
    </row>
    <row r="511" spans="1:29" x14ac:dyDescent="0.25">
      <c r="A511" s="59" t="str">
        <f>A474</f>
        <v>Payload loss (fuel)</v>
      </c>
      <c r="B511" s="66">
        <f>B499/(B472-B474)-B499/B472</f>
        <v>0</v>
      </c>
      <c r="C511" s="66">
        <f t="shared" ref="C511:AC511" si="498">C499/(C472-C474)-C499/C472</f>
        <v>0</v>
      </c>
      <c r="D511" s="66">
        <f t="shared" si="498"/>
        <v>0</v>
      </c>
      <c r="E511" s="66">
        <f t="shared" si="498"/>
        <v>0</v>
      </c>
      <c r="F511" s="66">
        <f t="shared" si="498"/>
        <v>0</v>
      </c>
      <c r="G511" s="66">
        <f t="shared" si="498"/>
        <v>0</v>
      </c>
      <c r="H511" s="66">
        <f t="shared" si="498"/>
        <v>0</v>
      </c>
      <c r="I511" s="66">
        <f t="shared" si="498"/>
        <v>0</v>
      </c>
      <c r="J511" s="66">
        <f t="shared" si="498"/>
        <v>0</v>
      </c>
      <c r="K511" s="66">
        <f t="shared" si="498"/>
        <v>0</v>
      </c>
      <c r="L511" s="66">
        <f t="shared" si="498"/>
        <v>0</v>
      </c>
      <c r="M511" s="66">
        <f t="shared" si="498"/>
        <v>0</v>
      </c>
      <c r="N511" s="66">
        <f t="shared" si="498"/>
        <v>0</v>
      </c>
      <c r="O511" s="66">
        <f t="shared" si="498"/>
        <v>0</v>
      </c>
      <c r="P511" s="66">
        <f t="shared" si="498"/>
        <v>0</v>
      </c>
      <c r="Q511" s="66">
        <f t="shared" si="498"/>
        <v>0</v>
      </c>
      <c r="R511" s="66">
        <f t="shared" si="498"/>
        <v>0</v>
      </c>
      <c r="S511" s="66">
        <f t="shared" si="498"/>
        <v>0</v>
      </c>
      <c r="T511" s="66">
        <f t="shared" si="498"/>
        <v>0</v>
      </c>
      <c r="U511" s="66">
        <f t="shared" si="498"/>
        <v>0</v>
      </c>
      <c r="V511" s="66">
        <f t="shared" si="498"/>
        <v>0</v>
      </c>
      <c r="W511" s="66">
        <f t="shared" si="498"/>
        <v>0</v>
      </c>
      <c r="X511" s="66">
        <f t="shared" si="498"/>
        <v>0</v>
      </c>
      <c r="Y511" s="66">
        <f t="shared" si="498"/>
        <v>0</v>
      </c>
      <c r="Z511" s="66">
        <f t="shared" si="498"/>
        <v>0</v>
      </c>
      <c r="AA511" s="66">
        <f t="shared" si="498"/>
        <v>0</v>
      </c>
      <c r="AB511" s="66">
        <f t="shared" si="498"/>
        <v>0</v>
      </c>
      <c r="AC511" s="66">
        <f t="shared" si="498"/>
        <v>0</v>
      </c>
    </row>
    <row r="512" spans="1:29" ht="15.75" thickBot="1" x14ac:dyDescent="0.3">
      <c r="A512" s="59" t="str">
        <f>A449</f>
        <v>Emission Cost</v>
      </c>
      <c r="B512" s="68">
        <f>B469*B475/B475/(B472)</f>
        <v>0</v>
      </c>
      <c r="C512" s="68">
        <f t="shared" ref="C512:AC512" si="499">C469*C475/C475/(C472)</f>
        <v>0</v>
      </c>
      <c r="D512" s="68">
        <f t="shared" si="499"/>
        <v>0</v>
      </c>
      <c r="E512" s="68">
        <f t="shared" si="499"/>
        <v>0</v>
      </c>
      <c r="F512" s="68">
        <f t="shared" si="499"/>
        <v>0</v>
      </c>
      <c r="G512" s="68">
        <f t="shared" si="499"/>
        <v>0</v>
      </c>
      <c r="H512" s="68">
        <f t="shared" si="499"/>
        <v>0</v>
      </c>
      <c r="I512" s="68">
        <f t="shared" si="499"/>
        <v>0</v>
      </c>
      <c r="J512" s="68">
        <f t="shared" si="499"/>
        <v>0</v>
      </c>
      <c r="K512" s="68">
        <f t="shared" si="499"/>
        <v>0</v>
      </c>
      <c r="L512" s="68">
        <f t="shared" si="499"/>
        <v>0</v>
      </c>
      <c r="M512" s="68">
        <f t="shared" si="499"/>
        <v>0</v>
      </c>
      <c r="N512" s="68">
        <f t="shared" si="499"/>
        <v>0</v>
      </c>
      <c r="O512" s="68">
        <f t="shared" si="499"/>
        <v>0</v>
      </c>
      <c r="P512" s="68">
        <f t="shared" si="499"/>
        <v>0</v>
      </c>
      <c r="Q512" s="68">
        <f t="shared" si="499"/>
        <v>0</v>
      </c>
      <c r="R512" s="68">
        <f t="shared" si="499"/>
        <v>0</v>
      </c>
      <c r="S512" s="68">
        <f t="shared" si="499"/>
        <v>0</v>
      </c>
      <c r="T512" s="68">
        <f t="shared" si="499"/>
        <v>0</v>
      </c>
      <c r="U512" s="68">
        <f t="shared" si="499"/>
        <v>0</v>
      </c>
      <c r="V512" s="68">
        <f t="shared" si="499"/>
        <v>0</v>
      </c>
      <c r="W512" s="68">
        <f t="shared" si="499"/>
        <v>0</v>
      </c>
      <c r="X512" s="68">
        <f t="shared" si="499"/>
        <v>0</v>
      </c>
      <c r="Y512" s="68">
        <f t="shared" si="499"/>
        <v>0</v>
      </c>
      <c r="Z512" s="68">
        <f t="shared" si="499"/>
        <v>0</v>
      </c>
      <c r="AA512" s="68">
        <f t="shared" si="499"/>
        <v>0</v>
      </c>
      <c r="AB512" s="68">
        <f t="shared" si="499"/>
        <v>0</v>
      </c>
      <c r="AC512" s="68">
        <f t="shared" si="499"/>
        <v>0</v>
      </c>
    </row>
    <row r="513" spans="1:29" ht="15.75" thickBot="1" x14ac:dyDescent="0.3">
      <c r="A513" s="31" t="s">
        <v>210</v>
      </c>
      <c r="B513" s="76">
        <f>B502+B503+B504+B505+B506+B507+B508+B509+B510+B511+B512</f>
        <v>1.8088888360312493E-2</v>
      </c>
      <c r="C513" s="67">
        <f t="shared" ref="C513:AC513" si="500">C502+C503+C504+C505+C506+C507+C508+C509+C510+C511+C512</f>
        <v>1.8088888360312493E-2</v>
      </c>
      <c r="D513" s="67">
        <f t="shared" si="500"/>
        <v>1.8088888360312493E-2</v>
      </c>
      <c r="E513" s="67">
        <f t="shared" si="500"/>
        <v>1.8088888360312493E-2</v>
      </c>
      <c r="F513" s="67">
        <f t="shared" si="500"/>
        <v>1.8088888360312493E-2</v>
      </c>
      <c r="G513" s="67">
        <f t="shared" si="500"/>
        <v>1.8088888360312493E-2</v>
      </c>
      <c r="H513" s="67">
        <f t="shared" si="500"/>
        <v>1.8088888360312493E-2</v>
      </c>
      <c r="I513" s="67">
        <f t="shared" si="500"/>
        <v>1.8088888360312493E-2</v>
      </c>
      <c r="J513" s="67">
        <f t="shared" si="500"/>
        <v>1.8157250761564485E-2</v>
      </c>
      <c r="K513" s="67">
        <f t="shared" si="500"/>
        <v>1.8225613162816477E-2</v>
      </c>
      <c r="L513" s="67">
        <f t="shared" si="500"/>
        <v>1.8293975564068476E-2</v>
      </c>
      <c r="M513" s="67">
        <f t="shared" si="500"/>
        <v>1.8362337965320469E-2</v>
      </c>
      <c r="N513" s="67">
        <f t="shared" si="500"/>
        <v>1.8430700366572468E-2</v>
      </c>
      <c r="O513" s="67">
        <f t="shared" si="500"/>
        <v>1.8402032262821624E-2</v>
      </c>
      <c r="P513" s="67">
        <f t="shared" si="500"/>
        <v>1.8373364159070791E-2</v>
      </c>
      <c r="Q513" s="67">
        <f t="shared" si="500"/>
        <v>1.8344696055319954E-2</v>
      </c>
      <c r="R513" s="67">
        <f t="shared" si="500"/>
        <v>1.8316027951569114E-2</v>
      </c>
      <c r="S513" s="67">
        <f t="shared" si="500"/>
        <v>1.828735984781828E-2</v>
      </c>
      <c r="T513" s="67">
        <f t="shared" si="500"/>
        <v>1.8258691744067447E-2</v>
      </c>
      <c r="U513" s="67">
        <f t="shared" si="500"/>
        <v>1.823002364031661E-2</v>
      </c>
      <c r="V513" s="67">
        <f t="shared" si="500"/>
        <v>1.820135553656577E-2</v>
      </c>
      <c r="W513" s="67">
        <f t="shared" si="500"/>
        <v>1.8172687432814937E-2</v>
      </c>
      <c r="X513" s="67">
        <f t="shared" si="500"/>
        <v>1.81440193290641E-2</v>
      </c>
      <c r="Y513" s="67">
        <f t="shared" si="500"/>
        <v>1.8115351225313263E-2</v>
      </c>
      <c r="Z513" s="67">
        <f t="shared" si="500"/>
        <v>1.8086683121562426E-2</v>
      </c>
      <c r="AA513" s="67">
        <f t="shared" si="500"/>
        <v>1.8058015017811589E-2</v>
      </c>
      <c r="AB513" s="67">
        <f t="shared" si="500"/>
        <v>1.8029346914060752E-2</v>
      </c>
      <c r="AC513" s="67">
        <f t="shared" si="500"/>
        <v>1.8000678810309916E-2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90"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Input'!$L$171</f>
        <v>10000000</v>
      </c>
      <c r="C11" s="42">
        <f>'Parameter Input'!$M$171</f>
        <v>6250000</v>
      </c>
      <c r="D11" s="1" t="s">
        <v>15</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Input'!$L$172</f>
        <v>-500000</v>
      </c>
      <c r="C12" s="61">
        <f>'Parameter Input'!$M$172</f>
        <v>-937500</v>
      </c>
      <c r="D12" s="1" t="s">
        <v>15</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Input'!$L$178</f>
        <v>0.06</v>
      </c>
      <c r="C15" s="46">
        <f>'Parameter Input'!$M$178</f>
        <v>0.06</v>
      </c>
      <c r="D15" s="1" t="s">
        <v>57</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Input'!$L$174</f>
        <v>1300000</v>
      </c>
      <c r="C17" s="44">
        <f>'Parameter Input'!$M$174</f>
        <v>812500</v>
      </c>
      <c r="D17" s="1" t="s">
        <v>38</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Input'!$L$175</f>
        <v>33.590199999999996</v>
      </c>
      <c r="C19" s="48">
        <f>'Parameter Input'!$M$175</f>
        <v>33.590199999999996</v>
      </c>
      <c r="D19" s="1" t="s">
        <v>60</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Input'!$L$176</f>
        <v>0.13371034051801745</v>
      </c>
      <c r="C20" s="46">
        <f>'Parameter Input'!$M$176</f>
        <v>8.7585019329602734E-2</v>
      </c>
      <c r="D20" s="1" t="s">
        <v>68</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Input'!$L$179</f>
        <v>0</v>
      </c>
      <c r="C21" s="116">
        <f>'Parameter Input'!$M$179</f>
        <v>0</v>
      </c>
      <c r="D21" s="1" t="s">
        <v>76</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Input'!$L$173</f>
        <v>20</v>
      </c>
      <c r="C22" s="44">
        <f>'Parameter Input'!$M$173</f>
        <v>20</v>
      </c>
      <c r="D22" s="1" t="s">
        <v>42</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Input'!$L$177</f>
        <v>3.5714285714285712E-2</v>
      </c>
      <c r="C26" s="73">
        <f>'Parameter Input'!$M$177</f>
        <v>1.7857142857142856E-2</v>
      </c>
      <c r="D26" s="1" t="s">
        <v>57</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'Parameter Input'!J4</f>
        <v>8.0999995899999996E-2</v>
      </c>
      <c r="C40" s="62">
        <f>'Parameter Input'!K4</f>
        <v>8.0999995899999996E-2</v>
      </c>
      <c r="D40" s="62">
        <f>'Parameter Input'!L4</f>
        <v>8.0999995899999996E-2</v>
      </c>
      <c r="E40" s="62">
        <f>'Parameter Input'!M4</f>
        <v>8.0999995899999996E-2</v>
      </c>
      <c r="F40" s="62">
        <f>'Parameter Input'!N4</f>
        <v>8.0999995899999996E-2</v>
      </c>
      <c r="G40" s="62">
        <f>'Parameter Input'!O4</f>
        <v>8.0999995899999996E-2</v>
      </c>
      <c r="H40" s="62">
        <f>'Parameter Input'!P4</f>
        <v>8.0999995899999996E-2</v>
      </c>
      <c r="I40" s="62">
        <f>'Parameter Input'!Q4</f>
        <v>8.0999995899999996E-2</v>
      </c>
      <c r="J40" s="62">
        <f>'Parameter Input'!R4</f>
        <v>8.3066662360000001E-2</v>
      </c>
      <c r="K40" s="62">
        <f>'Parameter Input'!S4</f>
        <v>8.5133328820000007E-2</v>
      </c>
      <c r="L40" s="62">
        <f>'Parameter Input'!T4</f>
        <v>8.7199995280000012E-2</v>
      </c>
      <c r="M40" s="62">
        <f>'Parameter Input'!U4</f>
        <v>8.9266661740000017E-2</v>
      </c>
      <c r="N40" s="62">
        <f>'Parameter Input'!V4</f>
        <v>9.1333328199999994E-2</v>
      </c>
      <c r="O40" s="62">
        <f>'Parameter Input'!W4</f>
        <v>9.046666162E-2</v>
      </c>
      <c r="P40" s="62">
        <f>'Parameter Input'!X4</f>
        <v>8.9599995039999991E-2</v>
      </c>
      <c r="Q40" s="62">
        <f>'Parameter Input'!Y4</f>
        <v>8.8733328459999983E-2</v>
      </c>
      <c r="R40" s="62">
        <f>'Parameter Input'!Z4</f>
        <v>8.7866661879999974E-2</v>
      </c>
      <c r="S40" s="62">
        <f>'Parameter Input'!AA4</f>
        <v>8.6999995299999994E-2</v>
      </c>
      <c r="T40" s="62">
        <f>'Parameter Input'!AB4</f>
        <v>8.6133328719999985E-2</v>
      </c>
      <c r="U40" s="62">
        <f>'Parameter Input'!AC4</f>
        <v>8.5266662139999991E-2</v>
      </c>
      <c r="V40" s="62">
        <f>'Parameter Input'!AD4</f>
        <v>8.4399995559999982E-2</v>
      </c>
      <c r="W40" s="62">
        <f>'Parameter Input'!AE4</f>
        <v>8.3533328979999974E-2</v>
      </c>
      <c r="X40" s="62">
        <f>'Parameter Input'!AF4</f>
        <v>8.2666662399999993E-2</v>
      </c>
      <c r="Y40" s="62">
        <f>'Parameter Input'!AG4</f>
        <v>8.1799995819999985E-2</v>
      </c>
      <c r="Z40" s="62">
        <f>'Parameter Input'!AH4</f>
        <v>8.093332923999999E-2</v>
      </c>
      <c r="AA40" s="62">
        <f>'Parameter Input'!AI4</f>
        <v>8.0066662659999982E-2</v>
      </c>
      <c r="AB40" s="62">
        <f>'Parameter Input'!AJ4</f>
        <v>7.9199996079999987E-2</v>
      </c>
      <c r="AC40" s="62">
        <f>'Parameter Input'!AK4</f>
        <v>7.8333329499999993E-2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79.471914462993496</v>
      </c>
      <c r="C46" s="62">
        <f t="shared" si="46"/>
        <v>79.245803905143291</v>
      </c>
      <c r="D46" s="62">
        <f t="shared" si="46"/>
        <v>78.924759326348806</v>
      </c>
      <c r="E46" s="62">
        <f t="shared" si="46"/>
        <v>78.470993664637106</v>
      </c>
      <c r="F46" s="62">
        <f t="shared" si="46"/>
        <v>77.833914862204551</v>
      </c>
      <c r="G46" s="62">
        <f t="shared" si="46"/>
        <v>76.948144060056592</v>
      </c>
      <c r="H46" s="62">
        <f t="shared" si="46"/>
        <v>75.733785427063381</v>
      </c>
      <c r="I46" s="62">
        <f t="shared" si="46"/>
        <v>74.101817549730796</v>
      </c>
      <c r="J46" s="62">
        <f t="shared" si="46"/>
        <v>71.968520261049548</v>
      </c>
      <c r="K46" s="62">
        <f t="shared" si="46"/>
        <v>69.281992899997348</v>
      </c>
      <c r="L46" s="62">
        <f t="shared" si="47"/>
        <v>66.058237183514677</v>
      </c>
      <c r="M46" s="62">
        <f t="shared" si="47"/>
        <v>62.412899152339826</v>
      </c>
      <c r="N46" s="62">
        <f t="shared" si="47"/>
        <v>58.564530749274141</v>
      </c>
      <c r="O46" s="62">
        <f t="shared" si="47"/>
        <v>54.79189103820957</v>
      </c>
      <c r="P46" s="62">
        <f t="shared" si="47"/>
        <v>51.357579454892473</v>
      </c>
      <c r="Q46" s="62">
        <f t="shared" si="47"/>
        <v>48.438903664447089</v>
      </c>
      <c r="R46" s="62">
        <f t="shared" si="47"/>
        <v>46.101567061519283</v>
      </c>
      <c r="S46" s="62">
        <f t="shared" si="47"/>
        <v>44.318075495083995</v>
      </c>
      <c r="T46" s="62">
        <f t="shared" si="47"/>
        <v>43.007066157523667</v>
      </c>
      <c r="U46" s="62">
        <f t="shared" si="47"/>
        <v>42.069713447100085</v>
      </c>
      <c r="V46" s="62">
        <f t="shared" si="48"/>
        <v>41.412767625013835</v>
      </c>
      <c r="W46" s="62">
        <f t="shared" si="48"/>
        <v>40.958777682906323</v>
      </c>
      <c r="X46" s="62">
        <f t="shared" si="48"/>
        <v>40.648089742335586</v>
      </c>
      <c r="Y46" s="62">
        <f t="shared" si="48"/>
        <v>40.43688962256433</v>
      </c>
      <c r="Z46" s="62">
        <f t="shared" si="48"/>
        <v>40.29397285162436</v>
      </c>
      <c r="AA46" s="62">
        <f t="shared" si="48"/>
        <v>40.197561048740226</v>
      </c>
      <c r="AB46" s="62">
        <f t="shared" si="48"/>
        <v>40.132657101971823</v>
      </c>
      <c r="AC46" s="62">
        <f t="shared" si="48"/>
        <v>40.08902544858671</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0">((1+C35)^C42)*C35/(((1+C35)^C42)-1)*(C31)</f>
        <v>865681.10860566224</v>
      </c>
      <c r="D50" s="63">
        <f t="shared" si="50"/>
        <v>863057.03397703567</v>
      </c>
      <c r="E50" s="63">
        <f t="shared" si="50"/>
        <v>859348.15664694412</v>
      </c>
      <c r="F50" s="63">
        <f t="shared" si="50"/>
        <v>854140.95978918544</v>
      </c>
      <c r="G50" s="63">
        <f t="shared" si="50"/>
        <v>846901.06588590739</v>
      </c>
      <c r="H50" s="63">
        <f t="shared" si="50"/>
        <v>836975.44218948286</v>
      </c>
      <c r="I50" s="63">
        <f t="shared" si="50"/>
        <v>823636.46752832399</v>
      </c>
      <c r="J50" s="63">
        <f t="shared" si="50"/>
        <v>806199.8507457996</v>
      </c>
      <c r="K50" s="63">
        <f t="shared" si="50"/>
        <v>784241.37907896913</v>
      </c>
      <c r="L50" s="63">
        <f t="shared" si="50"/>
        <v>757891.84339680034</v>
      </c>
      <c r="M50" s="63">
        <f t="shared" si="50"/>
        <v>728096.48265190842</v>
      </c>
      <c r="N50" s="63">
        <f t="shared" si="50"/>
        <v>696641.64256081509</v>
      </c>
      <c r="O50" s="63">
        <f t="shared" si="50"/>
        <v>665805.77488808637</v>
      </c>
      <c r="P50" s="63">
        <f t="shared" si="50"/>
        <v>637735.24983383913</v>
      </c>
      <c r="Q50" s="63">
        <f t="shared" si="50"/>
        <v>613879.3008573663</v>
      </c>
      <c r="R50" s="63">
        <f t="shared" si="50"/>
        <v>594774.95808561263</v>
      </c>
      <c r="S50" s="63">
        <f t="shared" si="50"/>
        <v>580197.49663952412</v>
      </c>
      <c r="T50" s="63">
        <f t="shared" si="50"/>
        <v>569481.893362551</v>
      </c>
      <c r="U50" s="63">
        <f t="shared" si="50"/>
        <v>561820.39203855116</v>
      </c>
      <c r="V50" s="63">
        <f t="shared" si="50"/>
        <v>556450.81105826527</v>
      </c>
      <c r="W50" s="63">
        <f t="shared" si="50"/>
        <v>552740.10056064755</v>
      </c>
      <c r="X50" s="63">
        <f t="shared" si="50"/>
        <v>550200.67645533092</v>
      </c>
      <c r="Y50" s="63">
        <f t="shared" si="50"/>
        <v>548474.42124823271</v>
      </c>
      <c r="Z50" s="63">
        <f t="shared" si="50"/>
        <v>547306.28355832992</v>
      </c>
      <c r="AA50" s="63">
        <f t="shared" si="50"/>
        <v>546518.25665316184</v>
      </c>
      <c r="AB50" s="63">
        <f t="shared" si="50"/>
        <v>545987.76085518813</v>
      </c>
      <c r="AC50" s="63">
        <f t="shared" si="50"/>
        <v>545631.13525794924</v>
      </c>
    </row>
    <row r="51" spans="1:29" x14ac:dyDescent="0.25">
      <c r="A51" s="30" t="str">
        <f>A32</f>
        <v>Residual value (vehicle)</v>
      </c>
      <c r="B51" s="62">
        <f>((1+B35)^B42)*B35/(((1+B35)^B42)-1)*(B32)</f>
        <v>-44095.850871439077</v>
      </c>
      <c r="C51" s="62">
        <f t="shared" ref="C51:AC51" si="51">((1+C35)^C42)*C35/(((1+C35)^C42)-1)*(C32)</f>
        <v>-44311.465624091747</v>
      </c>
      <c r="D51" s="62">
        <f t="shared" si="51"/>
        <v>-44617.607664098185</v>
      </c>
      <c r="E51" s="62">
        <f t="shared" si="51"/>
        <v>-45050.310019275523</v>
      </c>
      <c r="F51" s="62">
        <f t="shared" si="51"/>
        <v>-45657.816319347374</v>
      </c>
      <c r="G51" s="62">
        <f t="shared" si="51"/>
        <v>-46502.470608063151</v>
      </c>
      <c r="H51" s="62">
        <f t="shared" si="51"/>
        <v>-47660.460039312675</v>
      </c>
      <c r="I51" s="62">
        <f t="shared" si="51"/>
        <v>-49216.673749781199</v>
      </c>
      <c r="J51" s="62">
        <f t="shared" si="51"/>
        <v>-51250.945707742365</v>
      </c>
      <c r="K51" s="62">
        <f t="shared" si="51"/>
        <v>-53812.767402205936</v>
      </c>
      <c r="L51" s="62">
        <f t="shared" si="51"/>
        <v>-56886.879898458967</v>
      </c>
      <c r="M51" s="62">
        <f t="shared" si="51"/>
        <v>-60363.005318696356</v>
      </c>
      <c r="N51" s="62">
        <f t="shared" si="51"/>
        <v>-64032.73666265724</v>
      </c>
      <c r="O51" s="62">
        <f t="shared" si="51"/>
        <v>-67630.254557808934</v>
      </c>
      <c r="P51" s="62">
        <f t="shared" si="51"/>
        <v>-70905.149147471107</v>
      </c>
      <c r="Q51" s="62">
        <f t="shared" si="51"/>
        <v>-73688.343194726258</v>
      </c>
      <c r="R51" s="62">
        <f t="shared" si="51"/>
        <v>-75917.183184764202</v>
      </c>
      <c r="S51" s="62">
        <f t="shared" si="51"/>
        <v>-77617.887020141206</v>
      </c>
      <c r="T51" s="62">
        <f t="shared" si="51"/>
        <v>-78868.040735788047</v>
      </c>
      <c r="U51" s="62">
        <f t="shared" si="51"/>
        <v>-79761.882556921351</v>
      </c>
      <c r="V51" s="62">
        <f t="shared" si="51"/>
        <v>-80388.333671288041</v>
      </c>
      <c r="W51" s="62">
        <f t="shared" si="51"/>
        <v>-80821.249896010122</v>
      </c>
      <c r="X51" s="62">
        <f t="shared" si="51"/>
        <v>-81117.516041630384</v>
      </c>
      <c r="Y51" s="62">
        <f t="shared" si="51"/>
        <v>-81318.912482458516</v>
      </c>
      <c r="Z51" s="62">
        <f t="shared" si="51"/>
        <v>-81455.19521294719</v>
      </c>
      <c r="AA51" s="62">
        <f t="shared" si="51"/>
        <v>-81547.131685216795</v>
      </c>
      <c r="AB51" s="62">
        <f t="shared" si="51"/>
        <v>-81609.022861647056</v>
      </c>
      <c r="AC51" s="62">
        <f t="shared" si="51"/>
        <v>-81650.629181324926</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1293563.9575177333</v>
      </c>
      <c r="C55" s="62">
        <f t="shared" si="55"/>
        <v>1290808.235093934</v>
      </c>
      <c r="D55" s="62">
        <f t="shared" si="55"/>
        <v>1286895.5042898762</v>
      </c>
      <c r="E55" s="62">
        <f t="shared" si="55"/>
        <v>1281365.2352877648</v>
      </c>
      <c r="F55" s="62">
        <f t="shared" si="55"/>
        <v>1273600.837383118</v>
      </c>
      <c r="G55" s="62">
        <f t="shared" si="55"/>
        <v>1262805.5057319398</v>
      </c>
      <c r="H55" s="62">
        <f t="shared" si="55"/>
        <v>1248005.5098923349</v>
      </c>
      <c r="I55" s="62">
        <f t="shared" si="55"/>
        <v>1228115.9013873441</v>
      </c>
      <c r="J55" s="62">
        <f t="shared" si="55"/>
        <v>1202116.3406815415</v>
      </c>
      <c r="K55" s="62">
        <f t="shared" si="55"/>
        <v>1169374.2884687176</v>
      </c>
      <c r="L55" s="62">
        <f t="shared" si="55"/>
        <v>1130084.7656740851</v>
      </c>
      <c r="M55" s="62">
        <f t="shared" si="55"/>
        <v>1085657.2084191416</v>
      </c>
      <c r="N55" s="62">
        <f t="shared" si="55"/>
        <v>1038755.2185067786</v>
      </c>
      <c r="O55" s="62">
        <f t="shared" si="55"/>
        <v>992776.17202817916</v>
      </c>
      <c r="P55" s="62">
        <f t="shared" si="55"/>
        <v>950920.49960650213</v>
      </c>
      <c r="Q55" s="62">
        <f t="shared" si="55"/>
        <v>915349.13841044903</v>
      </c>
      <c r="R55" s="62">
        <f t="shared" si="55"/>
        <v>886862.84856226621</v>
      </c>
      <c r="S55" s="62">
        <f t="shared" si="55"/>
        <v>865126.54509633617</v>
      </c>
      <c r="T55" s="62">
        <f t="shared" si="55"/>
        <v>849148.61879481981</v>
      </c>
      <c r="U55" s="62">
        <f t="shared" si="55"/>
        <v>837724.6326365323</v>
      </c>
      <c r="V55" s="62">
        <f t="shared" si="55"/>
        <v>829718.10542985611</v>
      </c>
      <c r="W55" s="62">
        <f t="shared" si="55"/>
        <v>824185.10301042092</v>
      </c>
      <c r="X55" s="62">
        <f t="shared" si="55"/>
        <v>820398.59373471502</v>
      </c>
      <c r="Y55" s="62">
        <f t="shared" si="55"/>
        <v>817824.59227500285</v>
      </c>
      <c r="Z55" s="62">
        <f t="shared" si="55"/>
        <v>816082.79412917187</v>
      </c>
      <c r="AA55" s="62">
        <f t="shared" si="55"/>
        <v>814907.77528152149</v>
      </c>
      <c r="AB55" s="62">
        <f t="shared" si="55"/>
        <v>814116.75843028165</v>
      </c>
      <c r="AC55" s="62">
        <f t="shared" si="55"/>
        <v>813584.99765465059</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485663.88211701211</v>
      </c>
      <c r="C57" s="62">
        <f t="shared" ref="C57:AC57" si="57">C39*C40*C47</f>
        <v>485663.88211701211</v>
      </c>
      <c r="D57" s="62">
        <f t="shared" si="57"/>
        <v>485663.88211701211</v>
      </c>
      <c r="E57" s="62">
        <f t="shared" si="57"/>
        <v>485663.88211701211</v>
      </c>
      <c r="F57" s="62">
        <f t="shared" si="57"/>
        <v>485663.88211701211</v>
      </c>
      <c r="G57" s="62">
        <f t="shared" si="57"/>
        <v>485663.88211701211</v>
      </c>
      <c r="H57" s="62">
        <f t="shared" si="57"/>
        <v>485663.88211701211</v>
      </c>
      <c r="I57" s="62">
        <f t="shared" si="57"/>
        <v>485663.88211701211</v>
      </c>
      <c r="J57" s="62">
        <f t="shared" si="57"/>
        <v>498055.30565786961</v>
      </c>
      <c r="K57" s="62">
        <f t="shared" si="57"/>
        <v>510446.72919872717</v>
      </c>
      <c r="L57" s="62">
        <f t="shared" si="57"/>
        <v>522838.15273958468</v>
      </c>
      <c r="M57" s="62">
        <f t="shared" si="57"/>
        <v>535229.57628044218</v>
      </c>
      <c r="N57" s="62">
        <f t="shared" si="57"/>
        <v>547620.99982129969</v>
      </c>
      <c r="O57" s="62">
        <f t="shared" si="57"/>
        <v>542424.59640094009</v>
      </c>
      <c r="P57" s="62">
        <f t="shared" si="57"/>
        <v>537228.19298058038</v>
      </c>
      <c r="Q57" s="62">
        <f t="shared" si="57"/>
        <v>532031.78956022079</v>
      </c>
      <c r="R57" s="62">
        <f t="shared" si="57"/>
        <v>526835.38613986108</v>
      </c>
      <c r="S57" s="62">
        <f t="shared" si="57"/>
        <v>521638.9827195016</v>
      </c>
      <c r="T57" s="62">
        <f t="shared" si="57"/>
        <v>516442.57929914194</v>
      </c>
      <c r="U57" s="62">
        <f t="shared" si="57"/>
        <v>511246.17587878235</v>
      </c>
      <c r="V57" s="62">
        <f t="shared" si="57"/>
        <v>506049.7724584227</v>
      </c>
      <c r="W57" s="62">
        <f t="shared" si="57"/>
        <v>500853.36903806304</v>
      </c>
      <c r="X57" s="62">
        <f t="shared" si="57"/>
        <v>495656.96561770356</v>
      </c>
      <c r="Y57" s="62">
        <f t="shared" si="57"/>
        <v>490460.56219734391</v>
      </c>
      <c r="Z57" s="62">
        <f t="shared" si="57"/>
        <v>485264.15877698432</v>
      </c>
      <c r="AA57" s="62">
        <f t="shared" si="57"/>
        <v>480067.75535662472</v>
      </c>
      <c r="AB57" s="62">
        <f t="shared" si="57"/>
        <v>474871.35193626513</v>
      </c>
      <c r="AC57" s="62">
        <f t="shared" si="57"/>
        <v>469674.94851590559</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209</v>
      </c>
      <c r="B59" s="64">
        <f>B50+B51+B52+B53+B54+B55+B56+B57+B58</f>
        <v>4242530.3806655658</v>
      </c>
      <c r="C59" s="64">
        <f t="shared" ref="C59:AC59" si="59">C50+C51+C52+C53+C54+C55+C56+C57+C58</f>
        <v>4237710.9170378046</v>
      </c>
      <c r="D59" s="64">
        <f t="shared" si="59"/>
        <v>4230867.969565114</v>
      </c>
      <c r="E59" s="64">
        <f t="shared" si="59"/>
        <v>4221196.1208777344</v>
      </c>
      <c r="F59" s="64">
        <f t="shared" si="59"/>
        <v>4207617.0198152568</v>
      </c>
      <c r="G59" s="64">
        <f t="shared" si="59"/>
        <v>4188737.1399720842</v>
      </c>
      <c r="H59" s="64">
        <f t="shared" si="59"/>
        <v>4162853.5310048056</v>
      </c>
      <c r="I59" s="64">
        <f t="shared" si="59"/>
        <v>4128068.7341281869</v>
      </c>
      <c r="J59" s="64">
        <f t="shared" si="59"/>
        <v>4094989.7082227566</v>
      </c>
      <c r="K59" s="64">
        <f t="shared" si="59"/>
        <v>4050118.7861894961</v>
      </c>
      <c r="L59" s="64">
        <f t="shared" si="59"/>
        <v>3993797.0387572991</v>
      </c>
      <c r="M59" s="64">
        <f t="shared" si="59"/>
        <v>3928489.418878084</v>
      </c>
      <c r="N59" s="64">
        <f t="shared" si="59"/>
        <v>3858854.2810715241</v>
      </c>
      <c r="O59" s="64">
        <f t="shared" si="59"/>
        <v>3773245.4456046848</v>
      </c>
      <c r="P59" s="64">
        <f t="shared" si="59"/>
        <v>3694847.9501187392</v>
      </c>
      <c r="Q59" s="64">
        <f t="shared" si="59"/>
        <v>3627441.0424785982</v>
      </c>
      <c r="R59" s="64">
        <f t="shared" si="59"/>
        <v>3572425.1664482644</v>
      </c>
      <c r="S59" s="64">
        <f t="shared" si="59"/>
        <v>3529214.2942805085</v>
      </c>
      <c r="T59" s="64">
        <f t="shared" si="59"/>
        <v>3496074.2075660131</v>
      </c>
      <c r="U59" s="64">
        <f t="shared" si="59"/>
        <v>3470898.4748422327</v>
      </c>
      <c r="V59" s="64">
        <f t="shared" si="59"/>
        <v>3451699.512120544</v>
      </c>
      <c r="W59" s="64">
        <f t="shared" si="59"/>
        <v>3436826.4795584097</v>
      </c>
      <c r="X59" s="64">
        <f t="shared" si="59"/>
        <v>3425007.8766114074</v>
      </c>
      <c r="Y59" s="64">
        <f t="shared" si="59"/>
        <v>3415309.8200834091</v>
      </c>
      <c r="Z59" s="64">
        <f t="shared" si="59"/>
        <v>3407067.1980968276</v>
      </c>
      <c r="AA59" s="64">
        <f t="shared" si="59"/>
        <v>3399815.8124513794</v>
      </c>
      <c r="AB59" s="64">
        <f t="shared" si="59"/>
        <v>3393236.0052053761</v>
      </c>
      <c r="AC59" s="64">
        <f t="shared" si="59"/>
        <v>3387109.6090924689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4.8601077594228057</v>
      </c>
      <c r="C62" s="65">
        <f t="shared" ref="C62:AC62" si="61">((1+C35)^C42)*C35/(((1+C35)^C42)-1)*(C31)/C47</f>
        <v>4.8497541098356427</v>
      </c>
      <c r="D62" s="65">
        <f t="shared" si="61"/>
        <v>4.8350534116360544</v>
      </c>
      <c r="E62" s="65">
        <f t="shared" si="61"/>
        <v>4.8142753873778386</v>
      </c>
      <c r="F62" s="65">
        <f t="shared" si="61"/>
        <v>4.7851034161859127</v>
      </c>
      <c r="G62" s="65">
        <f t="shared" si="61"/>
        <v>4.7445437864756714</v>
      </c>
      <c r="H62" s="65">
        <f t="shared" si="61"/>
        <v>4.6889380514816965</v>
      </c>
      <c r="I62" s="65">
        <f t="shared" si="61"/>
        <v>4.6142099021194625</v>
      </c>
      <c r="J62" s="65">
        <f t="shared" si="61"/>
        <v>4.5165257744862721</v>
      </c>
      <c r="K62" s="65">
        <f t="shared" si="61"/>
        <v>4.3935091264928241</v>
      </c>
      <c r="L62" s="65">
        <f t="shared" si="61"/>
        <v>4.2458926800941192</v>
      </c>
      <c r="M62" s="65">
        <f t="shared" si="61"/>
        <v>4.0789718916073303</v>
      </c>
      <c r="N62" s="65">
        <f t="shared" si="61"/>
        <v>3.9027543000605887</v>
      </c>
      <c r="O62" s="65">
        <f t="shared" si="61"/>
        <v>3.7300043411097277</v>
      </c>
      <c r="P62" s="65">
        <f t="shared" si="61"/>
        <v>3.5727464976685668</v>
      </c>
      <c r="Q62" s="65">
        <f t="shared" si="61"/>
        <v>3.4390997246911277</v>
      </c>
      <c r="R62" s="65">
        <f t="shared" si="61"/>
        <v>3.3320725943171574</v>
      </c>
      <c r="S62" s="65">
        <f t="shared" si="61"/>
        <v>3.2504061436387905</v>
      </c>
      <c r="T62" s="65">
        <f t="shared" si="61"/>
        <v>3.1903747527313779</v>
      </c>
      <c r="U62" s="65">
        <f t="shared" si="61"/>
        <v>3.147453176686561</v>
      </c>
      <c r="V62" s="65">
        <f t="shared" si="61"/>
        <v>3.1173714905224945</v>
      </c>
      <c r="W62" s="65">
        <f t="shared" si="61"/>
        <v>3.0965831964181936</v>
      </c>
      <c r="X62" s="65">
        <f t="shared" si="61"/>
        <v>3.0823567308421902</v>
      </c>
      <c r="Y62" s="65">
        <f t="shared" si="61"/>
        <v>3.0726858333234324</v>
      </c>
      <c r="Z62" s="65">
        <f t="shared" si="61"/>
        <v>3.0661416445844814</v>
      </c>
      <c r="AA62" s="65">
        <f t="shared" si="61"/>
        <v>3.0617269280289179</v>
      </c>
      <c r="AB62" s="65">
        <f t="shared" si="61"/>
        <v>3.058754962774163</v>
      </c>
      <c r="AC62" s="65">
        <f t="shared" si="61"/>
        <v>3.0567570602686231</v>
      </c>
    </row>
    <row r="63" spans="1:29" x14ac:dyDescent="0.25">
      <c r="A63" s="30" t="str">
        <f t="shared" si="60"/>
        <v>Residual value (vehicle)</v>
      </c>
      <c r="B63" s="66">
        <f>((1+B35)^B42)*B35/(((1+B35)^B42)-1)*(B32)/B47</f>
        <v>-0.24703557911170351</v>
      </c>
      <c r="C63" s="66">
        <f t="shared" ref="C63:AC63" si="62">((1+C35)^C42)*C35/(((1+C35)^C42)-1)*(C32)/C47</f>
        <v>-0.24824350489687252</v>
      </c>
      <c r="D63" s="66">
        <f t="shared" si="62"/>
        <v>-0.24995858635349122</v>
      </c>
      <c r="E63" s="66">
        <f t="shared" si="62"/>
        <v>-0.25238268918361639</v>
      </c>
      <c r="F63" s="66">
        <f t="shared" si="62"/>
        <v>-0.25578608582267437</v>
      </c>
      <c r="G63" s="66">
        <f t="shared" si="62"/>
        <v>-0.26051804262220252</v>
      </c>
      <c r="H63" s="66">
        <f t="shared" si="62"/>
        <v>-0.26700537837149957</v>
      </c>
      <c r="I63" s="66">
        <f t="shared" si="62"/>
        <v>-0.27572366246376023</v>
      </c>
      <c r="J63" s="66">
        <f t="shared" si="62"/>
        <v>-0.28712014402096564</v>
      </c>
      <c r="K63" s="66">
        <f t="shared" si="62"/>
        <v>-0.301472086286868</v>
      </c>
      <c r="L63" s="66">
        <f t="shared" si="62"/>
        <v>-0.31869400503338358</v>
      </c>
      <c r="M63" s="66">
        <f t="shared" si="62"/>
        <v>-0.33816809702350897</v>
      </c>
      <c r="N63" s="66">
        <f t="shared" si="62"/>
        <v>-0.35872681603729545</v>
      </c>
      <c r="O63" s="66">
        <f t="shared" si="62"/>
        <v>-0.378880977914896</v>
      </c>
      <c r="P63" s="66">
        <f t="shared" si="62"/>
        <v>-0.39722772631636477</v>
      </c>
      <c r="Q63" s="66">
        <f t="shared" si="62"/>
        <v>-0.41281984983039921</v>
      </c>
      <c r="R63" s="66">
        <f t="shared" si="62"/>
        <v>-0.42530634837402914</v>
      </c>
      <c r="S63" s="66">
        <f t="shared" si="62"/>
        <v>-0.43483410095317204</v>
      </c>
      <c r="T63" s="66">
        <f t="shared" si="62"/>
        <v>-0.44183776322570334</v>
      </c>
      <c r="U63" s="66">
        <f t="shared" si="62"/>
        <v>-0.44684528043093191</v>
      </c>
      <c r="V63" s="66">
        <f t="shared" si="62"/>
        <v>-0.45035481048340636</v>
      </c>
      <c r="W63" s="66">
        <f t="shared" si="62"/>
        <v>-0.45278011146224156</v>
      </c>
      <c r="X63" s="66">
        <f t="shared" si="62"/>
        <v>-0.45443986577944195</v>
      </c>
      <c r="Y63" s="66">
        <f t="shared" si="62"/>
        <v>-0.45556813715663036</v>
      </c>
      <c r="Z63" s="66">
        <f t="shared" si="62"/>
        <v>-0.45633162584284143</v>
      </c>
      <c r="AA63" s="66">
        <f t="shared" si="62"/>
        <v>-0.45684667610765711</v>
      </c>
      <c r="AB63" s="66">
        <f t="shared" si="62"/>
        <v>-0.45719340538737846</v>
      </c>
      <c r="AC63" s="66">
        <f t="shared" si="62"/>
        <v>-0.45742649401302482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7.246856904861251</v>
      </c>
      <c r="C67" s="66">
        <f t="shared" ref="C67:AC67" si="66">C37/C47</f>
        <v>7.2314186839996299</v>
      </c>
      <c r="D67" s="66">
        <f t="shared" si="66"/>
        <v>7.2094986234726957</v>
      </c>
      <c r="E67" s="66">
        <f t="shared" si="66"/>
        <v>7.1785167243012031</v>
      </c>
      <c r="F67" s="66">
        <f t="shared" si="66"/>
        <v>7.1350186968241909</v>
      </c>
      <c r="G67" s="66">
        <f t="shared" si="66"/>
        <v>7.0745406483582061</v>
      </c>
      <c r="H67" s="66">
        <f t="shared" si="66"/>
        <v>6.9916275063996354</v>
      </c>
      <c r="I67" s="66">
        <f t="shared" si="66"/>
        <v>6.8802011282204152</v>
      </c>
      <c r="J67" s="66">
        <f t="shared" si="66"/>
        <v>6.7345453259470114</v>
      </c>
      <c r="K67" s="66">
        <f t="shared" si="66"/>
        <v>6.5511164620096221</v>
      </c>
      <c r="L67" s="66">
        <f t="shared" si="66"/>
        <v>6.3310070906111209</v>
      </c>
      <c r="M67" s="66">
        <f t="shared" si="66"/>
        <v>6.0821132124321657</v>
      </c>
      <c r="N67" s="66">
        <f t="shared" si="66"/>
        <v>5.8193569664245297</v>
      </c>
      <c r="O67" s="66">
        <f t="shared" si="66"/>
        <v>5.56177127186655</v>
      </c>
      <c r="P67" s="66">
        <f t="shared" si="66"/>
        <v>5.3272857120812445</v>
      </c>
      <c r="Q67" s="66">
        <f t="shared" si="66"/>
        <v>5.1280063776495748</v>
      </c>
      <c r="R67" s="66">
        <f t="shared" si="66"/>
        <v>4.9684193196765616</v>
      </c>
      <c r="S67" s="66">
        <f t="shared" si="66"/>
        <v>4.8466473114640678</v>
      </c>
      <c r="T67" s="66">
        <f t="shared" si="66"/>
        <v>4.7571351192987104</v>
      </c>
      <c r="U67" s="66">
        <f t="shared" si="66"/>
        <v>4.6931351968433184</v>
      </c>
      <c r="V67" s="66">
        <f t="shared" si="66"/>
        <v>4.6482807026882691</v>
      </c>
      <c r="W67" s="66">
        <f t="shared" si="66"/>
        <v>4.6172834902544588</v>
      </c>
      <c r="X67" s="66">
        <f t="shared" si="66"/>
        <v>4.5960705531356583</v>
      </c>
      <c r="Y67" s="66">
        <f t="shared" si="66"/>
        <v>4.5816503768907726</v>
      </c>
      <c r="Z67" s="66">
        <f t="shared" si="66"/>
        <v>4.5718924040849966</v>
      </c>
      <c r="AA67" s="66">
        <f t="shared" si="66"/>
        <v>4.5653096654426975</v>
      </c>
      <c r="AB67" s="66">
        <f t="shared" si="66"/>
        <v>4.5608781984889726</v>
      </c>
      <c r="AC67" s="66">
        <f t="shared" si="66"/>
        <v>4.5578991465246528</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2.7208060622801797</v>
      </c>
      <c r="C69" s="66">
        <f t="shared" ref="C69:AC69" si="68">C39*C40*C47/C47</f>
        <v>2.7208060622801797</v>
      </c>
      <c r="D69" s="66">
        <f t="shared" si="68"/>
        <v>2.7208060622801797</v>
      </c>
      <c r="E69" s="66">
        <f t="shared" si="68"/>
        <v>2.7208060622801797</v>
      </c>
      <c r="F69" s="66">
        <f t="shared" si="68"/>
        <v>2.7208060622801797</v>
      </c>
      <c r="G69" s="66">
        <f t="shared" si="68"/>
        <v>2.7208060622801797</v>
      </c>
      <c r="H69" s="66">
        <f t="shared" si="68"/>
        <v>2.7208060622801797</v>
      </c>
      <c r="I69" s="66">
        <f t="shared" si="68"/>
        <v>2.7208060622801797</v>
      </c>
      <c r="J69" s="66">
        <f t="shared" si="68"/>
        <v>2.7902258020048718</v>
      </c>
      <c r="K69" s="66">
        <f t="shared" si="68"/>
        <v>2.8596455417295639</v>
      </c>
      <c r="L69" s="66">
        <f t="shared" si="68"/>
        <v>2.9290652814542559</v>
      </c>
      <c r="M69" s="66">
        <f t="shared" si="68"/>
        <v>2.998485021178948</v>
      </c>
      <c r="N69" s="66">
        <f t="shared" si="68"/>
        <v>3.0679047609036396</v>
      </c>
      <c r="O69" s="66">
        <f t="shared" si="68"/>
        <v>3.0387932571481238</v>
      </c>
      <c r="P69" s="66">
        <f t="shared" si="68"/>
        <v>3.009681753392607</v>
      </c>
      <c r="Q69" s="66">
        <f t="shared" si="68"/>
        <v>2.9805702496370912</v>
      </c>
      <c r="R69" s="66">
        <f t="shared" si="68"/>
        <v>2.9514587458815749</v>
      </c>
      <c r="S69" s="66">
        <f t="shared" si="68"/>
        <v>2.9223472421260595</v>
      </c>
      <c r="T69" s="66">
        <f t="shared" si="68"/>
        <v>2.8932357383705432</v>
      </c>
      <c r="U69" s="66">
        <f t="shared" si="68"/>
        <v>2.8641242346150273</v>
      </c>
      <c r="V69" s="66">
        <f t="shared" si="68"/>
        <v>2.835012730859511</v>
      </c>
      <c r="W69" s="66">
        <f t="shared" si="68"/>
        <v>2.8059012271039947</v>
      </c>
      <c r="X69" s="66">
        <f t="shared" si="68"/>
        <v>2.7767897233484793</v>
      </c>
      <c r="Y69" s="66">
        <f t="shared" si="68"/>
        <v>2.747678219592963</v>
      </c>
      <c r="Z69" s="66">
        <f t="shared" si="68"/>
        <v>2.7185667158374471</v>
      </c>
      <c r="AA69" s="66">
        <f t="shared" si="68"/>
        <v>2.6894552120819313</v>
      </c>
      <c r="AB69" s="66">
        <f t="shared" si="68"/>
        <v>2.6603437083264154</v>
      </c>
      <c r="AC69" s="66">
        <f t="shared" si="68"/>
        <v>2.6312322045708996</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63</v>
      </c>
      <c r="B71" s="76">
        <f>B62+B63+B64-B65+B66+B67+B68+B69+B70</f>
        <v>23.938615817878908</v>
      </c>
      <c r="C71" s="76">
        <f t="shared" ref="C71:AC71" si="71">C62+C63+C64-C65+C66+C67+C68+C69+C70</f>
        <v>23.911616021644956</v>
      </c>
      <c r="D71" s="76">
        <f t="shared" si="71"/>
        <v>23.873280181461812</v>
      </c>
      <c r="E71" s="76">
        <f t="shared" si="71"/>
        <v>23.819096155201979</v>
      </c>
      <c r="F71" s="76">
        <f t="shared" si="71"/>
        <v>23.743022759893982</v>
      </c>
      <c r="G71" s="76">
        <f t="shared" si="71"/>
        <v>23.637253124918228</v>
      </c>
      <c r="H71" s="76">
        <f t="shared" si="71"/>
        <v>23.492246912216387</v>
      </c>
      <c r="I71" s="76">
        <f t="shared" si="71"/>
        <v>23.297374100582672</v>
      </c>
      <c r="J71" s="76">
        <f t="shared" si="71"/>
        <v>23.112057428843567</v>
      </c>
      <c r="K71" s="76">
        <f t="shared" si="71"/>
        <v>22.860679714371518</v>
      </c>
      <c r="L71" s="76">
        <f t="shared" si="71"/>
        <v>22.545151717552489</v>
      </c>
      <c r="M71" s="76">
        <f t="shared" si="71"/>
        <v>22.179282698621311</v>
      </c>
      <c r="N71" s="76">
        <f t="shared" si="71"/>
        <v>21.789169881777841</v>
      </c>
      <c r="O71" s="76">
        <f t="shared" si="71"/>
        <v>21.309568562635882</v>
      </c>
      <c r="P71" s="76">
        <f t="shared" si="71"/>
        <v>20.870366907252428</v>
      </c>
      <c r="Q71" s="76">
        <f t="shared" si="71"/>
        <v>20.492737172573769</v>
      </c>
      <c r="R71" s="76">
        <f t="shared" si="71"/>
        <v>20.184524981927638</v>
      </c>
      <c r="S71" s="76">
        <f t="shared" si="71"/>
        <v>19.942447266702121</v>
      </c>
      <c r="T71" s="76">
        <f t="shared" si="71"/>
        <v>19.756788517601304</v>
      </c>
      <c r="U71" s="76">
        <f t="shared" si="71"/>
        <v>19.61574799814035</v>
      </c>
      <c r="V71" s="76">
        <f t="shared" si="71"/>
        <v>19.508190784013244</v>
      </c>
      <c r="W71" s="76">
        <f t="shared" si="71"/>
        <v>19.424868472740783</v>
      </c>
      <c r="X71" s="76">
        <f t="shared" si="71"/>
        <v>19.358657811973263</v>
      </c>
      <c r="Y71" s="76">
        <f t="shared" si="71"/>
        <v>19.304326963076914</v>
      </c>
      <c r="Z71" s="76">
        <f t="shared" si="71"/>
        <v>19.258149809090458</v>
      </c>
      <c r="AA71" s="76">
        <f t="shared" si="71"/>
        <v>19.217525799872266</v>
      </c>
      <c r="AB71" s="76">
        <f t="shared" si="71"/>
        <v>19.18066413462855</v>
      </c>
      <c r="AC71" s="76">
        <f t="shared" si="71"/>
        <v>19.146342587777525</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2">A50</f>
        <v>Capex vehicle</v>
      </c>
      <c r="B74" s="65">
        <f>((1+B35)^B42)*B35/(((1+B35)^B42)-1)*(B31)/B47/(B44)</f>
        <v>2.1696909640280381E-3</v>
      </c>
      <c r="C74" s="65">
        <f t="shared" ref="C74:AC74" si="73">((1+C35)^C42)*C35/(((1+C35)^C42)-1)*(C31)/C47/(C44)</f>
        <v>2.1650687990337689E-3</v>
      </c>
      <c r="D74" s="65">
        <f t="shared" si="73"/>
        <v>2.1585059873375245E-3</v>
      </c>
      <c r="E74" s="65">
        <f t="shared" si="73"/>
        <v>2.1492300836508209E-3</v>
      </c>
      <c r="F74" s="65">
        <f t="shared" si="73"/>
        <v>2.1362068822258539E-3</v>
      </c>
      <c r="G74" s="65">
        <f t="shared" si="73"/>
        <v>2.1180999046766392E-3</v>
      </c>
      <c r="H74" s="65">
        <f t="shared" si="73"/>
        <v>2.093275915840043E-3</v>
      </c>
      <c r="I74" s="65">
        <f t="shared" si="73"/>
        <v>2.0599151348747601E-3</v>
      </c>
      <c r="J74" s="65">
        <f t="shared" si="73"/>
        <v>2.0163061493242286E-3</v>
      </c>
      <c r="K74" s="65">
        <f t="shared" si="73"/>
        <v>1.9613880028985821E-3</v>
      </c>
      <c r="L74" s="65">
        <f t="shared" si="73"/>
        <v>1.8954878036134461E-3</v>
      </c>
      <c r="M74" s="65">
        <f t="shared" si="73"/>
        <v>1.8209695944675583E-3</v>
      </c>
      <c r="N74" s="65">
        <f t="shared" si="73"/>
        <v>1.7423010268127629E-3</v>
      </c>
      <c r="O74" s="65">
        <f t="shared" si="73"/>
        <v>1.6651805094239855E-3</v>
      </c>
      <c r="P74" s="65">
        <f t="shared" si="73"/>
        <v>1.5949761150306102E-3</v>
      </c>
      <c r="Q74" s="65">
        <f t="shared" si="73"/>
        <v>1.5353123770942534E-3</v>
      </c>
      <c r="R74" s="65">
        <f t="shared" si="73"/>
        <v>1.4875324081773025E-3</v>
      </c>
      <c r="S74" s="65">
        <f t="shared" si="73"/>
        <v>1.4510741712673173E-3</v>
      </c>
      <c r="T74" s="65">
        <f t="shared" si="73"/>
        <v>1.4242744431836509E-3</v>
      </c>
      <c r="U74" s="65">
        <f t="shared" si="73"/>
        <v>1.4051130253065005E-3</v>
      </c>
      <c r="V74" s="65">
        <f t="shared" si="73"/>
        <v>1.3916837011261137E-3</v>
      </c>
      <c r="W74" s="65">
        <f t="shared" si="73"/>
        <v>1.3824032126866935E-3</v>
      </c>
      <c r="X74" s="65">
        <f t="shared" si="73"/>
        <v>1.3760521119831207E-3</v>
      </c>
      <c r="Y74" s="65">
        <f t="shared" si="73"/>
        <v>1.3717347470193894E-3</v>
      </c>
      <c r="Z74" s="65">
        <f t="shared" si="73"/>
        <v>1.3688132341895007E-3</v>
      </c>
      <c r="AA74" s="65">
        <f t="shared" si="73"/>
        <v>1.3668423785843384E-3</v>
      </c>
      <c r="AB74" s="65">
        <f t="shared" si="73"/>
        <v>1.3655156083813228E-3</v>
      </c>
      <c r="AC74" s="65">
        <f t="shared" si="73"/>
        <v>1.364623687619921E-3</v>
      </c>
    </row>
    <row r="75" spans="1:29" x14ac:dyDescent="0.25">
      <c r="A75" s="30" t="str">
        <f t="shared" si="72"/>
        <v>Residual value (vehicle)</v>
      </c>
      <c r="B75" s="68">
        <f>((1+B35)^B42)*B35/(((1+B35)^B42)-1)*(B32)/B47/(B44)</f>
        <v>-1.1028374067486764E-4</v>
      </c>
      <c r="C75" s="68">
        <f t="shared" ref="C75:AC75" si="74">((1+C35)^C42)*C35/(((1+C35)^C42)-1)*(C32)/C47/(C44)</f>
        <v>-1.1082299325753238E-4</v>
      </c>
      <c r="D75" s="68">
        <f t="shared" si="74"/>
        <v>-1.115886546220943E-4</v>
      </c>
      <c r="E75" s="68">
        <f t="shared" si="74"/>
        <v>-1.1267084338554303E-4</v>
      </c>
      <c r="F75" s="68">
        <f t="shared" si="74"/>
        <v>-1.1419021688512248E-4</v>
      </c>
      <c r="G75" s="68">
        <f t="shared" si="74"/>
        <v>-1.1630269759919755E-4</v>
      </c>
      <c r="H75" s="68">
        <f t="shared" si="74"/>
        <v>-1.1919882963013374E-4</v>
      </c>
      <c r="I75" s="68">
        <f t="shared" si="74"/>
        <v>-1.230909207427501E-4</v>
      </c>
      <c r="J75" s="68">
        <f t="shared" si="74"/>
        <v>-1.2817863572364536E-4</v>
      </c>
      <c r="K75" s="68">
        <f t="shared" si="74"/>
        <v>-1.345857528066375E-4</v>
      </c>
      <c r="L75" s="68">
        <f t="shared" si="74"/>
        <v>-1.4227410938990337E-4</v>
      </c>
      <c r="M75" s="68">
        <f t="shared" si="74"/>
        <v>-1.5096790045692366E-4</v>
      </c>
      <c r="N75" s="68">
        <f t="shared" si="74"/>
        <v>-1.6014590001664974E-4</v>
      </c>
      <c r="O75" s="68">
        <f t="shared" si="74"/>
        <v>-1.6914329371200715E-4</v>
      </c>
      <c r="P75" s="68">
        <f t="shared" si="74"/>
        <v>-1.7733380639123428E-4</v>
      </c>
      <c r="Q75" s="68">
        <f t="shared" si="74"/>
        <v>-1.842945758171425E-4</v>
      </c>
      <c r="R75" s="68">
        <f t="shared" si="74"/>
        <v>-1.8986890552412014E-4</v>
      </c>
      <c r="S75" s="68">
        <f t="shared" si="74"/>
        <v>-1.9412236649695181E-4</v>
      </c>
      <c r="T75" s="68">
        <f t="shared" si="74"/>
        <v>-1.9724900144004614E-4</v>
      </c>
      <c r="U75" s="68">
        <f t="shared" si="74"/>
        <v>-1.9948450019238032E-4</v>
      </c>
      <c r="V75" s="68">
        <f t="shared" si="74"/>
        <v>-2.0105125468009212E-4</v>
      </c>
      <c r="W75" s="68">
        <f t="shared" si="74"/>
        <v>-2.0213397833135783E-4</v>
      </c>
      <c r="X75" s="68">
        <f t="shared" si="74"/>
        <v>-2.0287494008010802E-4</v>
      </c>
      <c r="Y75" s="68">
        <f t="shared" si="74"/>
        <v>-2.0337863265920998E-4</v>
      </c>
      <c r="Z75" s="68">
        <f t="shared" si="74"/>
        <v>-2.0371947582269707E-4</v>
      </c>
      <c r="AA75" s="68">
        <f t="shared" si="74"/>
        <v>-2.0394940897663265E-4</v>
      </c>
      <c r="AB75" s="68">
        <f t="shared" si="74"/>
        <v>-2.0410419883365111E-4</v>
      </c>
      <c r="AC75" s="68">
        <f t="shared" si="74"/>
        <v>-2.0420825625581466E-4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3.235203975384487E-3</v>
      </c>
      <c r="C79" s="66">
        <f t="shared" ref="C79:AC79" si="78">C37/C47/(C44)</f>
        <v>3.228311912499835E-3</v>
      </c>
      <c r="D79" s="66">
        <f t="shared" si="78"/>
        <v>3.2185261711931679E-3</v>
      </c>
      <c r="E79" s="66">
        <f t="shared" si="78"/>
        <v>3.2046949662058941E-3</v>
      </c>
      <c r="F79" s="66">
        <f t="shared" si="78"/>
        <v>3.1852762039393709E-3</v>
      </c>
      <c r="G79" s="66">
        <f t="shared" si="78"/>
        <v>3.1582770751599136E-3</v>
      </c>
      <c r="H79" s="66">
        <f t="shared" si="78"/>
        <v>3.1212622796426945E-3</v>
      </c>
      <c r="I79" s="66">
        <f t="shared" si="78"/>
        <v>3.0715183608126854E-3</v>
      </c>
      <c r="J79" s="66">
        <f t="shared" si="78"/>
        <v>3.0064934490834873E-3</v>
      </c>
      <c r="K79" s="66">
        <f t="shared" si="78"/>
        <v>2.9246055633971525E-3</v>
      </c>
      <c r="L79" s="66">
        <f t="shared" si="78"/>
        <v>2.826342451165679E-3</v>
      </c>
      <c r="M79" s="66">
        <f t="shared" si="78"/>
        <v>2.7152291126929309E-3</v>
      </c>
      <c r="N79" s="66">
        <f t="shared" si="78"/>
        <v>2.5979272171538078E-3</v>
      </c>
      <c r="O79" s="66">
        <f t="shared" si="78"/>
        <v>2.4829336035118526E-3</v>
      </c>
      <c r="P79" s="66">
        <f t="shared" si="78"/>
        <v>2.37825255003627E-3</v>
      </c>
      <c r="Q79" s="66">
        <f t="shared" si="78"/>
        <v>2.2892885614507032E-3</v>
      </c>
      <c r="R79" s="66">
        <f t="shared" si="78"/>
        <v>2.218044339141322E-3</v>
      </c>
      <c r="S79" s="66">
        <f t="shared" si="78"/>
        <v>2.1636818354750301E-3</v>
      </c>
      <c r="T79" s="66">
        <f t="shared" si="78"/>
        <v>2.12372103540121E-3</v>
      </c>
      <c r="U79" s="66">
        <f t="shared" si="78"/>
        <v>2.0951496414479101E-3</v>
      </c>
      <c r="V79" s="66">
        <f t="shared" si="78"/>
        <v>2.0751253137001203E-3</v>
      </c>
      <c r="W79" s="66">
        <f t="shared" si="78"/>
        <v>2.0612872724350261E-3</v>
      </c>
      <c r="X79" s="66">
        <f t="shared" si="78"/>
        <v>2.0518172112212762E-3</v>
      </c>
      <c r="Y79" s="66">
        <f t="shared" si="78"/>
        <v>2.0453796325405234E-3</v>
      </c>
      <c r="Z79" s="66">
        <f t="shared" si="78"/>
        <v>2.0410233946808022E-3</v>
      </c>
      <c r="AA79" s="66">
        <f t="shared" si="78"/>
        <v>2.0380846720726327E-3</v>
      </c>
      <c r="AB79" s="66">
        <f t="shared" si="78"/>
        <v>2.0361063386111484E-3</v>
      </c>
      <c r="AC79" s="66">
        <f t="shared" si="78"/>
        <v>2.0347764046985059E-3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1.2146455635179375E-3</v>
      </c>
      <c r="C81" s="66">
        <f t="shared" ref="C81:AC81" si="80">C39*C40*C47/C47/(C44)</f>
        <v>1.2146455635179375E-3</v>
      </c>
      <c r="D81" s="66">
        <f t="shared" si="80"/>
        <v>1.2146455635179375E-3</v>
      </c>
      <c r="E81" s="66">
        <f t="shared" si="80"/>
        <v>1.2146455635179375E-3</v>
      </c>
      <c r="F81" s="66">
        <f t="shared" si="80"/>
        <v>1.2146455635179375E-3</v>
      </c>
      <c r="G81" s="66">
        <f t="shared" si="80"/>
        <v>1.2146455635179375E-3</v>
      </c>
      <c r="H81" s="66">
        <f t="shared" si="80"/>
        <v>1.2146455635179375E-3</v>
      </c>
      <c r="I81" s="66">
        <f t="shared" si="80"/>
        <v>1.2146455635179375E-3</v>
      </c>
      <c r="J81" s="66">
        <f t="shared" si="80"/>
        <v>1.2456365187521749E-3</v>
      </c>
      <c r="K81" s="66">
        <f t="shared" si="80"/>
        <v>1.2766274739864124E-3</v>
      </c>
      <c r="L81" s="66">
        <f t="shared" si="80"/>
        <v>1.3076184292206499E-3</v>
      </c>
      <c r="M81" s="66">
        <f t="shared" si="80"/>
        <v>1.3386093844548876E-3</v>
      </c>
      <c r="N81" s="66">
        <f t="shared" si="80"/>
        <v>1.3696003396891248E-3</v>
      </c>
      <c r="O81" s="66">
        <f t="shared" si="80"/>
        <v>1.3566041326554124E-3</v>
      </c>
      <c r="P81" s="66">
        <f t="shared" si="80"/>
        <v>1.3436079256216996E-3</v>
      </c>
      <c r="Q81" s="66">
        <f t="shared" si="80"/>
        <v>1.3306117185879871E-3</v>
      </c>
      <c r="R81" s="66">
        <f t="shared" si="80"/>
        <v>1.3176155115542745E-3</v>
      </c>
      <c r="S81" s="66">
        <f t="shared" si="80"/>
        <v>1.3046193045205623E-3</v>
      </c>
      <c r="T81" s="66">
        <f t="shared" si="80"/>
        <v>1.2916230974868495E-3</v>
      </c>
      <c r="U81" s="66">
        <f t="shared" si="80"/>
        <v>1.2786268904531372E-3</v>
      </c>
      <c r="V81" s="66">
        <f t="shared" si="80"/>
        <v>1.2656306834194246E-3</v>
      </c>
      <c r="W81" s="66">
        <f t="shared" si="80"/>
        <v>1.252634476385712E-3</v>
      </c>
      <c r="X81" s="66">
        <f t="shared" si="80"/>
        <v>1.2396382693519996E-3</v>
      </c>
      <c r="Y81" s="66">
        <f t="shared" si="80"/>
        <v>1.226642062318287E-3</v>
      </c>
      <c r="Z81" s="66">
        <f t="shared" si="80"/>
        <v>1.2136458552845747E-3</v>
      </c>
      <c r="AA81" s="66">
        <f t="shared" si="80"/>
        <v>1.2006496482508621E-3</v>
      </c>
      <c r="AB81" s="66">
        <f t="shared" si="80"/>
        <v>1.1876534412171497E-3</v>
      </c>
      <c r="AC81" s="66">
        <f t="shared" si="80"/>
        <v>1.1746572341834374E-3</v>
      </c>
    </row>
    <row r="82" spans="1:29" x14ac:dyDescent="0.25">
      <c r="A82" s="59" t="str">
        <f>A45</f>
        <v>Market failure (av. utilization)</v>
      </c>
      <c r="B82" s="66">
        <f t="shared" ref="B82:AC82" si="81">B71/B45-B71/B44</f>
        <v>6.0113711596236075E-3</v>
      </c>
      <c r="C82" s="66">
        <f t="shared" si="81"/>
        <v>6.0045910768639667E-3</v>
      </c>
      <c r="D82" s="66">
        <f t="shared" si="81"/>
        <v>5.9949643312822622E-3</v>
      </c>
      <c r="E82" s="66">
        <f t="shared" si="81"/>
        <v>5.9813578514737106E-3</v>
      </c>
      <c r="F82" s="66">
        <f t="shared" si="81"/>
        <v>5.9622545993037335E-3</v>
      </c>
      <c r="G82" s="66">
        <f t="shared" si="81"/>
        <v>5.9356941440921879E-3</v>
      </c>
      <c r="H82" s="66">
        <f t="shared" si="81"/>
        <v>5.8992807536257658E-3</v>
      </c>
      <c r="I82" s="66">
        <f t="shared" si="81"/>
        <v>5.8503450587400665E-3</v>
      </c>
      <c r="J82" s="66">
        <f t="shared" si="81"/>
        <v>5.8038090641627238E-3</v>
      </c>
      <c r="K82" s="66">
        <f t="shared" si="81"/>
        <v>5.7406840800598106E-3</v>
      </c>
      <c r="L82" s="66">
        <f t="shared" si="81"/>
        <v>5.6614499290728888E-3</v>
      </c>
      <c r="M82" s="66">
        <f t="shared" si="81"/>
        <v>5.569574338381466E-3</v>
      </c>
      <c r="N82" s="66">
        <f t="shared" si="81"/>
        <v>5.4716107404017989E-3</v>
      </c>
      <c r="O82" s="66">
        <f t="shared" si="81"/>
        <v>5.3511751412869107E-3</v>
      </c>
      <c r="P82" s="66">
        <f t="shared" si="81"/>
        <v>5.2408845470220938E-3</v>
      </c>
      <c r="Q82" s="66">
        <f t="shared" si="81"/>
        <v>5.1460556515949742E-3</v>
      </c>
      <c r="R82" s="66">
        <f t="shared" si="81"/>
        <v>5.0686586171135237E-3</v>
      </c>
      <c r="S82" s="66">
        <f t="shared" si="81"/>
        <v>5.0078690122856862E-3</v>
      </c>
      <c r="T82" s="66">
        <f t="shared" si="81"/>
        <v>4.961247116585148E-3</v>
      </c>
      <c r="U82" s="66">
        <f t="shared" si="81"/>
        <v>4.925829575425868E-3</v>
      </c>
      <c r="V82" s="66">
        <f t="shared" si="81"/>
        <v>4.8988202303604667E-3</v>
      </c>
      <c r="W82" s="66">
        <f t="shared" si="81"/>
        <v>4.8778966588913786E-3</v>
      </c>
      <c r="X82" s="66">
        <f t="shared" si="81"/>
        <v>4.861270097872749E-3</v>
      </c>
      <c r="Y82" s="66">
        <f t="shared" si="81"/>
        <v>4.8476267485405185E-3</v>
      </c>
      <c r="Z82" s="66">
        <f t="shared" si="81"/>
        <v>4.8360309230416863E-3</v>
      </c>
      <c r="AA82" s="66">
        <f t="shared" si="81"/>
        <v>4.8258295814411368E-3</v>
      </c>
      <c r="AB82" s="66">
        <f t="shared" si="81"/>
        <v>4.8165730248788188E-3</v>
      </c>
      <c r="AC82" s="66">
        <f t="shared" si="81"/>
        <v>4.8079543328682396E-3</v>
      </c>
    </row>
    <row r="83" spans="1:29" x14ac:dyDescent="0.25">
      <c r="A83" s="59" t="str">
        <f>A46</f>
        <v>Payload loss (fuel)</v>
      </c>
      <c r="B83" s="66">
        <f>B71/(B44-B46)-B71/B44</f>
        <v>3.9310156750901361E-4</v>
      </c>
      <c r="C83" s="66">
        <f t="shared" ref="C83:AC83" si="82">C71/(C44-C46)-C71/C44</f>
        <v>3.9150004844931523E-4</v>
      </c>
      <c r="D83" s="66">
        <f t="shared" si="82"/>
        <v>3.8923102978147966E-4</v>
      </c>
      <c r="E83" s="66">
        <f t="shared" si="82"/>
        <v>3.8603381027924391E-4</v>
      </c>
      <c r="F83" s="66">
        <f t="shared" si="82"/>
        <v>3.8156437045762555E-4</v>
      </c>
      <c r="G83" s="66">
        <f t="shared" si="82"/>
        <v>3.7538784480047396E-4</v>
      </c>
      <c r="H83" s="66">
        <f t="shared" si="82"/>
        <v>3.6699109257099828E-4</v>
      </c>
      <c r="I83" s="66">
        <f t="shared" si="82"/>
        <v>3.5583591399401988E-4</v>
      </c>
      <c r="J83" s="66">
        <f t="shared" si="82"/>
        <v>3.4250552304977526E-4</v>
      </c>
      <c r="K83" s="66">
        <f t="shared" si="82"/>
        <v>3.2573024317295377E-4</v>
      </c>
      <c r="L83" s="66">
        <f t="shared" si="82"/>
        <v>3.0583291081993404E-4</v>
      </c>
      <c r="M83" s="66">
        <f t="shared" si="82"/>
        <v>2.8379079159480611E-4</v>
      </c>
      <c r="N83" s="66">
        <f t="shared" si="82"/>
        <v>2.6114695369375968E-4</v>
      </c>
      <c r="O83" s="66">
        <f t="shared" si="82"/>
        <v>2.3853390871535381E-4</v>
      </c>
      <c r="P83" s="66">
        <f t="shared" si="82"/>
        <v>2.1863102960668034E-4</v>
      </c>
      <c r="Q83" s="66">
        <f t="shared" si="82"/>
        <v>2.0220536503614411E-4</v>
      </c>
      <c r="R83" s="66">
        <f t="shared" si="82"/>
        <v>1.8935190770954374E-4</v>
      </c>
      <c r="S83" s="66">
        <f t="shared" si="82"/>
        <v>1.7969744421560824E-4</v>
      </c>
      <c r="T83" s="66">
        <f t="shared" si="82"/>
        <v>1.7265513111535888E-4</v>
      </c>
      <c r="U83" s="66">
        <f t="shared" si="82"/>
        <v>1.6761485111314346E-4</v>
      </c>
      <c r="V83" s="66">
        <f t="shared" si="82"/>
        <v>1.6404368999570554E-4</v>
      </c>
      <c r="W83" s="66">
        <f t="shared" si="82"/>
        <v>1.6151902548083505E-4</v>
      </c>
      <c r="X83" s="66">
        <f t="shared" si="82"/>
        <v>1.5972490585145112E-4</v>
      </c>
      <c r="Y83" s="66">
        <f t="shared" si="82"/>
        <v>1.584338448039329E-4</v>
      </c>
      <c r="Z83" s="66">
        <f t="shared" si="82"/>
        <v>1.5748601257941329E-4</v>
      </c>
      <c r="AA83" s="66">
        <f t="shared" si="82"/>
        <v>1.567709097879226E-4</v>
      </c>
      <c r="AB83" s="66">
        <f t="shared" si="82"/>
        <v>1.562129536689192E-4</v>
      </c>
      <c r="AC83" s="66">
        <f t="shared" si="82"/>
        <v>1.5576081099902099E-4</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210</v>
      </c>
      <c r="B85" s="77">
        <f>B74+B75+B76+B77+B78+B79+B80+B81+B82+B83+B84</f>
        <v>1.7015042906868429E-2</v>
      </c>
      <c r="C85" s="77">
        <f t="shared" ref="C85:AC85" si="84">C74+C75+C76+C77+C78+C79+C80+C81+C82+C83+C84</f>
        <v>1.6994607824587504E-2</v>
      </c>
      <c r="D85" s="77">
        <f t="shared" si="84"/>
        <v>1.6965597845970487E-2</v>
      </c>
      <c r="E85" s="77">
        <f t="shared" si="84"/>
        <v>1.6924604849222275E-2</v>
      </c>
      <c r="F85" s="77">
        <f t="shared" si="84"/>
        <v>1.6867070820039611E-2</v>
      </c>
      <c r="G85" s="77">
        <f t="shared" si="84"/>
        <v>1.6787115252128167E-2</v>
      </c>
      <c r="H85" s="77">
        <f t="shared" si="84"/>
        <v>1.6677570193047518E-2</v>
      </c>
      <c r="I85" s="77">
        <f t="shared" si="84"/>
        <v>1.6530482528676928E-2</v>
      </c>
      <c r="J85" s="77">
        <f t="shared" si="84"/>
        <v>1.6387885486128954E-2</v>
      </c>
      <c r="K85" s="77">
        <f t="shared" si="84"/>
        <v>1.6195763028188485E-2</v>
      </c>
      <c r="L85" s="77">
        <f t="shared" si="84"/>
        <v>1.5955770831982907E-2</v>
      </c>
      <c r="M85" s="77">
        <f t="shared" si="84"/>
        <v>1.5678518738614936E-2</v>
      </c>
      <c r="N85" s="77">
        <f t="shared" si="84"/>
        <v>1.5383753795214818E-2</v>
      </c>
      <c r="O85" s="77">
        <f t="shared" si="84"/>
        <v>1.5026597419361718E-2</v>
      </c>
      <c r="P85" s="77">
        <f t="shared" si="84"/>
        <v>1.4700331778406331E-2</v>
      </c>
      <c r="Q85" s="77">
        <f t="shared" si="84"/>
        <v>1.4420492515427132E-2</v>
      </c>
      <c r="R85" s="77">
        <f t="shared" si="84"/>
        <v>1.4192647295652059E-2</v>
      </c>
      <c r="S85" s="77">
        <f t="shared" si="84"/>
        <v>1.4014132818747466E-2</v>
      </c>
      <c r="T85" s="77">
        <f t="shared" si="84"/>
        <v>1.3877585239812383E-2</v>
      </c>
      <c r="U85" s="77">
        <f t="shared" si="84"/>
        <v>1.3774162901034392E-2</v>
      </c>
      <c r="V85" s="77">
        <f t="shared" si="84"/>
        <v>1.3695565781401952E-2</v>
      </c>
      <c r="W85" s="77">
        <f t="shared" si="84"/>
        <v>1.36349200850285E-2</v>
      </c>
      <c r="X85" s="77">
        <f t="shared" si="84"/>
        <v>1.35869410736807E-2</v>
      </c>
      <c r="Y85" s="77">
        <f t="shared" si="84"/>
        <v>1.3547751820043653E-2</v>
      </c>
      <c r="Z85" s="77">
        <f t="shared" si="84"/>
        <v>1.3514593361433493E-2</v>
      </c>
      <c r="AA85" s="77">
        <f t="shared" si="84"/>
        <v>1.3485541198640472E-2</v>
      </c>
      <c r="AB85" s="77">
        <f t="shared" si="84"/>
        <v>1.345927058540392E-2</v>
      </c>
      <c r="AC85" s="77">
        <f t="shared" si="84"/>
        <v>1.3434877631593524E-2</v>
      </c>
    </row>
    <row r="87" spans="1:29" x14ac:dyDescent="0.25">
      <c r="B87" s="40"/>
    </row>
    <row r="107" spans="1:2" s="3" customFormat="1" ht="21" x14ac:dyDescent="0.35">
      <c r="A107" s="2" t="str">
        <f>'Parameter Input'!A158</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Input'!$L$171</f>
        <v>10000000</v>
      </c>
      <c r="C117" s="42">
        <f>'Parameter Input'!$M$171</f>
        <v>6250000</v>
      </c>
      <c r="D117" s="1" t="s">
        <v>15</v>
      </c>
      <c r="L117" s="51">
        <f>'Parameter Input'!$O$171</f>
        <v>12</v>
      </c>
      <c r="M117" s="52">
        <v>0</v>
      </c>
      <c r="N117" s="52">
        <v>1</v>
      </c>
      <c r="O117" s="52">
        <f>'Parameter Input'!$P$171</f>
        <v>0.9</v>
      </c>
      <c r="P117" s="53">
        <f>'Parameter Input'!$Q$171</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28</v>
      </c>
      <c r="B118" s="60">
        <f>'Parameter Input'!$L$172</f>
        <v>-500000</v>
      </c>
      <c r="C118" s="61">
        <f>'Parameter Input'!$M$172</f>
        <v>-937500</v>
      </c>
      <c r="D118" s="1" t="s">
        <v>15</v>
      </c>
      <c r="L118" s="54">
        <f>'Parameter Input'!$O$172</f>
        <v>12</v>
      </c>
      <c r="M118" s="37">
        <v>0</v>
      </c>
      <c r="N118" s="37">
        <v>1</v>
      </c>
      <c r="O118" s="37">
        <f>'Parameter Input'!$P$172</f>
        <v>0.9</v>
      </c>
      <c r="P118" s="55">
        <f>'Parameter Input'!$Q$172</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79</v>
      </c>
      <c r="B121" s="45">
        <f>'Parameter Input'!$L$178</f>
        <v>0.06</v>
      </c>
      <c r="C121" s="46">
        <f>'Parameter Input'!$M$178</f>
        <v>0.06</v>
      </c>
      <c r="D121" s="1" t="s">
        <v>57</v>
      </c>
      <c r="L121" s="54">
        <f>'Parameter Input'!$O$178</f>
        <v>12</v>
      </c>
      <c r="M121" s="37">
        <v>0</v>
      </c>
      <c r="N121" s="37">
        <v>1</v>
      </c>
      <c r="O121" s="37">
        <f>'Parameter Input'!$P$178</f>
        <v>0.9</v>
      </c>
      <c r="P121" s="55">
        <f>'Parameter Input'!$Q$178</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52</v>
      </c>
      <c r="B123" s="43">
        <f>'Parameter Input'!$L$174</f>
        <v>1300000</v>
      </c>
      <c r="C123" s="44">
        <f>'Parameter Input'!$M$174</f>
        <v>812500</v>
      </c>
      <c r="D123" s="1" t="s">
        <v>38</v>
      </c>
      <c r="L123" s="54">
        <f>'Parameter Input'!$O$174</f>
        <v>12</v>
      </c>
      <c r="M123" s="37">
        <v>0</v>
      </c>
      <c r="N123" s="37">
        <v>1</v>
      </c>
      <c r="O123" s="37">
        <f>'Parameter Input'!$P$174</f>
        <v>0.9</v>
      </c>
      <c r="P123" s="55">
        <f>'Parameter Input'!$Q$174</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59</v>
      </c>
      <c r="B125" s="47">
        <f>'Parameter Input'!$L$175</f>
        <v>33.590199999999996</v>
      </c>
      <c r="C125" s="48">
        <f>'Parameter Input'!$M$175</f>
        <v>33.590199999999996</v>
      </c>
      <c r="D125" s="1" t="s">
        <v>60</v>
      </c>
      <c r="L125" s="54">
        <f>'Parameter Input'!$O$175</f>
        <v>12</v>
      </c>
      <c r="M125" s="37">
        <v>0</v>
      </c>
      <c r="N125" s="37">
        <v>1</v>
      </c>
      <c r="O125" s="37">
        <f>'Parameter Input'!$P$175</f>
        <v>0.9</v>
      </c>
      <c r="P125" s="55">
        <f>'Parameter Input'!$Q$175</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67</v>
      </c>
      <c r="B126" s="45">
        <f>'Parameter Input'!$L$176</f>
        <v>0.13371034051801745</v>
      </c>
      <c r="C126" s="46">
        <f>'Parameter Input'!$M$176</f>
        <v>8.7585019329602734E-2</v>
      </c>
      <c r="D126" s="1" t="s">
        <v>68</v>
      </c>
      <c r="L126" s="54">
        <f>'Parameter Input'!$O$176</f>
        <v>12</v>
      </c>
      <c r="M126" s="37">
        <v>0</v>
      </c>
      <c r="N126" s="37">
        <v>1</v>
      </c>
      <c r="O126" s="37">
        <f>'Parameter Input'!$P$176</f>
        <v>0.9</v>
      </c>
      <c r="P126" s="55">
        <f>'Parameter Input'!$Q$176</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206</v>
      </c>
      <c r="B127" s="115">
        <f>'Parameter Input'!$L$179</f>
        <v>0</v>
      </c>
      <c r="C127" s="116">
        <f>'Parameter Input'!$M$179</f>
        <v>0</v>
      </c>
      <c r="D127" s="1" t="s">
        <v>76</v>
      </c>
      <c r="L127" s="54">
        <f>'Parameter Input'!$O$179</f>
        <v>17</v>
      </c>
      <c r="M127" s="37">
        <v>0</v>
      </c>
      <c r="N127" s="37">
        <v>1</v>
      </c>
      <c r="O127" s="37">
        <f>'Parameter Input'!$P$179</f>
        <v>0.9</v>
      </c>
      <c r="P127" s="55">
        <f>'Parameter Input'!$Q$179</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41</v>
      </c>
      <c r="B128" s="43">
        <f>'Parameter Input'!$L$173</f>
        <v>20</v>
      </c>
      <c r="C128" s="44">
        <f>'Parameter Input'!$M$173</f>
        <v>20</v>
      </c>
      <c r="D128" s="1" t="s">
        <v>42</v>
      </c>
      <c r="L128" s="54">
        <f>'Parameter Input'!$O$173</f>
        <v>12</v>
      </c>
      <c r="M128" s="37">
        <v>0</v>
      </c>
      <c r="N128" s="37">
        <v>1</v>
      </c>
      <c r="O128" s="37">
        <f>'Parameter Input'!$P$173</f>
        <v>0.9</v>
      </c>
      <c r="P128" s="55">
        <f>'Parameter Input'!$Q$173</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73</v>
      </c>
      <c r="B132" s="72">
        <f>'Parameter Input'!$L$177</f>
        <v>3.5714285714285712E-2</v>
      </c>
      <c r="C132" s="73">
        <f>'Parameter Input'!$M$177</f>
        <v>1.7857142857142856E-2</v>
      </c>
      <c r="D132" s="1" t="s">
        <v>57</v>
      </c>
      <c r="L132" s="54">
        <f>'Parameter Input'!$O$177</f>
        <v>12</v>
      </c>
      <c r="M132" s="37">
        <v>0</v>
      </c>
      <c r="N132" s="37">
        <v>1</v>
      </c>
      <c r="O132" s="37">
        <f>'Parameter Input'!$P$177</f>
        <v>0.9</v>
      </c>
      <c r="P132" s="55">
        <f>'Parameter Input'!$Q$177</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9950491.9809056409</v>
      </c>
      <c r="C137" s="62">
        <f t="shared" ref="C137:C145" si="92">$B117+($C117-$B117)*(1-R117)</f>
        <v>9929294.1161071844</v>
      </c>
      <c r="D137" s="62">
        <f t="shared" ref="D137:D145" si="93">$B117+($C117-$B117)*(1-S117)</f>
        <v>9899196.186845202</v>
      </c>
      <c r="E137" s="62">
        <f t="shared" ref="E137:E145" si="94">$B117+($C117-$B117)*(1-T117)</f>
        <v>9856655.6560597289</v>
      </c>
      <c r="F137" s="62">
        <f t="shared" ref="F137:F145" si="95">$B117+($C117-$B117)*(1-U117)</f>
        <v>9796929.5183316767</v>
      </c>
      <c r="G137" s="62">
        <f t="shared" ref="G137:G145" si="96">$B117+($C117-$B117)*(1-V117)</f>
        <v>9713888.5056303069</v>
      </c>
      <c r="H137" s="62">
        <f t="shared" ref="H137:H145" si="97">$B117+($C117-$B117)*(1-W117)</f>
        <v>9600042.3837871924</v>
      </c>
      <c r="I137" s="62">
        <f t="shared" ref="I137:I145" si="98">$B117+($C117-$B117)*(1-X117)</f>
        <v>9447045.3952872623</v>
      </c>
      <c r="J137" s="62">
        <f t="shared" ref="J137:J145" si="99">$B117+($C117-$B117)*(1-Y117)</f>
        <v>9247048.7744733952</v>
      </c>
      <c r="K137" s="62">
        <f t="shared" ref="K137:K145" si="100">$B117+($C117-$B117)*(1-Z117)</f>
        <v>8995186.8343747519</v>
      </c>
      <c r="L137" s="62">
        <f t="shared" ref="L137:L145" si="101">$B117+($C117-$B117)*(1-AA117)</f>
        <v>8692959.7359545007</v>
      </c>
      <c r="M137" s="62">
        <f t="shared" ref="M137:M145" si="102">$B117+($C117-$B117)*(1-AB117)</f>
        <v>8351209.2955318587</v>
      </c>
      <c r="N137" s="62">
        <f t="shared" ref="N137:N145" si="103">$B117+($C117-$B117)*(1-AC117)</f>
        <v>7990424.7577444501</v>
      </c>
      <c r="O137" s="62">
        <f t="shared" ref="O137:O145" si="104">$B117+($C117-$B117)*(1-AD117)</f>
        <v>7636739.7848321479</v>
      </c>
      <c r="P137" s="62">
        <f t="shared" ref="P137:P145" si="105">$B117+($C117-$B117)*(1-AE117)</f>
        <v>7314773.0738961697</v>
      </c>
      <c r="Q137" s="62">
        <f t="shared" ref="Q137:Q145" si="106">$B117+($C117-$B117)*(1-AF117)</f>
        <v>7041147.2185419146</v>
      </c>
      <c r="R137" s="62">
        <f t="shared" ref="R137:R145" si="107">$B117+($C117-$B117)*(1-AG117)</f>
        <v>6822021.912017433</v>
      </c>
      <c r="S137" s="62">
        <f t="shared" ref="S137:S145" si="108">$B117+($C117-$B117)*(1-AH117)</f>
        <v>6654819.5776641248</v>
      </c>
      <c r="T137" s="62">
        <f t="shared" ref="T137:T145" si="109">$B117+($C117-$B117)*(1-AI117)</f>
        <v>6531912.4522678442</v>
      </c>
      <c r="U137" s="62">
        <f t="shared" ref="U137:U145" si="110">$B117+($C117-$B117)*(1-AJ117)</f>
        <v>6444035.6356656328</v>
      </c>
      <c r="V137" s="62">
        <f t="shared" ref="V137:V145" si="111">$B117+($C117-$B117)*(1-AK117)</f>
        <v>6382446.9648450473</v>
      </c>
      <c r="W137" s="62">
        <f t="shared" ref="W137:W145" si="112">$B117+($C117-$B117)*(1-AL117)</f>
        <v>6339885.4077724684</v>
      </c>
      <c r="X137" s="62">
        <f t="shared" ref="X137:X145" si="113">$B117+($C117-$B117)*(1-AM117)</f>
        <v>6310758.4133439614</v>
      </c>
      <c r="Y137" s="62">
        <f t="shared" ref="Y137:Y145" si="114">$B117+($C117-$B117)*(1-AN117)</f>
        <v>6290958.4021154065</v>
      </c>
      <c r="Z137" s="62">
        <f t="shared" ref="Z137:Z145" si="115">$B117+($C117-$B117)*(1-AO117)</f>
        <v>6277559.9548397847</v>
      </c>
      <c r="AA137" s="62">
        <f t="shared" ref="AA137:AA145" si="116">$B117+($C117-$B117)*(1-AP117)</f>
        <v>6268521.3483193964</v>
      </c>
      <c r="AB137" s="62">
        <f t="shared" ref="AB137:AB145" si="117">$B117+($C117-$B117)*(1-AQ117)</f>
        <v>6262436.6033098586</v>
      </c>
      <c r="AC137" s="62">
        <f t="shared" ref="AC137:AC145" si="118">$B117+($C117-$B117)*(1-AR117)</f>
        <v>6258346.1358050052</v>
      </c>
    </row>
    <row r="138" spans="1:44" x14ac:dyDescent="0.25">
      <c r="A138" s="30" t="str">
        <f t="shared" si="90"/>
        <v>Residual value (vehicle)</v>
      </c>
      <c r="B138" s="62">
        <f t="shared" si="91"/>
        <v>-505775.93556100863</v>
      </c>
      <c r="C138" s="62">
        <f t="shared" si="92"/>
        <v>-508249.01978749514</v>
      </c>
      <c r="D138" s="62">
        <f t="shared" si="93"/>
        <v>-511760.44486805983</v>
      </c>
      <c r="E138" s="62">
        <f t="shared" si="94"/>
        <v>-516723.50679303159</v>
      </c>
      <c r="F138" s="62">
        <f t="shared" si="95"/>
        <v>-523691.55619463779</v>
      </c>
      <c r="G138" s="62">
        <f t="shared" si="96"/>
        <v>-533379.67434313102</v>
      </c>
      <c r="H138" s="62">
        <f t="shared" si="97"/>
        <v>-546661.72189149424</v>
      </c>
      <c r="I138" s="62">
        <f t="shared" si="98"/>
        <v>-564511.37054981932</v>
      </c>
      <c r="J138" s="62">
        <f t="shared" si="99"/>
        <v>-587844.30964477046</v>
      </c>
      <c r="K138" s="62">
        <f t="shared" si="100"/>
        <v>-617228.20265627897</v>
      </c>
      <c r="L138" s="62">
        <f t="shared" si="101"/>
        <v>-652488.03080530826</v>
      </c>
      <c r="M138" s="62">
        <f t="shared" si="102"/>
        <v>-692358.91552128317</v>
      </c>
      <c r="N138" s="62">
        <f t="shared" si="103"/>
        <v>-734450.44492981408</v>
      </c>
      <c r="O138" s="62">
        <f t="shared" si="104"/>
        <v>-775713.6917695828</v>
      </c>
      <c r="P138" s="62">
        <f t="shared" si="105"/>
        <v>-813276.4747121135</v>
      </c>
      <c r="Q138" s="62">
        <f t="shared" si="106"/>
        <v>-845199.49117010995</v>
      </c>
      <c r="R138" s="62">
        <f t="shared" si="107"/>
        <v>-870764.11026463285</v>
      </c>
      <c r="S138" s="62">
        <f t="shared" si="108"/>
        <v>-890271.04927251884</v>
      </c>
      <c r="T138" s="62">
        <f t="shared" si="109"/>
        <v>-904610.21390208486</v>
      </c>
      <c r="U138" s="62">
        <f t="shared" si="110"/>
        <v>-914862.50917234272</v>
      </c>
      <c r="V138" s="62">
        <f t="shared" si="111"/>
        <v>-922047.85410141107</v>
      </c>
      <c r="W138" s="62">
        <f t="shared" si="112"/>
        <v>-927013.36909321207</v>
      </c>
      <c r="X138" s="62">
        <f t="shared" si="113"/>
        <v>-930411.51844320446</v>
      </c>
      <c r="Y138" s="62">
        <f t="shared" si="114"/>
        <v>-932721.51975320256</v>
      </c>
      <c r="Z138" s="62">
        <f t="shared" si="115"/>
        <v>-934284.67193535855</v>
      </c>
      <c r="AA138" s="62">
        <f t="shared" si="116"/>
        <v>-935339.17602940369</v>
      </c>
      <c r="AB138" s="62">
        <f t="shared" si="117"/>
        <v>-936049.06294718315</v>
      </c>
      <c r="AC138" s="62">
        <f t="shared" si="118"/>
        <v>-936526.28415608278</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1293563.9575177333</v>
      </c>
      <c r="C143" s="62">
        <f t="shared" si="92"/>
        <v>1290808.235093934</v>
      </c>
      <c r="D143" s="62">
        <f t="shared" si="93"/>
        <v>1286895.5042898762</v>
      </c>
      <c r="E143" s="62">
        <f t="shared" si="94"/>
        <v>1281365.2352877648</v>
      </c>
      <c r="F143" s="62">
        <f t="shared" si="95"/>
        <v>1273600.837383118</v>
      </c>
      <c r="G143" s="62">
        <f t="shared" si="96"/>
        <v>1262805.5057319398</v>
      </c>
      <c r="H143" s="62">
        <f t="shared" si="97"/>
        <v>1248005.5098923349</v>
      </c>
      <c r="I143" s="62">
        <f t="shared" si="98"/>
        <v>1228115.9013873441</v>
      </c>
      <c r="J143" s="62">
        <f t="shared" si="99"/>
        <v>1202116.3406815415</v>
      </c>
      <c r="K143" s="62">
        <f t="shared" si="100"/>
        <v>1169374.2884687176</v>
      </c>
      <c r="L143" s="62">
        <f t="shared" si="101"/>
        <v>1130084.7656740851</v>
      </c>
      <c r="M143" s="62">
        <f t="shared" si="102"/>
        <v>1085657.2084191416</v>
      </c>
      <c r="N143" s="62">
        <f t="shared" si="103"/>
        <v>1038755.2185067786</v>
      </c>
      <c r="O143" s="62">
        <f t="shared" si="104"/>
        <v>992776.17202817916</v>
      </c>
      <c r="P143" s="62">
        <f t="shared" si="105"/>
        <v>950920.49960650213</v>
      </c>
      <c r="Q143" s="62">
        <f t="shared" si="106"/>
        <v>915349.13841044903</v>
      </c>
      <c r="R143" s="62">
        <f t="shared" si="107"/>
        <v>886862.84856226621</v>
      </c>
      <c r="S143" s="62">
        <f t="shared" si="108"/>
        <v>865126.54509633617</v>
      </c>
      <c r="T143" s="62">
        <f t="shared" si="109"/>
        <v>849148.61879481981</v>
      </c>
      <c r="U143" s="62">
        <f t="shared" si="110"/>
        <v>837724.6326365323</v>
      </c>
      <c r="V143" s="62">
        <f t="shared" si="111"/>
        <v>829718.10542985611</v>
      </c>
      <c r="W143" s="62">
        <f t="shared" si="112"/>
        <v>824185.10301042092</v>
      </c>
      <c r="X143" s="62">
        <f t="shared" si="113"/>
        <v>820398.59373471502</v>
      </c>
      <c r="Y143" s="62">
        <f t="shared" si="114"/>
        <v>817824.59227500285</v>
      </c>
      <c r="Z143" s="62">
        <f t="shared" si="115"/>
        <v>816082.79412917187</v>
      </c>
      <c r="AA143" s="62">
        <f t="shared" si="116"/>
        <v>814907.77528152149</v>
      </c>
      <c r="AB143" s="62">
        <f t="shared" si="117"/>
        <v>814116.75843028165</v>
      </c>
      <c r="AC143" s="62">
        <f t="shared" si="118"/>
        <v>813584.99765465059</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33.590199999999996</v>
      </c>
      <c r="C145" s="62">
        <f t="shared" si="92"/>
        <v>33.590199999999996</v>
      </c>
      <c r="D145" s="62">
        <f t="shared" si="93"/>
        <v>33.590199999999996</v>
      </c>
      <c r="E145" s="62">
        <f t="shared" si="94"/>
        <v>33.590199999999996</v>
      </c>
      <c r="F145" s="62">
        <f t="shared" si="95"/>
        <v>33.590199999999996</v>
      </c>
      <c r="G145" s="62">
        <f t="shared" si="96"/>
        <v>33.590199999999996</v>
      </c>
      <c r="H145" s="62">
        <f t="shared" si="97"/>
        <v>33.590199999999996</v>
      </c>
      <c r="I145" s="62">
        <f t="shared" si="98"/>
        <v>33.590199999999996</v>
      </c>
      <c r="J145" s="62">
        <f t="shared" si="99"/>
        <v>33.590199999999996</v>
      </c>
      <c r="K145" s="62">
        <f t="shared" si="100"/>
        <v>33.590199999999996</v>
      </c>
      <c r="L145" s="62">
        <f t="shared" si="101"/>
        <v>33.590199999999996</v>
      </c>
      <c r="M145" s="62">
        <f t="shared" si="102"/>
        <v>33.590199999999996</v>
      </c>
      <c r="N145" s="62">
        <f t="shared" si="103"/>
        <v>33.590199999999996</v>
      </c>
      <c r="O145" s="62">
        <f t="shared" si="104"/>
        <v>33.590199999999996</v>
      </c>
      <c r="P145" s="62">
        <f t="shared" si="105"/>
        <v>33.590199999999996</v>
      </c>
      <c r="Q145" s="62">
        <f t="shared" si="106"/>
        <v>33.590199999999996</v>
      </c>
      <c r="R145" s="62">
        <f t="shared" si="107"/>
        <v>33.590199999999996</v>
      </c>
      <c r="S145" s="62">
        <f t="shared" si="108"/>
        <v>33.590199999999996</v>
      </c>
      <c r="T145" s="62">
        <f t="shared" si="109"/>
        <v>33.590199999999996</v>
      </c>
      <c r="U145" s="62">
        <f t="shared" si="110"/>
        <v>33.590199999999996</v>
      </c>
      <c r="V145" s="62">
        <f t="shared" si="111"/>
        <v>33.590199999999996</v>
      </c>
      <c r="W145" s="62">
        <f t="shared" si="112"/>
        <v>33.590199999999996</v>
      </c>
      <c r="X145" s="62">
        <f t="shared" si="113"/>
        <v>33.590199999999996</v>
      </c>
      <c r="Y145" s="62">
        <f t="shared" si="114"/>
        <v>33.590199999999996</v>
      </c>
      <c r="Z145" s="62">
        <f t="shared" si="115"/>
        <v>33.590199999999996</v>
      </c>
      <c r="AA145" s="62">
        <f t="shared" si="116"/>
        <v>33.590199999999996</v>
      </c>
      <c r="AB145" s="62">
        <f t="shared" si="117"/>
        <v>33.590199999999996</v>
      </c>
      <c r="AC145" s="62">
        <f t="shared" si="118"/>
        <v>33.590199999999996</v>
      </c>
    </row>
    <row r="146" spans="1:29" x14ac:dyDescent="0.25">
      <c r="A146" s="30" t="str">
        <f t="shared" si="90"/>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9">A127</f>
        <v>Emission Cost</v>
      </c>
      <c r="B147" s="66">
        <f>$B127+($C127-$B127)*(1-Q127)</f>
        <v>0</v>
      </c>
      <c r="C147" s="66">
        <f t="shared" ref="C147:AC147" si="120">$B127+($C127-$B127)*(1-R127)</f>
        <v>0</v>
      </c>
      <c r="D147" s="66">
        <f t="shared" si="120"/>
        <v>0</v>
      </c>
      <c r="E147" s="66">
        <f t="shared" si="120"/>
        <v>0</v>
      </c>
      <c r="F147" s="66">
        <f t="shared" si="120"/>
        <v>0</v>
      </c>
      <c r="G147" s="66">
        <f t="shared" si="120"/>
        <v>0</v>
      </c>
      <c r="H147" s="66">
        <f t="shared" si="120"/>
        <v>0</v>
      </c>
      <c r="I147" s="66">
        <f t="shared" si="120"/>
        <v>0</v>
      </c>
      <c r="J147" s="66">
        <f t="shared" si="120"/>
        <v>0</v>
      </c>
      <c r="K147" s="66">
        <f t="shared" si="120"/>
        <v>0</v>
      </c>
      <c r="L147" s="66">
        <f t="shared" si="120"/>
        <v>0</v>
      </c>
      <c r="M147" s="66">
        <f t="shared" si="120"/>
        <v>0</v>
      </c>
      <c r="N147" s="66">
        <f t="shared" si="120"/>
        <v>0</v>
      </c>
      <c r="O147" s="66">
        <f t="shared" si="120"/>
        <v>0</v>
      </c>
      <c r="P147" s="66">
        <f t="shared" si="120"/>
        <v>0</v>
      </c>
      <c r="Q147" s="66">
        <f t="shared" si="120"/>
        <v>0</v>
      </c>
      <c r="R147" s="66">
        <f t="shared" si="120"/>
        <v>0</v>
      </c>
      <c r="S147" s="66">
        <f t="shared" si="120"/>
        <v>0</v>
      </c>
      <c r="T147" s="66">
        <f t="shared" si="120"/>
        <v>0</v>
      </c>
      <c r="U147" s="66">
        <f t="shared" si="120"/>
        <v>0</v>
      </c>
      <c r="V147" s="66">
        <f t="shared" si="120"/>
        <v>0</v>
      </c>
      <c r="W147" s="66">
        <f t="shared" si="120"/>
        <v>0</v>
      </c>
      <c r="X147" s="66">
        <f t="shared" si="120"/>
        <v>0</v>
      </c>
      <c r="Y147" s="66">
        <f t="shared" si="120"/>
        <v>0</v>
      </c>
      <c r="Z147" s="66">
        <f t="shared" si="120"/>
        <v>0</v>
      </c>
      <c r="AA147" s="66">
        <f t="shared" si="120"/>
        <v>0</v>
      </c>
      <c r="AB147" s="66">
        <f t="shared" si="120"/>
        <v>0</v>
      </c>
      <c r="AC147" s="66">
        <f t="shared" si="120"/>
        <v>0</v>
      </c>
    </row>
    <row r="148" spans="1:29" x14ac:dyDescent="0.25">
      <c r="A148" s="30" t="str">
        <f>A128</f>
        <v>Lifetime vehicle</v>
      </c>
      <c r="B148" s="62">
        <f>$B128+($C128-$B128)*(1-Q128)</f>
        <v>20</v>
      </c>
      <c r="C148" s="62">
        <f t="shared" ref="C148:L150" si="121">$B128+($C128-$B128)*(1-R128)</f>
        <v>20</v>
      </c>
      <c r="D148" s="62">
        <f t="shared" si="121"/>
        <v>20</v>
      </c>
      <c r="E148" s="62">
        <f t="shared" si="121"/>
        <v>20</v>
      </c>
      <c r="F148" s="62">
        <f t="shared" si="121"/>
        <v>20</v>
      </c>
      <c r="G148" s="62">
        <f t="shared" si="121"/>
        <v>20</v>
      </c>
      <c r="H148" s="62">
        <f t="shared" si="121"/>
        <v>20</v>
      </c>
      <c r="I148" s="62">
        <f t="shared" si="121"/>
        <v>20</v>
      </c>
      <c r="J148" s="62">
        <f t="shared" si="121"/>
        <v>20</v>
      </c>
      <c r="K148" s="62">
        <f t="shared" si="121"/>
        <v>20</v>
      </c>
      <c r="L148" s="62">
        <f t="shared" si="121"/>
        <v>20</v>
      </c>
      <c r="M148" s="62">
        <f t="shared" ref="M148:V150" si="122">$B128+($C128-$B128)*(1-AB128)</f>
        <v>20</v>
      </c>
      <c r="N148" s="62">
        <f t="shared" si="122"/>
        <v>20</v>
      </c>
      <c r="O148" s="62">
        <f t="shared" si="122"/>
        <v>20</v>
      </c>
      <c r="P148" s="62">
        <f t="shared" si="122"/>
        <v>20</v>
      </c>
      <c r="Q148" s="62">
        <f t="shared" si="122"/>
        <v>20</v>
      </c>
      <c r="R148" s="62">
        <f t="shared" si="122"/>
        <v>20</v>
      </c>
      <c r="S148" s="62">
        <f t="shared" si="122"/>
        <v>20</v>
      </c>
      <c r="T148" s="62">
        <f t="shared" si="122"/>
        <v>20</v>
      </c>
      <c r="U148" s="62">
        <f t="shared" si="122"/>
        <v>20</v>
      </c>
      <c r="V148" s="62">
        <f t="shared" si="122"/>
        <v>20</v>
      </c>
      <c r="W148" s="62">
        <f t="shared" ref="W148:AC150" si="123">$B128+($C128-$B128)*(1-AL128)</f>
        <v>20</v>
      </c>
      <c r="X148" s="62">
        <f t="shared" si="123"/>
        <v>20</v>
      </c>
      <c r="Y148" s="62">
        <f t="shared" si="123"/>
        <v>20</v>
      </c>
      <c r="Z148" s="62">
        <f t="shared" si="123"/>
        <v>20</v>
      </c>
      <c r="AA148" s="62">
        <f t="shared" si="123"/>
        <v>20</v>
      </c>
      <c r="AB148" s="62">
        <f t="shared" si="123"/>
        <v>20</v>
      </c>
      <c r="AC148" s="62">
        <f t="shared" si="123"/>
        <v>20</v>
      </c>
    </row>
    <row r="149" spans="1:29" x14ac:dyDescent="0.25">
      <c r="A149" s="30" t="str">
        <f>A129</f>
        <v>Lifetime costumization</v>
      </c>
      <c r="B149" s="62">
        <f>$B129+($C129-$B129)*(1-Q129)</f>
        <v>30</v>
      </c>
      <c r="C149" s="62">
        <f t="shared" si="121"/>
        <v>30</v>
      </c>
      <c r="D149" s="62">
        <f t="shared" si="121"/>
        <v>30</v>
      </c>
      <c r="E149" s="62">
        <f t="shared" si="121"/>
        <v>30</v>
      </c>
      <c r="F149" s="62">
        <f t="shared" si="121"/>
        <v>30</v>
      </c>
      <c r="G149" s="62">
        <f t="shared" si="121"/>
        <v>30</v>
      </c>
      <c r="H149" s="62">
        <f t="shared" si="121"/>
        <v>30</v>
      </c>
      <c r="I149" s="62">
        <f t="shared" si="121"/>
        <v>30</v>
      </c>
      <c r="J149" s="62">
        <f t="shared" si="121"/>
        <v>30</v>
      </c>
      <c r="K149" s="62">
        <f t="shared" si="121"/>
        <v>30</v>
      </c>
      <c r="L149" s="62">
        <f t="shared" si="121"/>
        <v>30</v>
      </c>
      <c r="M149" s="62">
        <f t="shared" si="122"/>
        <v>30</v>
      </c>
      <c r="N149" s="62">
        <f t="shared" si="122"/>
        <v>30</v>
      </c>
      <c r="O149" s="62">
        <f t="shared" si="122"/>
        <v>30</v>
      </c>
      <c r="P149" s="62">
        <f t="shared" si="122"/>
        <v>30</v>
      </c>
      <c r="Q149" s="62">
        <f t="shared" si="122"/>
        <v>30</v>
      </c>
      <c r="R149" s="62">
        <f t="shared" si="122"/>
        <v>30</v>
      </c>
      <c r="S149" s="62">
        <f t="shared" si="122"/>
        <v>30</v>
      </c>
      <c r="T149" s="62">
        <f t="shared" si="122"/>
        <v>30</v>
      </c>
      <c r="U149" s="62">
        <f t="shared" si="122"/>
        <v>30</v>
      </c>
      <c r="V149" s="62">
        <f t="shared" si="122"/>
        <v>30</v>
      </c>
      <c r="W149" s="62">
        <f t="shared" si="123"/>
        <v>30</v>
      </c>
      <c r="X149" s="62">
        <f t="shared" si="123"/>
        <v>30</v>
      </c>
      <c r="Y149" s="62">
        <f t="shared" si="123"/>
        <v>30</v>
      </c>
      <c r="Z149" s="62">
        <f t="shared" si="123"/>
        <v>30</v>
      </c>
      <c r="AA149" s="62">
        <f t="shared" si="123"/>
        <v>30</v>
      </c>
      <c r="AB149" s="62">
        <f t="shared" si="123"/>
        <v>30</v>
      </c>
      <c r="AC149" s="62">
        <f t="shared" si="123"/>
        <v>30</v>
      </c>
    </row>
    <row r="150" spans="1:29" x14ac:dyDescent="0.25">
      <c r="A150" s="30" t="str">
        <f>A130</f>
        <v>Tonnage .</v>
      </c>
      <c r="B150" s="62">
        <f>$B130+($C130-$B130)*(1-Q130)</f>
        <v>2240</v>
      </c>
      <c r="C150" s="62">
        <f t="shared" si="121"/>
        <v>2240</v>
      </c>
      <c r="D150" s="62">
        <f t="shared" si="121"/>
        <v>2240</v>
      </c>
      <c r="E150" s="62">
        <f t="shared" si="121"/>
        <v>2240</v>
      </c>
      <c r="F150" s="62">
        <f t="shared" si="121"/>
        <v>2240</v>
      </c>
      <c r="G150" s="62">
        <f t="shared" si="121"/>
        <v>2240</v>
      </c>
      <c r="H150" s="62">
        <f t="shared" si="121"/>
        <v>2240</v>
      </c>
      <c r="I150" s="62">
        <f t="shared" si="121"/>
        <v>2240</v>
      </c>
      <c r="J150" s="62">
        <f t="shared" si="121"/>
        <v>2240</v>
      </c>
      <c r="K150" s="62">
        <f t="shared" si="121"/>
        <v>2240</v>
      </c>
      <c r="L150" s="62">
        <f t="shared" si="121"/>
        <v>2240</v>
      </c>
      <c r="M150" s="62">
        <f t="shared" si="122"/>
        <v>2240</v>
      </c>
      <c r="N150" s="62">
        <f t="shared" si="122"/>
        <v>2240</v>
      </c>
      <c r="O150" s="62">
        <f t="shared" si="122"/>
        <v>2240</v>
      </c>
      <c r="P150" s="62">
        <f t="shared" si="122"/>
        <v>2240</v>
      </c>
      <c r="Q150" s="62">
        <f t="shared" si="122"/>
        <v>2240</v>
      </c>
      <c r="R150" s="62">
        <f t="shared" si="122"/>
        <v>2240</v>
      </c>
      <c r="S150" s="62">
        <f t="shared" si="122"/>
        <v>2240</v>
      </c>
      <c r="T150" s="62">
        <f t="shared" si="122"/>
        <v>2240</v>
      </c>
      <c r="U150" s="62">
        <f t="shared" si="122"/>
        <v>2240</v>
      </c>
      <c r="V150" s="62">
        <f t="shared" si="122"/>
        <v>2240</v>
      </c>
      <c r="W150" s="62">
        <f t="shared" si="123"/>
        <v>2240</v>
      </c>
      <c r="X150" s="62">
        <f t="shared" si="123"/>
        <v>2240</v>
      </c>
      <c r="Y150" s="62">
        <f t="shared" si="123"/>
        <v>2240</v>
      </c>
      <c r="Z150" s="62">
        <f t="shared" si="123"/>
        <v>2240</v>
      </c>
      <c r="AA150" s="62">
        <f t="shared" si="123"/>
        <v>2240</v>
      </c>
      <c r="AB150" s="62">
        <f t="shared" si="123"/>
        <v>2240</v>
      </c>
      <c r="AC150" s="62">
        <f t="shared" si="123"/>
        <v>2240</v>
      </c>
    </row>
    <row r="151" spans="1:29" x14ac:dyDescent="0.25">
      <c r="A151" s="30" t="str">
        <f>A131</f>
        <v>Market failure (av. utilization)</v>
      </c>
      <c r="B151" s="62">
        <f t="shared" ref="B151:K152" si="124">($B131+($C131-$B131)*(1-Q131))*B$44</f>
        <v>955.73333333333335</v>
      </c>
      <c r="C151" s="62">
        <f t="shared" si="124"/>
        <v>955.73333333333335</v>
      </c>
      <c r="D151" s="62">
        <f t="shared" si="124"/>
        <v>955.73333333333335</v>
      </c>
      <c r="E151" s="62">
        <f t="shared" si="124"/>
        <v>955.73333333333335</v>
      </c>
      <c r="F151" s="62">
        <f t="shared" si="124"/>
        <v>955.73333333333335</v>
      </c>
      <c r="G151" s="62">
        <f t="shared" si="124"/>
        <v>955.73333333333335</v>
      </c>
      <c r="H151" s="62">
        <f t="shared" si="124"/>
        <v>955.73333333333335</v>
      </c>
      <c r="I151" s="62">
        <f t="shared" si="124"/>
        <v>955.73333333333335</v>
      </c>
      <c r="J151" s="62">
        <f t="shared" si="124"/>
        <v>955.73333333333335</v>
      </c>
      <c r="K151" s="62">
        <f t="shared" si="124"/>
        <v>955.73333333333335</v>
      </c>
      <c r="L151" s="62">
        <f t="shared" ref="L151:U152" si="125">($B131+($C131-$B131)*(1-AA131))*L$44</f>
        <v>955.73333333333335</v>
      </c>
      <c r="M151" s="62">
        <f t="shared" si="125"/>
        <v>955.73333333333335</v>
      </c>
      <c r="N151" s="62">
        <f t="shared" si="125"/>
        <v>955.73333333333335</v>
      </c>
      <c r="O151" s="62">
        <f t="shared" si="125"/>
        <v>955.73333333333335</v>
      </c>
      <c r="P151" s="62">
        <f t="shared" si="125"/>
        <v>955.73333333333335</v>
      </c>
      <c r="Q151" s="62">
        <f t="shared" si="125"/>
        <v>955.73333333333335</v>
      </c>
      <c r="R151" s="62">
        <f t="shared" si="125"/>
        <v>955.73333333333335</v>
      </c>
      <c r="S151" s="62">
        <f t="shared" si="125"/>
        <v>955.73333333333335</v>
      </c>
      <c r="T151" s="62">
        <f t="shared" si="125"/>
        <v>955.73333333333335</v>
      </c>
      <c r="U151" s="62">
        <f t="shared" si="125"/>
        <v>955.73333333333335</v>
      </c>
      <c r="V151" s="62">
        <f t="shared" ref="V151:AC152" si="126">($B131+($C131-$B131)*(1-AK131))*V$44</f>
        <v>955.73333333333335</v>
      </c>
      <c r="W151" s="62">
        <f t="shared" si="126"/>
        <v>955.73333333333335</v>
      </c>
      <c r="X151" s="62">
        <f t="shared" si="126"/>
        <v>955.73333333333335</v>
      </c>
      <c r="Y151" s="62">
        <f t="shared" si="126"/>
        <v>955.73333333333335</v>
      </c>
      <c r="Z151" s="62">
        <f t="shared" si="126"/>
        <v>955.73333333333335</v>
      </c>
      <c r="AA151" s="62">
        <f t="shared" si="126"/>
        <v>955.73333333333335</v>
      </c>
      <c r="AB151" s="62">
        <f t="shared" si="126"/>
        <v>955.73333333333335</v>
      </c>
      <c r="AC151" s="62">
        <f t="shared" si="126"/>
        <v>955.73333333333335</v>
      </c>
    </row>
    <row r="152" spans="1:29" x14ac:dyDescent="0.25">
      <c r="A152" s="30" t="s">
        <v>73</v>
      </c>
      <c r="B152" s="62">
        <f t="shared" si="124"/>
        <v>79.471914462993496</v>
      </c>
      <c r="C152" s="62">
        <f t="shared" si="124"/>
        <v>79.245803905143291</v>
      </c>
      <c r="D152" s="62">
        <f t="shared" si="124"/>
        <v>78.924759326348806</v>
      </c>
      <c r="E152" s="62">
        <f t="shared" si="124"/>
        <v>78.470993664637106</v>
      </c>
      <c r="F152" s="62">
        <f t="shared" si="124"/>
        <v>77.833914862204551</v>
      </c>
      <c r="G152" s="62">
        <f t="shared" si="124"/>
        <v>76.948144060056592</v>
      </c>
      <c r="H152" s="62">
        <f t="shared" si="124"/>
        <v>75.733785427063381</v>
      </c>
      <c r="I152" s="62">
        <f t="shared" si="124"/>
        <v>74.101817549730796</v>
      </c>
      <c r="J152" s="62">
        <f t="shared" si="124"/>
        <v>71.968520261049548</v>
      </c>
      <c r="K152" s="62">
        <f t="shared" si="124"/>
        <v>69.281992899997348</v>
      </c>
      <c r="L152" s="62">
        <f t="shared" si="125"/>
        <v>66.058237183514677</v>
      </c>
      <c r="M152" s="62">
        <f t="shared" si="125"/>
        <v>62.412899152339826</v>
      </c>
      <c r="N152" s="62">
        <f t="shared" si="125"/>
        <v>58.564530749274141</v>
      </c>
      <c r="O152" s="62">
        <f t="shared" si="125"/>
        <v>54.79189103820957</v>
      </c>
      <c r="P152" s="62">
        <f t="shared" si="125"/>
        <v>51.357579454892473</v>
      </c>
      <c r="Q152" s="62">
        <f t="shared" si="125"/>
        <v>48.438903664447089</v>
      </c>
      <c r="R152" s="62">
        <f t="shared" si="125"/>
        <v>46.101567061519283</v>
      </c>
      <c r="S152" s="62">
        <f t="shared" si="125"/>
        <v>44.318075495083995</v>
      </c>
      <c r="T152" s="62">
        <f t="shared" si="125"/>
        <v>43.007066157523667</v>
      </c>
      <c r="U152" s="62">
        <f t="shared" si="125"/>
        <v>42.069713447100085</v>
      </c>
      <c r="V152" s="62">
        <f t="shared" si="126"/>
        <v>41.412767625013835</v>
      </c>
      <c r="W152" s="62">
        <f t="shared" si="126"/>
        <v>40.958777682906323</v>
      </c>
      <c r="X152" s="62">
        <f t="shared" si="126"/>
        <v>40.648089742335586</v>
      </c>
      <c r="Y152" s="62">
        <f t="shared" si="126"/>
        <v>40.43688962256433</v>
      </c>
      <c r="Z152" s="62">
        <f t="shared" si="126"/>
        <v>40.29397285162436</v>
      </c>
      <c r="AA152" s="62">
        <f t="shared" si="126"/>
        <v>40.197561048740226</v>
      </c>
      <c r="AB152" s="62">
        <f t="shared" si="126"/>
        <v>40.132657101971823</v>
      </c>
      <c r="AC152" s="62">
        <f t="shared" si="126"/>
        <v>40.08902544858671</v>
      </c>
    </row>
    <row r="153" spans="1:29" x14ac:dyDescent="0.25">
      <c r="A153" s="30" t="str">
        <f>A133</f>
        <v>Annual Mileage</v>
      </c>
      <c r="B153" s="62">
        <f t="shared" ref="B153:AC153" si="127">$B133+($C133-$B133)*(1-Q133)</f>
        <v>178500</v>
      </c>
      <c r="C153" s="62">
        <f t="shared" si="127"/>
        <v>178500</v>
      </c>
      <c r="D153" s="62">
        <f t="shared" si="127"/>
        <v>178500</v>
      </c>
      <c r="E153" s="62">
        <f t="shared" si="127"/>
        <v>178500</v>
      </c>
      <c r="F153" s="62">
        <f t="shared" si="127"/>
        <v>178500</v>
      </c>
      <c r="G153" s="62">
        <f t="shared" si="127"/>
        <v>178500</v>
      </c>
      <c r="H153" s="62">
        <f t="shared" si="127"/>
        <v>178500</v>
      </c>
      <c r="I153" s="62">
        <f t="shared" si="127"/>
        <v>178500</v>
      </c>
      <c r="J153" s="62">
        <f t="shared" si="127"/>
        <v>178500</v>
      </c>
      <c r="K153" s="62">
        <f t="shared" si="127"/>
        <v>178500</v>
      </c>
      <c r="L153" s="62">
        <f t="shared" si="127"/>
        <v>178500</v>
      </c>
      <c r="M153" s="62">
        <f t="shared" si="127"/>
        <v>178500</v>
      </c>
      <c r="N153" s="62">
        <f t="shared" si="127"/>
        <v>178500</v>
      </c>
      <c r="O153" s="62">
        <f t="shared" si="127"/>
        <v>178500</v>
      </c>
      <c r="P153" s="62">
        <f t="shared" si="127"/>
        <v>178500</v>
      </c>
      <c r="Q153" s="62">
        <f t="shared" si="127"/>
        <v>178500</v>
      </c>
      <c r="R153" s="62">
        <f t="shared" si="127"/>
        <v>178500</v>
      </c>
      <c r="S153" s="62">
        <f t="shared" si="127"/>
        <v>178500</v>
      </c>
      <c r="T153" s="62">
        <f t="shared" si="127"/>
        <v>178500</v>
      </c>
      <c r="U153" s="62">
        <f t="shared" si="127"/>
        <v>178500</v>
      </c>
      <c r="V153" s="62">
        <f t="shared" si="127"/>
        <v>178500</v>
      </c>
      <c r="W153" s="62">
        <f t="shared" si="127"/>
        <v>178500</v>
      </c>
      <c r="X153" s="62">
        <f t="shared" si="127"/>
        <v>178500</v>
      </c>
      <c r="Y153" s="62">
        <f t="shared" si="127"/>
        <v>178500</v>
      </c>
      <c r="Z153" s="62">
        <f t="shared" si="127"/>
        <v>178500</v>
      </c>
      <c r="AA153" s="62">
        <f t="shared" si="127"/>
        <v>178500</v>
      </c>
      <c r="AB153" s="62">
        <f t="shared" si="127"/>
        <v>178500</v>
      </c>
      <c r="AC153" s="62">
        <f t="shared" si="127"/>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8">((1+C141)^C148)*C141/(((1+C141)^C148)-1)*(C137)</f>
        <v>865681.10860566224</v>
      </c>
      <c r="D156" s="63">
        <f t="shared" si="128"/>
        <v>863057.03397703567</v>
      </c>
      <c r="E156" s="63">
        <f t="shared" si="128"/>
        <v>859348.15664694412</v>
      </c>
      <c r="F156" s="63">
        <f t="shared" si="128"/>
        <v>854140.95978918544</v>
      </c>
      <c r="G156" s="63">
        <f t="shared" si="128"/>
        <v>846901.06588590739</v>
      </c>
      <c r="H156" s="63">
        <f t="shared" si="128"/>
        <v>836975.44218948286</v>
      </c>
      <c r="I156" s="63">
        <f t="shared" si="128"/>
        <v>823636.46752832399</v>
      </c>
      <c r="J156" s="63">
        <f t="shared" si="128"/>
        <v>806199.8507457996</v>
      </c>
      <c r="K156" s="63">
        <f t="shared" si="128"/>
        <v>784241.37907896913</v>
      </c>
      <c r="L156" s="63">
        <f t="shared" si="128"/>
        <v>757891.84339680034</v>
      </c>
      <c r="M156" s="63">
        <f t="shared" si="128"/>
        <v>728096.48265190842</v>
      </c>
      <c r="N156" s="63">
        <f t="shared" si="128"/>
        <v>696641.64256081509</v>
      </c>
      <c r="O156" s="63">
        <f t="shared" si="128"/>
        <v>665805.77488808637</v>
      </c>
      <c r="P156" s="63">
        <f t="shared" si="128"/>
        <v>637735.24983383913</v>
      </c>
      <c r="Q156" s="63">
        <f t="shared" si="128"/>
        <v>613879.3008573663</v>
      </c>
      <c r="R156" s="63">
        <f t="shared" si="128"/>
        <v>594774.95808561263</v>
      </c>
      <c r="S156" s="63">
        <f t="shared" si="128"/>
        <v>580197.49663952412</v>
      </c>
      <c r="T156" s="63">
        <f t="shared" si="128"/>
        <v>569481.893362551</v>
      </c>
      <c r="U156" s="63">
        <f t="shared" si="128"/>
        <v>561820.39203855116</v>
      </c>
      <c r="V156" s="63">
        <f t="shared" si="128"/>
        <v>556450.81105826527</v>
      </c>
      <c r="W156" s="63">
        <f t="shared" si="128"/>
        <v>552740.10056064755</v>
      </c>
      <c r="X156" s="63">
        <f t="shared" si="128"/>
        <v>550200.67645533092</v>
      </c>
      <c r="Y156" s="63">
        <f t="shared" si="128"/>
        <v>548474.42124823271</v>
      </c>
      <c r="Z156" s="63">
        <f t="shared" si="128"/>
        <v>547306.28355832992</v>
      </c>
      <c r="AA156" s="63">
        <f t="shared" si="128"/>
        <v>546518.25665316184</v>
      </c>
      <c r="AB156" s="63">
        <f t="shared" si="128"/>
        <v>545987.76085518813</v>
      </c>
      <c r="AC156" s="63">
        <f t="shared" si="128"/>
        <v>545631.13525794924</v>
      </c>
    </row>
    <row r="157" spans="1:29" x14ac:dyDescent="0.25">
      <c r="A157" s="30" t="str">
        <f>A138</f>
        <v>Residual value (vehicle)</v>
      </c>
      <c r="B157" s="62">
        <f>((1+B141)^B148)*B141/(((1+B141)^B148)-1)*(B138)</f>
        <v>-44095.850871439077</v>
      </c>
      <c r="C157" s="62">
        <f t="shared" ref="C157:AC157" si="129">((1+C141)^C148)*C141/(((1+C141)^C148)-1)*(C138)</f>
        <v>-44311.465624091747</v>
      </c>
      <c r="D157" s="62">
        <f t="shared" si="129"/>
        <v>-44617.607664098185</v>
      </c>
      <c r="E157" s="62">
        <f t="shared" si="129"/>
        <v>-45050.310019275523</v>
      </c>
      <c r="F157" s="62">
        <f t="shared" si="129"/>
        <v>-45657.816319347374</v>
      </c>
      <c r="G157" s="62">
        <f t="shared" si="129"/>
        <v>-46502.470608063151</v>
      </c>
      <c r="H157" s="62">
        <f t="shared" si="129"/>
        <v>-47660.460039312675</v>
      </c>
      <c r="I157" s="62">
        <f t="shared" si="129"/>
        <v>-49216.673749781199</v>
      </c>
      <c r="J157" s="62">
        <f t="shared" si="129"/>
        <v>-51250.945707742365</v>
      </c>
      <c r="K157" s="62">
        <f t="shared" si="129"/>
        <v>-53812.767402205936</v>
      </c>
      <c r="L157" s="62">
        <f t="shared" si="129"/>
        <v>-56886.879898458967</v>
      </c>
      <c r="M157" s="62">
        <f t="shared" si="129"/>
        <v>-60363.005318696356</v>
      </c>
      <c r="N157" s="62">
        <f t="shared" si="129"/>
        <v>-64032.73666265724</v>
      </c>
      <c r="O157" s="62">
        <f t="shared" si="129"/>
        <v>-67630.254557808934</v>
      </c>
      <c r="P157" s="62">
        <f t="shared" si="129"/>
        <v>-70905.149147471107</v>
      </c>
      <c r="Q157" s="62">
        <f t="shared" si="129"/>
        <v>-73688.343194726258</v>
      </c>
      <c r="R157" s="62">
        <f t="shared" si="129"/>
        <v>-75917.183184764202</v>
      </c>
      <c r="S157" s="62">
        <f t="shared" si="129"/>
        <v>-77617.887020141206</v>
      </c>
      <c r="T157" s="62">
        <f t="shared" si="129"/>
        <v>-78868.040735788047</v>
      </c>
      <c r="U157" s="62">
        <f t="shared" si="129"/>
        <v>-79761.882556921351</v>
      </c>
      <c r="V157" s="62">
        <f t="shared" si="129"/>
        <v>-80388.333671288041</v>
      </c>
      <c r="W157" s="62">
        <f t="shared" si="129"/>
        <v>-80821.249896010122</v>
      </c>
      <c r="X157" s="62">
        <f t="shared" si="129"/>
        <v>-81117.516041630384</v>
      </c>
      <c r="Y157" s="62">
        <f t="shared" si="129"/>
        <v>-81318.912482458516</v>
      </c>
      <c r="Z157" s="62">
        <f t="shared" si="129"/>
        <v>-81455.19521294719</v>
      </c>
      <c r="AA157" s="62">
        <f t="shared" si="129"/>
        <v>-81547.131685216795</v>
      </c>
      <c r="AB157" s="62">
        <f t="shared" si="129"/>
        <v>-81609.022861647056</v>
      </c>
      <c r="AC157" s="62">
        <f t="shared" si="129"/>
        <v>-81650.629181324926</v>
      </c>
    </row>
    <row r="158" spans="1:29" x14ac:dyDescent="0.25">
      <c r="A158" s="30" t="str">
        <f>A139</f>
        <v>Capex costumization</v>
      </c>
      <c r="B158" s="62">
        <f>((1+B141)^B149)*B141/(((1+B141)^B149)-1)*(B139)</f>
        <v>406833.9043442643</v>
      </c>
      <c r="C158" s="62">
        <f t="shared" ref="C158:AC158" si="130">((1+C141)^C149)*C141/(((1+C141)^C149)-1)*(C139)</f>
        <v>406833.9043442643</v>
      </c>
      <c r="D158" s="62">
        <f t="shared" si="130"/>
        <v>406833.9043442643</v>
      </c>
      <c r="E158" s="62">
        <f t="shared" si="130"/>
        <v>406833.9043442643</v>
      </c>
      <c r="F158" s="62">
        <f t="shared" si="130"/>
        <v>406833.9043442643</v>
      </c>
      <c r="G158" s="62">
        <f t="shared" si="130"/>
        <v>406833.9043442643</v>
      </c>
      <c r="H158" s="62">
        <f t="shared" si="130"/>
        <v>406833.9043442643</v>
      </c>
      <c r="I158" s="62">
        <f t="shared" si="130"/>
        <v>406833.9043442643</v>
      </c>
      <c r="J158" s="62">
        <f t="shared" si="130"/>
        <v>406833.9043442643</v>
      </c>
      <c r="K158" s="62">
        <f t="shared" si="130"/>
        <v>406833.9043442643</v>
      </c>
      <c r="L158" s="62">
        <f t="shared" si="130"/>
        <v>406833.9043442643</v>
      </c>
      <c r="M158" s="62">
        <f t="shared" si="130"/>
        <v>406833.9043442643</v>
      </c>
      <c r="N158" s="62">
        <f t="shared" si="130"/>
        <v>406833.9043442643</v>
      </c>
      <c r="O158" s="62">
        <f t="shared" si="130"/>
        <v>406833.9043442643</v>
      </c>
      <c r="P158" s="62">
        <f t="shared" si="130"/>
        <v>406833.9043442643</v>
      </c>
      <c r="Q158" s="62">
        <f t="shared" si="130"/>
        <v>406833.9043442643</v>
      </c>
      <c r="R158" s="62">
        <f t="shared" si="130"/>
        <v>406833.9043442643</v>
      </c>
      <c r="S158" s="62">
        <f t="shared" si="130"/>
        <v>406833.9043442643</v>
      </c>
      <c r="T158" s="62">
        <f t="shared" si="130"/>
        <v>406833.9043442643</v>
      </c>
      <c r="U158" s="62">
        <f t="shared" si="130"/>
        <v>406833.9043442643</v>
      </c>
      <c r="V158" s="62">
        <f t="shared" si="130"/>
        <v>406833.9043442643</v>
      </c>
      <c r="W158" s="62">
        <f t="shared" si="130"/>
        <v>406833.9043442643</v>
      </c>
      <c r="X158" s="62">
        <f t="shared" si="130"/>
        <v>406833.9043442643</v>
      </c>
      <c r="Y158" s="62">
        <f t="shared" si="130"/>
        <v>406833.9043442643</v>
      </c>
      <c r="Z158" s="62">
        <f t="shared" si="130"/>
        <v>406833.9043442643</v>
      </c>
      <c r="AA158" s="62">
        <f t="shared" si="130"/>
        <v>406833.9043442643</v>
      </c>
      <c r="AB158" s="62">
        <f t="shared" si="130"/>
        <v>406833.9043442643</v>
      </c>
      <c r="AC158" s="62">
        <f t="shared" si="130"/>
        <v>406833.9043442643</v>
      </c>
    </row>
    <row r="159" spans="1:29" x14ac:dyDescent="0.25">
      <c r="A159" s="30" t="str">
        <f>A140</f>
        <v>Residual value (costumization)</v>
      </c>
      <c r="B159" s="62">
        <f>((1+B141)^B149)*B141/(((1+B141)^B149)-1)*(B140)</f>
        <v>-20341.695217213215</v>
      </c>
      <c r="C159" s="62">
        <f t="shared" ref="C159:AC159" si="131">((1+C141)^C149)*C141/(((1+C141)^C149)-1)*(C140)</f>
        <v>-20341.695217213215</v>
      </c>
      <c r="D159" s="62">
        <f t="shared" si="131"/>
        <v>-20341.695217213215</v>
      </c>
      <c r="E159" s="62">
        <f t="shared" si="131"/>
        <v>-20341.695217213215</v>
      </c>
      <c r="F159" s="62">
        <f t="shared" si="131"/>
        <v>-20341.695217213215</v>
      </c>
      <c r="G159" s="62">
        <f t="shared" si="131"/>
        <v>-20341.695217213215</v>
      </c>
      <c r="H159" s="62">
        <f t="shared" si="131"/>
        <v>-20341.695217213215</v>
      </c>
      <c r="I159" s="62">
        <f t="shared" si="131"/>
        <v>-20341.695217213215</v>
      </c>
      <c r="J159" s="62">
        <f t="shared" si="131"/>
        <v>-20341.695217213215</v>
      </c>
      <c r="K159" s="62">
        <f t="shared" si="131"/>
        <v>-20341.695217213215</v>
      </c>
      <c r="L159" s="62">
        <f t="shared" si="131"/>
        <v>-20341.695217213215</v>
      </c>
      <c r="M159" s="62">
        <f t="shared" si="131"/>
        <v>-20341.695217213215</v>
      </c>
      <c r="N159" s="62">
        <f t="shared" si="131"/>
        <v>-20341.695217213215</v>
      </c>
      <c r="O159" s="62">
        <f t="shared" si="131"/>
        <v>-20341.695217213215</v>
      </c>
      <c r="P159" s="62">
        <f t="shared" si="131"/>
        <v>-20341.695217213215</v>
      </c>
      <c r="Q159" s="62">
        <f t="shared" si="131"/>
        <v>-20341.695217213215</v>
      </c>
      <c r="R159" s="62">
        <f t="shared" si="131"/>
        <v>-20341.695217213215</v>
      </c>
      <c r="S159" s="62">
        <f t="shared" si="131"/>
        <v>-20341.695217213215</v>
      </c>
      <c r="T159" s="62">
        <f t="shared" si="131"/>
        <v>-20341.695217213215</v>
      </c>
      <c r="U159" s="62">
        <f t="shared" si="131"/>
        <v>-20341.695217213215</v>
      </c>
      <c r="V159" s="62">
        <f t="shared" si="131"/>
        <v>-20341.695217213215</v>
      </c>
      <c r="W159" s="62">
        <f t="shared" si="131"/>
        <v>-20341.695217213215</v>
      </c>
      <c r="X159" s="62">
        <f t="shared" si="131"/>
        <v>-20341.695217213215</v>
      </c>
      <c r="Y159" s="62">
        <f t="shared" si="131"/>
        <v>-20341.695217213215</v>
      </c>
      <c r="Z159" s="62">
        <f t="shared" si="131"/>
        <v>-20341.695217213215</v>
      </c>
      <c r="AA159" s="62">
        <f t="shared" si="131"/>
        <v>-20341.695217213215</v>
      </c>
      <c r="AB159" s="62">
        <f t="shared" si="131"/>
        <v>-20341.695217213215</v>
      </c>
      <c r="AC159" s="62">
        <f t="shared" si="131"/>
        <v>-20341.695217213215</v>
      </c>
    </row>
    <row r="160" spans="1:29" x14ac:dyDescent="0.25">
      <c r="A160" s="30" t="str">
        <f t="shared" ref="A160:AC160" si="132">A142</f>
        <v>Opex fix (admin, crew, insurance)</v>
      </c>
      <c r="B160" s="62">
        <f t="shared" si="132"/>
        <v>620000</v>
      </c>
      <c r="C160" s="62">
        <f t="shared" si="132"/>
        <v>620000</v>
      </c>
      <c r="D160" s="62">
        <f t="shared" si="132"/>
        <v>620000</v>
      </c>
      <c r="E160" s="62">
        <f t="shared" si="132"/>
        <v>620000</v>
      </c>
      <c r="F160" s="62">
        <f t="shared" si="132"/>
        <v>620000</v>
      </c>
      <c r="G160" s="62">
        <f t="shared" si="132"/>
        <v>620000</v>
      </c>
      <c r="H160" s="62">
        <f t="shared" si="132"/>
        <v>620000</v>
      </c>
      <c r="I160" s="62">
        <f t="shared" si="132"/>
        <v>620000</v>
      </c>
      <c r="J160" s="62">
        <f t="shared" si="132"/>
        <v>620000</v>
      </c>
      <c r="K160" s="62">
        <f t="shared" si="132"/>
        <v>620000</v>
      </c>
      <c r="L160" s="62">
        <f t="shared" si="132"/>
        <v>620000</v>
      </c>
      <c r="M160" s="62">
        <f t="shared" si="132"/>
        <v>620000</v>
      </c>
      <c r="N160" s="62">
        <f t="shared" si="132"/>
        <v>620000</v>
      </c>
      <c r="O160" s="62">
        <f t="shared" si="132"/>
        <v>620000</v>
      </c>
      <c r="P160" s="62">
        <f t="shared" si="132"/>
        <v>620000</v>
      </c>
      <c r="Q160" s="62">
        <f t="shared" si="132"/>
        <v>620000</v>
      </c>
      <c r="R160" s="62">
        <f t="shared" si="132"/>
        <v>620000</v>
      </c>
      <c r="S160" s="62">
        <f t="shared" si="132"/>
        <v>620000</v>
      </c>
      <c r="T160" s="62">
        <f t="shared" si="132"/>
        <v>620000</v>
      </c>
      <c r="U160" s="62">
        <f t="shared" si="132"/>
        <v>620000</v>
      </c>
      <c r="V160" s="62">
        <f t="shared" si="132"/>
        <v>620000</v>
      </c>
      <c r="W160" s="62">
        <f t="shared" si="132"/>
        <v>620000</v>
      </c>
      <c r="X160" s="62">
        <f t="shared" si="132"/>
        <v>620000</v>
      </c>
      <c r="Y160" s="62">
        <f t="shared" si="132"/>
        <v>620000</v>
      </c>
      <c r="Z160" s="62">
        <f t="shared" si="132"/>
        <v>620000</v>
      </c>
      <c r="AA160" s="62">
        <f t="shared" si="132"/>
        <v>620000</v>
      </c>
      <c r="AB160" s="62">
        <f t="shared" si="132"/>
        <v>620000</v>
      </c>
      <c r="AC160" s="62">
        <f t="shared" si="132"/>
        <v>620000</v>
      </c>
    </row>
    <row r="161" spans="1:29" x14ac:dyDescent="0.25">
      <c r="A161" s="30" t="str">
        <f t="shared" ref="A161:AC161" si="133">A143</f>
        <v>Opex maintenance &amp; repair</v>
      </c>
      <c r="B161" s="62">
        <f t="shared" si="133"/>
        <v>1293563.9575177333</v>
      </c>
      <c r="C161" s="62">
        <f t="shared" si="133"/>
        <v>1290808.235093934</v>
      </c>
      <c r="D161" s="62">
        <f t="shared" si="133"/>
        <v>1286895.5042898762</v>
      </c>
      <c r="E161" s="62">
        <f t="shared" si="133"/>
        <v>1281365.2352877648</v>
      </c>
      <c r="F161" s="62">
        <f t="shared" si="133"/>
        <v>1273600.837383118</v>
      </c>
      <c r="G161" s="62">
        <f t="shared" si="133"/>
        <v>1262805.5057319398</v>
      </c>
      <c r="H161" s="62">
        <f t="shared" si="133"/>
        <v>1248005.5098923349</v>
      </c>
      <c r="I161" s="62">
        <f t="shared" si="133"/>
        <v>1228115.9013873441</v>
      </c>
      <c r="J161" s="62">
        <f t="shared" si="133"/>
        <v>1202116.3406815415</v>
      </c>
      <c r="K161" s="62">
        <f t="shared" si="133"/>
        <v>1169374.2884687176</v>
      </c>
      <c r="L161" s="62">
        <f t="shared" si="133"/>
        <v>1130084.7656740851</v>
      </c>
      <c r="M161" s="62">
        <f t="shared" si="133"/>
        <v>1085657.2084191416</v>
      </c>
      <c r="N161" s="62">
        <f t="shared" si="133"/>
        <v>1038755.2185067786</v>
      </c>
      <c r="O161" s="62">
        <f t="shared" si="133"/>
        <v>992776.17202817916</v>
      </c>
      <c r="P161" s="62">
        <f t="shared" si="133"/>
        <v>950920.49960650213</v>
      </c>
      <c r="Q161" s="62">
        <f t="shared" si="133"/>
        <v>915349.13841044903</v>
      </c>
      <c r="R161" s="62">
        <f t="shared" si="133"/>
        <v>886862.84856226621</v>
      </c>
      <c r="S161" s="62">
        <f t="shared" si="133"/>
        <v>865126.54509633617</v>
      </c>
      <c r="T161" s="62">
        <f t="shared" si="133"/>
        <v>849148.61879481981</v>
      </c>
      <c r="U161" s="62">
        <f t="shared" si="133"/>
        <v>837724.6326365323</v>
      </c>
      <c r="V161" s="62">
        <f t="shared" si="133"/>
        <v>829718.10542985611</v>
      </c>
      <c r="W161" s="62">
        <f t="shared" si="133"/>
        <v>824185.10301042092</v>
      </c>
      <c r="X161" s="62">
        <f t="shared" si="133"/>
        <v>820398.59373471502</v>
      </c>
      <c r="Y161" s="62">
        <f t="shared" si="133"/>
        <v>817824.59227500285</v>
      </c>
      <c r="Z161" s="62">
        <f t="shared" si="133"/>
        <v>816082.79412917187</v>
      </c>
      <c r="AA161" s="62">
        <f t="shared" si="133"/>
        <v>814907.77528152149</v>
      </c>
      <c r="AB161" s="62">
        <f t="shared" si="133"/>
        <v>814116.75843028165</v>
      </c>
      <c r="AC161" s="62">
        <f t="shared" si="133"/>
        <v>813584.99765465059</v>
      </c>
    </row>
    <row r="162" spans="1:29" x14ac:dyDescent="0.25">
      <c r="A162" s="30" t="str">
        <f>A144</f>
        <v>Opex var (mode-fees, shunting)</v>
      </c>
      <c r="B162" s="62">
        <f>B144*B153</f>
        <v>650000</v>
      </c>
      <c r="C162" s="62">
        <f t="shared" ref="C162:AC162" si="134">C144*C153</f>
        <v>650000</v>
      </c>
      <c r="D162" s="62">
        <f t="shared" si="134"/>
        <v>650000</v>
      </c>
      <c r="E162" s="62">
        <f t="shared" si="134"/>
        <v>650000</v>
      </c>
      <c r="F162" s="62">
        <f t="shared" si="134"/>
        <v>650000</v>
      </c>
      <c r="G162" s="62">
        <f t="shared" si="134"/>
        <v>650000</v>
      </c>
      <c r="H162" s="62">
        <f t="shared" si="134"/>
        <v>650000</v>
      </c>
      <c r="I162" s="62">
        <f t="shared" si="134"/>
        <v>650000</v>
      </c>
      <c r="J162" s="62">
        <f t="shared" si="134"/>
        <v>650000</v>
      </c>
      <c r="K162" s="62">
        <f t="shared" si="134"/>
        <v>650000</v>
      </c>
      <c r="L162" s="62">
        <f t="shared" si="134"/>
        <v>650000</v>
      </c>
      <c r="M162" s="62">
        <f t="shared" si="134"/>
        <v>650000</v>
      </c>
      <c r="N162" s="62">
        <f t="shared" si="134"/>
        <v>650000</v>
      </c>
      <c r="O162" s="62">
        <f t="shared" si="134"/>
        <v>650000</v>
      </c>
      <c r="P162" s="62">
        <f t="shared" si="134"/>
        <v>650000</v>
      </c>
      <c r="Q162" s="62">
        <f t="shared" si="134"/>
        <v>650000</v>
      </c>
      <c r="R162" s="62">
        <f t="shared" si="134"/>
        <v>650000</v>
      </c>
      <c r="S162" s="62">
        <f t="shared" si="134"/>
        <v>650000</v>
      </c>
      <c r="T162" s="62">
        <f t="shared" si="134"/>
        <v>650000</v>
      </c>
      <c r="U162" s="62">
        <f t="shared" si="134"/>
        <v>650000</v>
      </c>
      <c r="V162" s="62">
        <f t="shared" si="134"/>
        <v>650000</v>
      </c>
      <c r="W162" s="62">
        <f t="shared" si="134"/>
        <v>650000</v>
      </c>
      <c r="X162" s="62">
        <f t="shared" si="134"/>
        <v>650000</v>
      </c>
      <c r="Y162" s="62">
        <f t="shared" si="134"/>
        <v>650000</v>
      </c>
      <c r="Z162" s="62">
        <f t="shared" si="134"/>
        <v>650000</v>
      </c>
      <c r="AA162" s="62">
        <f t="shared" si="134"/>
        <v>650000</v>
      </c>
      <c r="AB162" s="62">
        <f t="shared" si="134"/>
        <v>650000</v>
      </c>
      <c r="AC162" s="62">
        <f t="shared" si="134"/>
        <v>650000</v>
      </c>
    </row>
    <row r="163" spans="1:29" x14ac:dyDescent="0.25">
      <c r="A163" s="30" t="str">
        <f>A146</f>
        <v>Fuel Cost</v>
      </c>
      <c r="B163" s="62">
        <f>B145*B146*B153</f>
        <v>485663.88211701211</v>
      </c>
      <c r="C163" s="62">
        <f t="shared" ref="C163:AC163" si="135">C145*C146*C153</f>
        <v>485663.88211701211</v>
      </c>
      <c r="D163" s="62">
        <f t="shared" si="135"/>
        <v>485663.88211701211</v>
      </c>
      <c r="E163" s="62">
        <f t="shared" si="135"/>
        <v>485663.88211701211</v>
      </c>
      <c r="F163" s="62">
        <f t="shared" si="135"/>
        <v>485663.88211701211</v>
      </c>
      <c r="G163" s="62">
        <f t="shared" si="135"/>
        <v>485663.88211701211</v>
      </c>
      <c r="H163" s="62">
        <f t="shared" si="135"/>
        <v>485663.88211701211</v>
      </c>
      <c r="I163" s="62">
        <f t="shared" si="135"/>
        <v>485663.88211701211</v>
      </c>
      <c r="J163" s="62">
        <f t="shared" si="135"/>
        <v>498055.30565786961</v>
      </c>
      <c r="K163" s="62">
        <f t="shared" si="135"/>
        <v>510446.72919872717</v>
      </c>
      <c r="L163" s="62">
        <f t="shared" si="135"/>
        <v>522838.15273958468</v>
      </c>
      <c r="M163" s="62">
        <f t="shared" si="135"/>
        <v>535229.57628044218</v>
      </c>
      <c r="N163" s="62">
        <f t="shared" si="135"/>
        <v>547620.99982129969</v>
      </c>
      <c r="O163" s="62">
        <f t="shared" si="135"/>
        <v>542424.59640094009</v>
      </c>
      <c r="P163" s="62">
        <f t="shared" si="135"/>
        <v>537228.19298058038</v>
      </c>
      <c r="Q163" s="62">
        <f t="shared" si="135"/>
        <v>532031.78956022079</v>
      </c>
      <c r="R163" s="62">
        <f t="shared" si="135"/>
        <v>526835.38613986108</v>
      </c>
      <c r="S163" s="62">
        <f t="shared" si="135"/>
        <v>521638.9827195016</v>
      </c>
      <c r="T163" s="62">
        <f t="shared" si="135"/>
        <v>516442.57929914194</v>
      </c>
      <c r="U163" s="62">
        <f t="shared" si="135"/>
        <v>511246.17587878235</v>
      </c>
      <c r="V163" s="62">
        <f t="shared" si="135"/>
        <v>506049.7724584227</v>
      </c>
      <c r="W163" s="62">
        <f t="shared" si="135"/>
        <v>500853.36903806304</v>
      </c>
      <c r="X163" s="62">
        <f t="shared" si="135"/>
        <v>495656.96561770356</v>
      </c>
      <c r="Y163" s="62">
        <f t="shared" si="135"/>
        <v>490460.56219734391</v>
      </c>
      <c r="Z163" s="62">
        <f t="shared" si="135"/>
        <v>485264.15877698432</v>
      </c>
      <c r="AA163" s="62">
        <f t="shared" si="135"/>
        <v>480067.75535662472</v>
      </c>
      <c r="AB163" s="62">
        <f t="shared" si="135"/>
        <v>474871.35193626513</v>
      </c>
      <c r="AC163" s="62">
        <f t="shared" si="135"/>
        <v>469674.94851590559</v>
      </c>
    </row>
    <row r="164" spans="1:29" ht="15.75" thickBot="1" x14ac:dyDescent="0.3">
      <c r="A164" s="59" t="str">
        <f>A127</f>
        <v>Emission Cost</v>
      </c>
      <c r="B164" s="62">
        <f>B147*B153</f>
        <v>0</v>
      </c>
      <c r="C164" s="62">
        <f t="shared" ref="C164:AC164" si="136">C147*C153</f>
        <v>0</v>
      </c>
      <c r="D164" s="62">
        <f t="shared" si="136"/>
        <v>0</v>
      </c>
      <c r="E164" s="62">
        <f t="shared" si="136"/>
        <v>0</v>
      </c>
      <c r="F164" s="62">
        <f t="shared" si="136"/>
        <v>0</v>
      </c>
      <c r="G164" s="62">
        <f t="shared" si="136"/>
        <v>0</v>
      </c>
      <c r="H164" s="62">
        <f t="shared" si="136"/>
        <v>0</v>
      </c>
      <c r="I164" s="62">
        <f t="shared" si="136"/>
        <v>0</v>
      </c>
      <c r="J164" s="62">
        <f t="shared" si="136"/>
        <v>0</v>
      </c>
      <c r="K164" s="62">
        <f t="shared" si="136"/>
        <v>0</v>
      </c>
      <c r="L164" s="62">
        <f t="shared" si="136"/>
        <v>0</v>
      </c>
      <c r="M164" s="62">
        <f t="shared" si="136"/>
        <v>0</v>
      </c>
      <c r="N164" s="62">
        <f t="shared" si="136"/>
        <v>0</v>
      </c>
      <c r="O164" s="62">
        <f t="shared" si="136"/>
        <v>0</v>
      </c>
      <c r="P164" s="62">
        <f t="shared" si="136"/>
        <v>0</v>
      </c>
      <c r="Q164" s="62">
        <f t="shared" si="136"/>
        <v>0</v>
      </c>
      <c r="R164" s="62">
        <f t="shared" si="136"/>
        <v>0</v>
      </c>
      <c r="S164" s="62">
        <f t="shared" si="136"/>
        <v>0</v>
      </c>
      <c r="T164" s="62">
        <f t="shared" si="136"/>
        <v>0</v>
      </c>
      <c r="U164" s="62">
        <f t="shared" si="136"/>
        <v>0</v>
      </c>
      <c r="V164" s="62">
        <f t="shared" si="136"/>
        <v>0</v>
      </c>
      <c r="W164" s="62">
        <f t="shared" si="136"/>
        <v>0</v>
      </c>
      <c r="X164" s="62">
        <f t="shared" si="136"/>
        <v>0</v>
      </c>
      <c r="Y164" s="62">
        <f t="shared" si="136"/>
        <v>0</v>
      </c>
      <c r="Z164" s="62">
        <f t="shared" si="136"/>
        <v>0</v>
      </c>
      <c r="AA164" s="62">
        <f t="shared" si="136"/>
        <v>0</v>
      </c>
      <c r="AB164" s="62">
        <f t="shared" si="136"/>
        <v>0</v>
      </c>
      <c r="AC164" s="62">
        <f t="shared" si="136"/>
        <v>0</v>
      </c>
    </row>
    <row r="165" spans="1:29" ht="15.75" thickBot="1" x14ac:dyDescent="0.3">
      <c r="A165" s="31" t="s">
        <v>209</v>
      </c>
      <c r="B165" s="64">
        <f>B156+B157+B158+B159+B160+B161+B162+B163+B164</f>
        <v>4259153.4329473283</v>
      </c>
      <c r="C165" s="64">
        <f t="shared" ref="C165:AC165" si="137">C156+C157+C158+C159+C160+C161+C162+C163+C164</f>
        <v>4254333.969319568</v>
      </c>
      <c r="D165" s="64">
        <f t="shared" si="137"/>
        <v>4247491.0218468774</v>
      </c>
      <c r="E165" s="64">
        <f t="shared" si="137"/>
        <v>4237819.1731594969</v>
      </c>
      <c r="F165" s="64">
        <f t="shared" si="137"/>
        <v>4224240.0720970193</v>
      </c>
      <c r="G165" s="64">
        <f t="shared" si="137"/>
        <v>4205360.1922538476</v>
      </c>
      <c r="H165" s="64">
        <f t="shared" si="137"/>
        <v>4179476.5832865681</v>
      </c>
      <c r="I165" s="64">
        <f t="shared" si="137"/>
        <v>4144691.7864099503</v>
      </c>
      <c r="J165" s="64">
        <f t="shared" si="137"/>
        <v>4111612.7605045196</v>
      </c>
      <c r="K165" s="64">
        <f t="shared" si="137"/>
        <v>4066741.8384712595</v>
      </c>
      <c r="L165" s="64">
        <f t="shared" si="137"/>
        <v>4010420.0910390625</v>
      </c>
      <c r="M165" s="64">
        <f t="shared" si="137"/>
        <v>3945112.4711598465</v>
      </c>
      <c r="N165" s="64">
        <f t="shared" si="137"/>
        <v>3875477.3333532871</v>
      </c>
      <c r="O165" s="64">
        <f t="shared" si="137"/>
        <v>3789868.4978864482</v>
      </c>
      <c r="P165" s="64">
        <f t="shared" si="137"/>
        <v>3711471.0024005016</v>
      </c>
      <c r="Q165" s="64">
        <f t="shared" si="137"/>
        <v>3644064.0947603607</v>
      </c>
      <c r="R165" s="64">
        <f t="shared" si="137"/>
        <v>3589048.2187300269</v>
      </c>
      <c r="S165" s="64">
        <f t="shared" si="137"/>
        <v>3545837.3465622719</v>
      </c>
      <c r="T165" s="64">
        <f t="shared" si="137"/>
        <v>3512697.259847776</v>
      </c>
      <c r="U165" s="64">
        <f t="shared" si="137"/>
        <v>3487521.5271239956</v>
      </c>
      <c r="V165" s="64">
        <f t="shared" si="137"/>
        <v>3468322.5644023074</v>
      </c>
      <c r="W165" s="64">
        <f t="shared" si="137"/>
        <v>3453449.5318401726</v>
      </c>
      <c r="X165" s="64">
        <f t="shared" si="137"/>
        <v>3441630.9288931703</v>
      </c>
      <c r="Y165" s="64">
        <f t="shared" si="137"/>
        <v>3431932.872365172</v>
      </c>
      <c r="Z165" s="64">
        <f t="shared" si="137"/>
        <v>3423690.2503785901</v>
      </c>
      <c r="AA165" s="64">
        <f t="shared" si="137"/>
        <v>3416438.8647331423</v>
      </c>
      <c r="AB165" s="64">
        <f t="shared" si="137"/>
        <v>3409859.0574871385</v>
      </c>
      <c r="AC165" s="64">
        <f t="shared" si="137"/>
        <v>3403732.6613742313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8">A156</f>
        <v>Capex vehicle</v>
      </c>
      <c r="B168" s="65">
        <f>((1+B141)^B148)*B141/(((1+B141)^B148)-1)*(B137)/B153</f>
        <v>4.8601077594228057</v>
      </c>
      <c r="C168" s="65">
        <f t="shared" ref="C168:AC168" si="139">((1+C141)^C148)*C141/(((1+C141)^C148)-1)*(C137)/C153</f>
        <v>4.8497541098356427</v>
      </c>
      <c r="D168" s="65">
        <f t="shared" si="139"/>
        <v>4.8350534116360544</v>
      </c>
      <c r="E168" s="65">
        <f t="shared" si="139"/>
        <v>4.8142753873778386</v>
      </c>
      <c r="F168" s="65">
        <f t="shared" si="139"/>
        <v>4.7851034161859127</v>
      </c>
      <c r="G168" s="65">
        <f t="shared" si="139"/>
        <v>4.7445437864756714</v>
      </c>
      <c r="H168" s="65">
        <f t="shared" si="139"/>
        <v>4.6889380514816965</v>
      </c>
      <c r="I168" s="65">
        <f t="shared" si="139"/>
        <v>4.6142099021194625</v>
      </c>
      <c r="J168" s="65">
        <f t="shared" si="139"/>
        <v>4.5165257744862721</v>
      </c>
      <c r="K168" s="65">
        <f t="shared" si="139"/>
        <v>4.3935091264928241</v>
      </c>
      <c r="L168" s="65">
        <f t="shared" si="139"/>
        <v>4.2458926800941192</v>
      </c>
      <c r="M168" s="65">
        <f t="shared" si="139"/>
        <v>4.0789718916073303</v>
      </c>
      <c r="N168" s="65">
        <f t="shared" si="139"/>
        <v>3.9027543000605887</v>
      </c>
      <c r="O168" s="65">
        <f t="shared" si="139"/>
        <v>3.7300043411097277</v>
      </c>
      <c r="P168" s="65">
        <f t="shared" si="139"/>
        <v>3.5727464976685668</v>
      </c>
      <c r="Q168" s="65">
        <f t="shared" si="139"/>
        <v>3.4390997246911277</v>
      </c>
      <c r="R168" s="65">
        <f t="shared" si="139"/>
        <v>3.3320725943171574</v>
      </c>
      <c r="S168" s="65">
        <f t="shared" si="139"/>
        <v>3.2504061436387905</v>
      </c>
      <c r="T168" s="65">
        <f t="shared" si="139"/>
        <v>3.1903747527313779</v>
      </c>
      <c r="U168" s="65">
        <f t="shared" si="139"/>
        <v>3.147453176686561</v>
      </c>
      <c r="V168" s="65">
        <f t="shared" si="139"/>
        <v>3.1173714905224945</v>
      </c>
      <c r="W168" s="65">
        <f t="shared" si="139"/>
        <v>3.0965831964181936</v>
      </c>
      <c r="X168" s="65">
        <f t="shared" si="139"/>
        <v>3.0823567308421902</v>
      </c>
      <c r="Y168" s="65">
        <f t="shared" si="139"/>
        <v>3.0726858333234324</v>
      </c>
      <c r="Z168" s="65">
        <f t="shared" si="139"/>
        <v>3.0661416445844814</v>
      </c>
      <c r="AA168" s="65">
        <f t="shared" si="139"/>
        <v>3.0617269280289179</v>
      </c>
      <c r="AB168" s="65">
        <f t="shared" si="139"/>
        <v>3.058754962774163</v>
      </c>
      <c r="AC168" s="65">
        <f t="shared" si="139"/>
        <v>3.0567570602686231</v>
      </c>
    </row>
    <row r="169" spans="1:29" x14ac:dyDescent="0.25">
      <c r="A169" s="30" t="str">
        <f t="shared" si="138"/>
        <v>Residual value (vehicle)</v>
      </c>
      <c r="B169" s="66">
        <f>((1+B141)^B148)*B141/(((1+B141)^B148)-1)*(B138)/B153</f>
        <v>-0.24703557911170351</v>
      </c>
      <c r="C169" s="66">
        <f t="shared" ref="C169:AC169" si="140">((1+C141)^C148)*C141/(((1+C141)^C148)-1)*(C138)/C153</f>
        <v>-0.24824350489687252</v>
      </c>
      <c r="D169" s="66">
        <f t="shared" si="140"/>
        <v>-0.24995858635349122</v>
      </c>
      <c r="E169" s="66">
        <f t="shared" si="140"/>
        <v>-0.25238268918361639</v>
      </c>
      <c r="F169" s="66">
        <f t="shared" si="140"/>
        <v>-0.25578608582267437</v>
      </c>
      <c r="G169" s="66">
        <f t="shared" si="140"/>
        <v>-0.26051804262220252</v>
      </c>
      <c r="H169" s="66">
        <f t="shared" si="140"/>
        <v>-0.26700537837149957</v>
      </c>
      <c r="I169" s="66">
        <f t="shared" si="140"/>
        <v>-0.27572366246376023</v>
      </c>
      <c r="J169" s="66">
        <f t="shared" si="140"/>
        <v>-0.28712014402096564</v>
      </c>
      <c r="K169" s="66">
        <f t="shared" si="140"/>
        <v>-0.301472086286868</v>
      </c>
      <c r="L169" s="66">
        <f t="shared" si="140"/>
        <v>-0.31869400503338358</v>
      </c>
      <c r="M169" s="66">
        <f t="shared" si="140"/>
        <v>-0.33816809702350897</v>
      </c>
      <c r="N169" s="66">
        <f t="shared" si="140"/>
        <v>-0.35872681603729545</v>
      </c>
      <c r="O169" s="66">
        <f t="shared" si="140"/>
        <v>-0.378880977914896</v>
      </c>
      <c r="P169" s="66">
        <f t="shared" si="140"/>
        <v>-0.39722772631636477</v>
      </c>
      <c r="Q169" s="66">
        <f t="shared" si="140"/>
        <v>-0.41281984983039921</v>
      </c>
      <c r="R169" s="66">
        <f t="shared" si="140"/>
        <v>-0.42530634837402914</v>
      </c>
      <c r="S169" s="66">
        <f t="shared" si="140"/>
        <v>-0.43483410095317204</v>
      </c>
      <c r="T169" s="66">
        <f t="shared" si="140"/>
        <v>-0.44183776322570334</v>
      </c>
      <c r="U169" s="66">
        <f t="shared" si="140"/>
        <v>-0.44684528043093191</v>
      </c>
      <c r="V169" s="66">
        <f t="shared" si="140"/>
        <v>-0.45035481048340636</v>
      </c>
      <c r="W169" s="66">
        <f t="shared" si="140"/>
        <v>-0.45278011146224156</v>
      </c>
      <c r="X169" s="66">
        <f t="shared" si="140"/>
        <v>-0.45443986577944195</v>
      </c>
      <c r="Y169" s="66">
        <f t="shared" si="140"/>
        <v>-0.45556813715663036</v>
      </c>
      <c r="Z169" s="66">
        <f t="shared" si="140"/>
        <v>-0.45633162584284143</v>
      </c>
      <c r="AA169" s="66">
        <f t="shared" si="140"/>
        <v>-0.45684667610765711</v>
      </c>
      <c r="AB169" s="66">
        <f t="shared" si="140"/>
        <v>-0.45719340538737846</v>
      </c>
      <c r="AC169" s="66">
        <f t="shared" si="140"/>
        <v>-0.45742649401302482</v>
      </c>
    </row>
    <row r="170" spans="1:29" x14ac:dyDescent="0.25">
      <c r="A170" s="30" t="str">
        <f t="shared" si="138"/>
        <v>Capex costumization</v>
      </c>
      <c r="B170" s="66">
        <f>((1+B141)^B149)*B141/(((1+B141)^B149)-1)*(B139)/B153</f>
        <v>2.2791815369426573</v>
      </c>
      <c r="C170" s="66">
        <f t="shared" ref="C170:AC170" si="141">((1+C141)^C149)*C141/(((1+C141)^C149)-1)*(C139)/C153</f>
        <v>2.2791815369426573</v>
      </c>
      <c r="D170" s="66">
        <f t="shared" si="141"/>
        <v>2.2791815369426573</v>
      </c>
      <c r="E170" s="66">
        <f t="shared" si="141"/>
        <v>2.2791815369426573</v>
      </c>
      <c r="F170" s="66">
        <f t="shared" si="141"/>
        <v>2.2791815369426573</v>
      </c>
      <c r="G170" s="66">
        <f t="shared" si="141"/>
        <v>2.2791815369426573</v>
      </c>
      <c r="H170" s="66">
        <f t="shared" si="141"/>
        <v>2.2791815369426573</v>
      </c>
      <c r="I170" s="66">
        <f t="shared" si="141"/>
        <v>2.2791815369426573</v>
      </c>
      <c r="J170" s="66">
        <f t="shared" si="141"/>
        <v>2.2791815369426573</v>
      </c>
      <c r="K170" s="66">
        <f t="shared" si="141"/>
        <v>2.2791815369426573</v>
      </c>
      <c r="L170" s="66">
        <f t="shared" si="141"/>
        <v>2.2791815369426573</v>
      </c>
      <c r="M170" s="66">
        <f t="shared" si="141"/>
        <v>2.2791815369426573</v>
      </c>
      <c r="N170" s="66">
        <f t="shared" si="141"/>
        <v>2.2791815369426573</v>
      </c>
      <c r="O170" s="66">
        <f t="shared" si="141"/>
        <v>2.2791815369426573</v>
      </c>
      <c r="P170" s="66">
        <f t="shared" si="141"/>
        <v>2.2791815369426573</v>
      </c>
      <c r="Q170" s="66">
        <f t="shared" si="141"/>
        <v>2.2791815369426573</v>
      </c>
      <c r="R170" s="66">
        <f t="shared" si="141"/>
        <v>2.2791815369426573</v>
      </c>
      <c r="S170" s="66">
        <f t="shared" si="141"/>
        <v>2.2791815369426573</v>
      </c>
      <c r="T170" s="66">
        <f t="shared" si="141"/>
        <v>2.2791815369426573</v>
      </c>
      <c r="U170" s="66">
        <f t="shared" si="141"/>
        <v>2.2791815369426573</v>
      </c>
      <c r="V170" s="66">
        <f t="shared" si="141"/>
        <v>2.2791815369426573</v>
      </c>
      <c r="W170" s="66">
        <f t="shared" si="141"/>
        <v>2.2791815369426573</v>
      </c>
      <c r="X170" s="66">
        <f t="shared" si="141"/>
        <v>2.2791815369426573</v>
      </c>
      <c r="Y170" s="66">
        <f t="shared" si="141"/>
        <v>2.2791815369426573</v>
      </c>
      <c r="Z170" s="66">
        <f t="shared" si="141"/>
        <v>2.2791815369426573</v>
      </c>
      <c r="AA170" s="66">
        <f t="shared" si="141"/>
        <v>2.2791815369426573</v>
      </c>
      <c r="AB170" s="66">
        <f t="shared" si="141"/>
        <v>2.2791815369426573</v>
      </c>
      <c r="AC170" s="66">
        <f t="shared" si="141"/>
        <v>2.2791815369426573</v>
      </c>
    </row>
    <row r="171" spans="1:29" x14ac:dyDescent="0.25">
      <c r="A171" s="30" t="str">
        <f t="shared" si="138"/>
        <v>Residual value (costumization)</v>
      </c>
      <c r="B171" s="66">
        <f>((1+B141)^B149)*B141/(((1+B141)^B149)-1)*(B140)/B153</f>
        <v>-0.11395907684713286</v>
      </c>
      <c r="C171" s="66">
        <f t="shared" ref="C171:AC171" si="142">((1+C141)^C149)*C141/(((1+C141)^C149)-1)*(C140)/C153</f>
        <v>-0.11395907684713286</v>
      </c>
      <c r="D171" s="66">
        <f t="shared" si="142"/>
        <v>-0.11395907684713286</v>
      </c>
      <c r="E171" s="66">
        <f t="shared" si="142"/>
        <v>-0.11395907684713286</v>
      </c>
      <c r="F171" s="66">
        <f t="shared" si="142"/>
        <v>-0.11395907684713286</v>
      </c>
      <c r="G171" s="66">
        <f t="shared" si="142"/>
        <v>-0.11395907684713286</v>
      </c>
      <c r="H171" s="66">
        <f t="shared" si="142"/>
        <v>-0.11395907684713286</v>
      </c>
      <c r="I171" s="66">
        <f t="shared" si="142"/>
        <v>-0.11395907684713286</v>
      </c>
      <c r="J171" s="66">
        <f t="shared" si="142"/>
        <v>-0.11395907684713286</v>
      </c>
      <c r="K171" s="66">
        <f t="shared" si="142"/>
        <v>-0.11395907684713286</v>
      </c>
      <c r="L171" s="66">
        <f t="shared" si="142"/>
        <v>-0.11395907684713286</v>
      </c>
      <c r="M171" s="66">
        <f t="shared" si="142"/>
        <v>-0.11395907684713286</v>
      </c>
      <c r="N171" s="66">
        <f t="shared" si="142"/>
        <v>-0.11395907684713286</v>
      </c>
      <c r="O171" s="66">
        <f t="shared" si="142"/>
        <v>-0.11395907684713286</v>
      </c>
      <c r="P171" s="66">
        <f t="shared" si="142"/>
        <v>-0.11395907684713286</v>
      </c>
      <c r="Q171" s="66">
        <f t="shared" si="142"/>
        <v>-0.11395907684713286</v>
      </c>
      <c r="R171" s="66">
        <f t="shared" si="142"/>
        <v>-0.11395907684713286</v>
      </c>
      <c r="S171" s="66">
        <f t="shared" si="142"/>
        <v>-0.11395907684713286</v>
      </c>
      <c r="T171" s="66">
        <f t="shared" si="142"/>
        <v>-0.11395907684713286</v>
      </c>
      <c r="U171" s="66">
        <f t="shared" si="142"/>
        <v>-0.11395907684713286</v>
      </c>
      <c r="V171" s="66">
        <f t="shared" si="142"/>
        <v>-0.11395907684713286</v>
      </c>
      <c r="W171" s="66">
        <f t="shared" si="142"/>
        <v>-0.11395907684713286</v>
      </c>
      <c r="X171" s="66">
        <f t="shared" si="142"/>
        <v>-0.11395907684713286</v>
      </c>
      <c r="Y171" s="66">
        <f t="shared" si="142"/>
        <v>-0.11395907684713286</v>
      </c>
      <c r="Z171" s="66">
        <f t="shared" si="142"/>
        <v>-0.11395907684713286</v>
      </c>
      <c r="AA171" s="66">
        <f t="shared" si="142"/>
        <v>-0.11395907684713286</v>
      </c>
      <c r="AB171" s="66">
        <f t="shared" si="142"/>
        <v>-0.11395907684713286</v>
      </c>
      <c r="AC171" s="66">
        <f t="shared" si="142"/>
        <v>-0.11395907684713286</v>
      </c>
    </row>
    <row r="172" spans="1:29" x14ac:dyDescent="0.25">
      <c r="A172" s="30" t="str">
        <f t="shared" si="138"/>
        <v>Opex fix (admin, crew, insurance)</v>
      </c>
      <c r="B172" s="66">
        <f>B142/B153</f>
        <v>3.473389355742297</v>
      </c>
      <c r="C172" s="66">
        <f t="shared" ref="C172:AC172" si="143">C142/C153</f>
        <v>3.473389355742297</v>
      </c>
      <c r="D172" s="66">
        <f t="shared" si="143"/>
        <v>3.473389355742297</v>
      </c>
      <c r="E172" s="66">
        <f t="shared" si="143"/>
        <v>3.473389355742297</v>
      </c>
      <c r="F172" s="66">
        <f t="shared" si="143"/>
        <v>3.473389355742297</v>
      </c>
      <c r="G172" s="66">
        <f t="shared" si="143"/>
        <v>3.473389355742297</v>
      </c>
      <c r="H172" s="66">
        <f t="shared" si="143"/>
        <v>3.473389355742297</v>
      </c>
      <c r="I172" s="66">
        <f t="shared" si="143"/>
        <v>3.473389355742297</v>
      </c>
      <c r="J172" s="66">
        <f t="shared" si="143"/>
        <v>3.473389355742297</v>
      </c>
      <c r="K172" s="66">
        <f t="shared" si="143"/>
        <v>3.473389355742297</v>
      </c>
      <c r="L172" s="66">
        <f t="shared" si="143"/>
        <v>3.473389355742297</v>
      </c>
      <c r="M172" s="66">
        <f t="shared" si="143"/>
        <v>3.473389355742297</v>
      </c>
      <c r="N172" s="66">
        <f t="shared" si="143"/>
        <v>3.473389355742297</v>
      </c>
      <c r="O172" s="66">
        <f t="shared" si="143"/>
        <v>3.473389355742297</v>
      </c>
      <c r="P172" s="66">
        <f t="shared" si="143"/>
        <v>3.473389355742297</v>
      </c>
      <c r="Q172" s="66">
        <f t="shared" si="143"/>
        <v>3.473389355742297</v>
      </c>
      <c r="R172" s="66">
        <f t="shared" si="143"/>
        <v>3.473389355742297</v>
      </c>
      <c r="S172" s="66">
        <f t="shared" si="143"/>
        <v>3.473389355742297</v>
      </c>
      <c r="T172" s="66">
        <f t="shared" si="143"/>
        <v>3.473389355742297</v>
      </c>
      <c r="U172" s="66">
        <f t="shared" si="143"/>
        <v>3.473389355742297</v>
      </c>
      <c r="V172" s="66">
        <f t="shared" si="143"/>
        <v>3.473389355742297</v>
      </c>
      <c r="W172" s="66">
        <f t="shared" si="143"/>
        <v>3.473389355742297</v>
      </c>
      <c r="X172" s="66">
        <f t="shared" si="143"/>
        <v>3.473389355742297</v>
      </c>
      <c r="Y172" s="66">
        <f t="shared" si="143"/>
        <v>3.473389355742297</v>
      </c>
      <c r="Z172" s="66">
        <f t="shared" si="143"/>
        <v>3.473389355742297</v>
      </c>
      <c r="AA172" s="66">
        <f t="shared" si="143"/>
        <v>3.473389355742297</v>
      </c>
      <c r="AB172" s="66">
        <f t="shared" si="143"/>
        <v>3.473389355742297</v>
      </c>
      <c r="AC172" s="66">
        <f t="shared" si="143"/>
        <v>3.473389355742297</v>
      </c>
    </row>
    <row r="173" spans="1:29" x14ac:dyDescent="0.25">
      <c r="A173" s="30" t="str">
        <f t="shared" si="138"/>
        <v>Opex maintenance &amp; repair</v>
      </c>
      <c r="B173" s="66">
        <f>B143/B153</f>
        <v>7.246856904861251</v>
      </c>
      <c r="C173" s="66">
        <f t="shared" ref="C173:AC173" si="144">C143/C153</f>
        <v>7.2314186839996299</v>
      </c>
      <c r="D173" s="66">
        <f t="shared" si="144"/>
        <v>7.2094986234726957</v>
      </c>
      <c r="E173" s="66">
        <f t="shared" si="144"/>
        <v>7.1785167243012031</v>
      </c>
      <c r="F173" s="66">
        <f t="shared" si="144"/>
        <v>7.1350186968241909</v>
      </c>
      <c r="G173" s="66">
        <f t="shared" si="144"/>
        <v>7.0745406483582061</v>
      </c>
      <c r="H173" s="66">
        <f t="shared" si="144"/>
        <v>6.9916275063996354</v>
      </c>
      <c r="I173" s="66">
        <f t="shared" si="144"/>
        <v>6.8802011282204152</v>
      </c>
      <c r="J173" s="66">
        <f t="shared" si="144"/>
        <v>6.7345453259470114</v>
      </c>
      <c r="K173" s="66">
        <f t="shared" si="144"/>
        <v>6.5511164620096221</v>
      </c>
      <c r="L173" s="66">
        <f t="shared" si="144"/>
        <v>6.3310070906111209</v>
      </c>
      <c r="M173" s="66">
        <f t="shared" si="144"/>
        <v>6.0821132124321657</v>
      </c>
      <c r="N173" s="66">
        <f t="shared" si="144"/>
        <v>5.8193569664245297</v>
      </c>
      <c r="O173" s="66">
        <f t="shared" si="144"/>
        <v>5.56177127186655</v>
      </c>
      <c r="P173" s="66">
        <f t="shared" si="144"/>
        <v>5.3272857120812445</v>
      </c>
      <c r="Q173" s="66">
        <f t="shared" si="144"/>
        <v>5.1280063776495748</v>
      </c>
      <c r="R173" s="66">
        <f t="shared" si="144"/>
        <v>4.9684193196765616</v>
      </c>
      <c r="S173" s="66">
        <f t="shared" si="144"/>
        <v>4.8466473114640678</v>
      </c>
      <c r="T173" s="66">
        <f t="shared" si="144"/>
        <v>4.7571351192987104</v>
      </c>
      <c r="U173" s="66">
        <f t="shared" si="144"/>
        <v>4.6931351968433184</v>
      </c>
      <c r="V173" s="66">
        <f t="shared" si="144"/>
        <v>4.6482807026882691</v>
      </c>
      <c r="W173" s="66">
        <f t="shared" si="144"/>
        <v>4.6172834902544588</v>
      </c>
      <c r="X173" s="66">
        <f t="shared" si="144"/>
        <v>4.5960705531356583</v>
      </c>
      <c r="Y173" s="66">
        <f t="shared" si="144"/>
        <v>4.5816503768907726</v>
      </c>
      <c r="Z173" s="66">
        <f t="shared" si="144"/>
        <v>4.5718924040849966</v>
      </c>
      <c r="AA173" s="66">
        <f t="shared" si="144"/>
        <v>4.5653096654426975</v>
      </c>
      <c r="AB173" s="66">
        <f t="shared" si="144"/>
        <v>4.5608781984889726</v>
      </c>
      <c r="AC173" s="66">
        <f t="shared" si="144"/>
        <v>4.5578991465246528</v>
      </c>
    </row>
    <row r="174" spans="1:29" x14ac:dyDescent="0.25">
      <c r="A174" s="30" t="str">
        <f t="shared" si="138"/>
        <v>Opex var (mode-fees, shunting)</v>
      </c>
      <c r="B174" s="66">
        <f>B144*B153/B153</f>
        <v>3.6414565826330532</v>
      </c>
      <c r="C174" s="66">
        <f t="shared" ref="C174:AC174" si="145">C144*C153/C153</f>
        <v>3.6414565826330532</v>
      </c>
      <c r="D174" s="66">
        <f t="shared" si="145"/>
        <v>3.6414565826330532</v>
      </c>
      <c r="E174" s="66">
        <f t="shared" si="145"/>
        <v>3.6414565826330532</v>
      </c>
      <c r="F174" s="66">
        <f t="shared" si="145"/>
        <v>3.6414565826330532</v>
      </c>
      <c r="G174" s="66">
        <f t="shared" si="145"/>
        <v>3.6414565826330532</v>
      </c>
      <c r="H174" s="66">
        <f t="shared" si="145"/>
        <v>3.6414565826330532</v>
      </c>
      <c r="I174" s="66">
        <f t="shared" si="145"/>
        <v>3.6414565826330532</v>
      </c>
      <c r="J174" s="66">
        <f t="shared" si="145"/>
        <v>3.6414565826330532</v>
      </c>
      <c r="K174" s="66">
        <f t="shared" si="145"/>
        <v>3.6414565826330532</v>
      </c>
      <c r="L174" s="66">
        <f t="shared" si="145"/>
        <v>3.6414565826330532</v>
      </c>
      <c r="M174" s="66">
        <f t="shared" si="145"/>
        <v>3.6414565826330532</v>
      </c>
      <c r="N174" s="66">
        <f t="shared" si="145"/>
        <v>3.6414565826330532</v>
      </c>
      <c r="O174" s="66">
        <f t="shared" si="145"/>
        <v>3.6414565826330532</v>
      </c>
      <c r="P174" s="66">
        <f t="shared" si="145"/>
        <v>3.6414565826330532</v>
      </c>
      <c r="Q174" s="66">
        <f t="shared" si="145"/>
        <v>3.6414565826330532</v>
      </c>
      <c r="R174" s="66">
        <f t="shared" si="145"/>
        <v>3.6414565826330532</v>
      </c>
      <c r="S174" s="66">
        <f t="shared" si="145"/>
        <v>3.6414565826330532</v>
      </c>
      <c r="T174" s="66">
        <f t="shared" si="145"/>
        <v>3.6414565826330532</v>
      </c>
      <c r="U174" s="66">
        <f t="shared" si="145"/>
        <v>3.6414565826330532</v>
      </c>
      <c r="V174" s="66">
        <f t="shared" si="145"/>
        <v>3.6414565826330532</v>
      </c>
      <c r="W174" s="66">
        <f t="shared" si="145"/>
        <v>3.6414565826330532</v>
      </c>
      <c r="X174" s="66">
        <f t="shared" si="145"/>
        <v>3.6414565826330532</v>
      </c>
      <c r="Y174" s="66">
        <f t="shared" si="145"/>
        <v>3.6414565826330532</v>
      </c>
      <c r="Z174" s="66">
        <f t="shared" si="145"/>
        <v>3.6414565826330532</v>
      </c>
      <c r="AA174" s="66">
        <f t="shared" si="145"/>
        <v>3.6414565826330532</v>
      </c>
      <c r="AB174" s="66">
        <f t="shared" si="145"/>
        <v>3.6414565826330532</v>
      </c>
      <c r="AC174" s="66">
        <f t="shared" si="145"/>
        <v>3.6414565826330532</v>
      </c>
    </row>
    <row r="175" spans="1:29" x14ac:dyDescent="0.25">
      <c r="A175" s="30" t="str">
        <f t="shared" si="138"/>
        <v>Fuel Cost</v>
      </c>
      <c r="B175" s="66">
        <f>B145*B146*B153/B153</f>
        <v>2.7208060622801797</v>
      </c>
      <c r="C175" s="66">
        <f t="shared" ref="C175:AC175" si="146">C145*C146*C153/C153</f>
        <v>2.7208060622801797</v>
      </c>
      <c r="D175" s="66">
        <f t="shared" si="146"/>
        <v>2.7208060622801797</v>
      </c>
      <c r="E175" s="66">
        <f t="shared" si="146"/>
        <v>2.7208060622801797</v>
      </c>
      <c r="F175" s="66">
        <f t="shared" si="146"/>
        <v>2.7208060622801797</v>
      </c>
      <c r="G175" s="66">
        <f t="shared" si="146"/>
        <v>2.7208060622801797</v>
      </c>
      <c r="H175" s="66">
        <f t="shared" si="146"/>
        <v>2.7208060622801797</v>
      </c>
      <c r="I175" s="66">
        <f t="shared" si="146"/>
        <v>2.7208060622801797</v>
      </c>
      <c r="J175" s="66">
        <f t="shared" si="146"/>
        <v>2.7902258020048718</v>
      </c>
      <c r="K175" s="66">
        <f t="shared" si="146"/>
        <v>2.8596455417295639</v>
      </c>
      <c r="L175" s="66">
        <f t="shared" si="146"/>
        <v>2.9290652814542559</v>
      </c>
      <c r="M175" s="66">
        <f t="shared" si="146"/>
        <v>2.998485021178948</v>
      </c>
      <c r="N175" s="66">
        <f t="shared" si="146"/>
        <v>3.0679047609036396</v>
      </c>
      <c r="O175" s="66">
        <f t="shared" si="146"/>
        <v>3.0387932571481238</v>
      </c>
      <c r="P175" s="66">
        <f t="shared" si="146"/>
        <v>3.009681753392607</v>
      </c>
      <c r="Q175" s="66">
        <f t="shared" si="146"/>
        <v>2.9805702496370912</v>
      </c>
      <c r="R175" s="66">
        <f t="shared" si="146"/>
        <v>2.9514587458815749</v>
      </c>
      <c r="S175" s="66">
        <f t="shared" si="146"/>
        <v>2.9223472421260595</v>
      </c>
      <c r="T175" s="66">
        <f t="shared" si="146"/>
        <v>2.8932357383705432</v>
      </c>
      <c r="U175" s="66">
        <f t="shared" si="146"/>
        <v>2.8641242346150273</v>
      </c>
      <c r="V175" s="66">
        <f t="shared" si="146"/>
        <v>2.835012730859511</v>
      </c>
      <c r="W175" s="66">
        <f t="shared" si="146"/>
        <v>2.8059012271039947</v>
      </c>
      <c r="X175" s="66">
        <f t="shared" si="146"/>
        <v>2.7767897233484793</v>
      </c>
      <c r="Y175" s="66">
        <f t="shared" si="146"/>
        <v>2.747678219592963</v>
      </c>
      <c r="Z175" s="66">
        <f t="shared" si="146"/>
        <v>2.7185667158374471</v>
      </c>
      <c r="AA175" s="66">
        <f t="shared" si="146"/>
        <v>2.6894552120819313</v>
      </c>
      <c r="AB175" s="66">
        <f t="shared" si="146"/>
        <v>2.6603437083264154</v>
      </c>
      <c r="AC175" s="66">
        <f t="shared" si="146"/>
        <v>2.6312322045708996</v>
      </c>
    </row>
    <row r="176" spans="1:29" ht="15.75" thickBot="1" x14ac:dyDescent="0.3">
      <c r="A176" s="59" t="str">
        <f t="shared" ref="A176" si="147">A164</f>
        <v>Emission Cost</v>
      </c>
      <c r="B176" s="66">
        <f>B147</f>
        <v>0</v>
      </c>
      <c r="C176" s="66">
        <f t="shared" ref="C176:AC176" si="148">C147</f>
        <v>0</v>
      </c>
      <c r="D176" s="66">
        <f t="shared" si="148"/>
        <v>0</v>
      </c>
      <c r="E176" s="66">
        <f t="shared" si="148"/>
        <v>0</v>
      </c>
      <c r="F176" s="66">
        <f t="shared" si="148"/>
        <v>0</v>
      </c>
      <c r="G176" s="66">
        <f t="shared" si="148"/>
        <v>0</v>
      </c>
      <c r="H176" s="66">
        <f t="shared" si="148"/>
        <v>0</v>
      </c>
      <c r="I176" s="66">
        <f t="shared" si="148"/>
        <v>0</v>
      </c>
      <c r="J176" s="66">
        <f t="shared" si="148"/>
        <v>0</v>
      </c>
      <c r="K176" s="66">
        <f t="shared" si="148"/>
        <v>0</v>
      </c>
      <c r="L176" s="66">
        <f t="shared" si="148"/>
        <v>0</v>
      </c>
      <c r="M176" s="66">
        <f t="shared" si="148"/>
        <v>0</v>
      </c>
      <c r="N176" s="66">
        <f t="shared" si="148"/>
        <v>0</v>
      </c>
      <c r="O176" s="66">
        <f t="shared" si="148"/>
        <v>0</v>
      </c>
      <c r="P176" s="66">
        <f t="shared" si="148"/>
        <v>0</v>
      </c>
      <c r="Q176" s="66">
        <f t="shared" si="148"/>
        <v>0</v>
      </c>
      <c r="R176" s="66">
        <f t="shared" si="148"/>
        <v>0</v>
      </c>
      <c r="S176" s="66">
        <f t="shared" si="148"/>
        <v>0</v>
      </c>
      <c r="T176" s="66">
        <f t="shared" si="148"/>
        <v>0</v>
      </c>
      <c r="U176" s="66">
        <f t="shared" si="148"/>
        <v>0</v>
      </c>
      <c r="V176" s="66">
        <f t="shared" si="148"/>
        <v>0</v>
      </c>
      <c r="W176" s="66">
        <f t="shared" si="148"/>
        <v>0</v>
      </c>
      <c r="X176" s="66">
        <f t="shared" si="148"/>
        <v>0</v>
      </c>
      <c r="Y176" s="66">
        <f t="shared" si="148"/>
        <v>0</v>
      </c>
      <c r="Z176" s="66">
        <f t="shared" si="148"/>
        <v>0</v>
      </c>
      <c r="AA176" s="66">
        <f t="shared" si="148"/>
        <v>0</v>
      </c>
      <c r="AB176" s="66">
        <f t="shared" si="148"/>
        <v>0</v>
      </c>
      <c r="AC176" s="66">
        <f t="shared" si="148"/>
        <v>0</v>
      </c>
    </row>
    <row r="177" spans="1:29" ht="15.75" thickBot="1" x14ac:dyDescent="0.3">
      <c r="A177" s="31" t="s">
        <v>63</v>
      </c>
      <c r="B177" s="76">
        <f>B168+B169+B170-B171+B172+B173+B174+B175+B176</f>
        <v>24.088721699617672</v>
      </c>
      <c r="C177" s="76">
        <f t="shared" ref="C177:AC177" si="149">C168+C169+C170-C171+C172+C173+C174+C175+C176</f>
        <v>24.06172190338372</v>
      </c>
      <c r="D177" s="76">
        <f t="shared" si="149"/>
        <v>24.023386063200579</v>
      </c>
      <c r="E177" s="76">
        <f t="shared" si="149"/>
        <v>23.969202036940747</v>
      </c>
      <c r="F177" s="76">
        <f t="shared" si="149"/>
        <v>23.89312864163275</v>
      </c>
      <c r="G177" s="76">
        <f t="shared" si="149"/>
        <v>23.787359006656995</v>
      </c>
      <c r="H177" s="76">
        <f t="shared" si="149"/>
        <v>23.642352793955151</v>
      </c>
      <c r="I177" s="76">
        <f t="shared" si="149"/>
        <v>23.447479982321436</v>
      </c>
      <c r="J177" s="76">
        <f t="shared" si="149"/>
        <v>23.262163310582331</v>
      </c>
      <c r="K177" s="76">
        <f t="shared" si="149"/>
        <v>23.010785596110281</v>
      </c>
      <c r="L177" s="76">
        <f t="shared" si="149"/>
        <v>22.695257599291253</v>
      </c>
      <c r="M177" s="76">
        <f t="shared" si="149"/>
        <v>22.329388580360074</v>
      </c>
      <c r="N177" s="76">
        <f t="shared" si="149"/>
        <v>21.939275763516605</v>
      </c>
      <c r="O177" s="76">
        <f t="shared" si="149"/>
        <v>21.459674444374649</v>
      </c>
      <c r="P177" s="76">
        <f t="shared" si="149"/>
        <v>21.020472788991192</v>
      </c>
      <c r="Q177" s="76">
        <f t="shared" si="149"/>
        <v>20.642843054312532</v>
      </c>
      <c r="R177" s="76">
        <f t="shared" si="149"/>
        <v>20.334630863666405</v>
      </c>
      <c r="S177" s="76">
        <f t="shared" si="149"/>
        <v>20.092553148440885</v>
      </c>
      <c r="T177" s="76">
        <f t="shared" si="149"/>
        <v>19.906894399340068</v>
      </c>
      <c r="U177" s="76">
        <f t="shared" si="149"/>
        <v>19.765853879879113</v>
      </c>
      <c r="V177" s="76">
        <f t="shared" si="149"/>
        <v>19.658296665752008</v>
      </c>
      <c r="W177" s="76">
        <f t="shared" si="149"/>
        <v>19.574974354479547</v>
      </c>
      <c r="X177" s="76">
        <f t="shared" si="149"/>
        <v>19.508763693712027</v>
      </c>
      <c r="Y177" s="76">
        <f t="shared" si="149"/>
        <v>19.454432844815678</v>
      </c>
      <c r="Z177" s="76">
        <f t="shared" si="149"/>
        <v>19.408255690829225</v>
      </c>
      <c r="AA177" s="76">
        <f t="shared" si="149"/>
        <v>19.36763168161103</v>
      </c>
      <c r="AB177" s="76">
        <f t="shared" si="149"/>
        <v>19.330770016367314</v>
      </c>
      <c r="AC177" s="76">
        <f t="shared" si="149"/>
        <v>19.296448469516292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0">A156</f>
        <v>Capex vehicle</v>
      </c>
      <c r="B180" s="65">
        <f>((1+B141)^B148)*B141/(((1+B141)^B148)-1)*(B137)/B153/(B150)</f>
        <v>2.1696909640280381E-3</v>
      </c>
      <c r="C180" s="65">
        <f t="shared" ref="C180:AC180" si="151">((1+C141)^C148)*C141/(((1+C141)^C148)-1)*(C137)/C153/(C150)</f>
        <v>2.1650687990337689E-3</v>
      </c>
      <c r="D180" s="65">
        <f t="shared" si="151"/>
        <v>2.1585059873375245E-3</v>
      </c>
      <c r="E180" s="65">
        <f t="shared" si="151"/>
        <v>2.1492300836508209E-3</v>
      </c>
      <c r="F180" s="65">
        <f t="shared" si="151"/>
        <v>2.1362068822258539E-3</v>
      </c>
      <c r="G180" s="65">
        <f t="shared" si="151"/>
        <v>2.1180999046766392E-3</v>
      </c>
      <c r="H180" s="65">
        <f t="shared" si="151"/>
        <v>2.093275915840043E-3</v>
      </c>
      <c r="I180" s="65">
        <f t="shared" si="151"/>
        <v>2.0599151348747601E-3</v>
      </c>
      <c r="J180" s="65">
        <f t="shared" si="151"/>
        <v>2.0163061493242286E-3</v>
      </c>
      <c r="K180" s="65">
        <f t="shared" si="151"/>
        <v>1.9613880028985821E-3</v>
      </c>
      <c r="L180" s="65">
        <f t="shared" si="151"/>
        <v>1.8954878036134461E-3</v>
      </c>
      <c r="M180" s="65">
        <f t="shared" si="151"/>
        <v>1.8209695944675583E-3</v>
      </c>
      <c r="N180" s="65">
        <f t="shared" si="151"/>
        <v>1.7423010268127629E-3</v>
      </c>
      <c r="O180" s="65">
        <f t="shared" si="151"/>
        <v>1.6651805094239855E-3</v>
      </c>
      <c r="P180" s="65">
        <f t="shared" si="151"/>
        <v>1.5949761150306102E-3</v>
      </c>
      <c r="Q180" s="65">
        <f t="shared" si="151"/>
        <v>1.5353123770942534E-3</v>
      </c>
      <c r="R180" s="65">
        <f t="shared" si="151"/>
        <v>1.4875324081773025E-3</v>
      </c>
      <c r="S180" s="65">
        <f t="shared" si="151"/>
        <v>1.4510741712673173E-3</v>
      </c>
      <c r="T180" s="65">
        <f t="shared" si="151"/>
        <v>1.4242744431836509E-3</v>
      </c>
      <c r="U180" s="65">
        <f t="shared" si="151"/>
        <v>1.4051130253065005E-3</v>
      </c>
      <c r="V180" s="65">
        <f t="shared" si="151"/>
        <v>1.3916837011261137E-3</v>
      </c>
      <c r="W180" s="65">
        <f t="shared" si="151"/>
        <v>1.3824032126866935E-3</v>
      </c>
      <c r="X180" s="65">
        <f t="shared" si="151"/>
        <v>1.3760521119831207E-3</v>
      </c>
      <c r="Y180" s="65">
        <f t="shared" si="151"/>
        <v>1.3717347470193894E-3</v>
      </c>
      <c r="Z180" s="65">
        <f t="shared" si="151"/>
        <v>1.3688132341895007E-3</v>
      </c>
      <c r="AA180" s="65">
        <f t="shared" si="151"/>
        <v>1.3668423785843384E-3</v>
      </c>
      <c r="AB180" s="65">
        <f t="shared" si="151"/>
        <v>1.3655156083813228E-3</v>
      </c>
      <c r="AC180" s="65">
        <f t="shared" si="151"/>
        <v>1.364623687619921E-3</v>
      </c>
    </row>
    <row r="181" spans="1:29" x14ac:dyDescent="0.25">
      <c r="A181" s="30" t="str">
        <f t="shared" si="150"/>
        <v>Residual value (vehicle)</v>
      </c>
      <c r="B181" s="68">
        <f>((1+B141)^B148)*B141/(((1+B141)^B148)-1)*(B138)/B153/(B150)</f>
        <v>-1.1028374067486764E-4</v>
      </c>
      <c r="C181" s="68">
        <f t="shared" ref="C181:AC181" si="152">((1+C141)^C148)*C141/(((1+C141)^C148)-1)*(C138)/C153/(C150)</f>
        <v>-1.1082299325753238E-4</v>
      </c>
      <c r="D181" s="68">
        <f t="shared" si="152"/>
        <v>-1.115886546220943E-4</v>
      </c>
      <c r="E181" s="68">
        <f t="shared" si="152"/>
        <v>-1.1267084338554303E-4</v>
      </c>
      <c r="F181" s="68">
        <f t="shared" si="152"/>
        <v>-1.1419021688512248E-4</v>
      </c>
      <c r="G181" s="68">
        <f t="shared" si="152"/>
        <v>-1.1630269759919755E-4</v>
      </c>
      <c r="H181" s="68">
        <f t="shared" si="152"/>
        <v>-1.1919882963013374E-4</v>
      </c>
      <c r="I181" s="68">
        <f t="shared" si="152"/>
        <v>-1.230909207427501E-4</v>
      </c>
      <c r="J181" s="68">
        <f t="shared" si="152"/>
        <v>-1.2817863572364536E-4</v>
      </c>
      <c r="K181" s="68">
        <f t="shared" si="152"/>
        <v>-1.345857528066375E-4</v>
      </c>
      <c r="L181" s="68">
        <f t="shared" si="152"/>
        <v>-1.4227410938990337E-4</v>
      </c>
      <c r="M181" s="68">
        <f t="shared" si="152"/>
        <v>-1.5096790045692366E-4</v>
      </c>
      <c r="N181" s="68">
        <f t="shared" si="152"/>
        <v>-1.6014590001664974E-4</v>
      </c>
      <c r="O181" s="68">
        <f t="shared" si="152"/>
        <v>-1.6914329371200715E-4</v>
      </c>
      <c r="P181" s="68">
        <f t="shared" si="152"/>
        <v>-1.7733380639123428E-4</v>
      </c>
      <c r="Q181" s="68">
        <f t="shared" si="152"/>
        <v>-1.842945758171425E-4</v>
      </c>
      <c r="R181" s="68">
        <f t="shared" si="152"/>
        <v>-1.8986890552412014E-4</v>
      </c>
      <c r="S181" s="68">
        <f t="shared" si="152"/>
        <v>-1.9412236649695181E-4</v>
      </c>
      <c r="T181" s="68">
        <f t="shared" si="152"/>
        <v>-1.9724900144004614E-4</v>
      </c>
      <c r="U181" s="68">
        <f t="shared" si="152"/>
        <v>-1.9948450019238032E-4</v>
      </c>
      <c r="V181" s="68">
        <f t="shared" si="152"/>
        <v>-2.0105125468009212E-4</v>
      </c>
      <c r="W181" s="68">
        <f t="shared" si="152"/>
        <v>-2.0213397833135783E-4</v>
      </c>
      <c r="X181" s="68">
        <f t="shared" si="152"/>
        <v>-2.0287494008010802E-4</v>
      </c>
      <c r="Y181" s="68">
        <f t="shared" si="152"/>
        <v>-2.0337863265920998E-4</v>
      </c>
      <c r="Z181" s="68">
        <f t="shared" si="152"/>
        <v>-2.0371947582269707E-4</v>
      </c>
      <c r="AA181" s="68">
        <f t="shared" si="152"/>
        <v>-2.0394940897663265E-4</v>
      </c>
      <c r="AB181" s="68">
        <f t="shared" si="152"/>
        <v>-2.0410419883365111E-4</v>
      </c>
      <c r="AC181" s="68">
        <f t="shared" si="152"/>
        <v>-2.0420825625581466E-4</v>
      </c>
    </row>
    <row r="182" spans="1:29" x14ac:dyDescent="0.25">
      <c r="A182" s="30" t="str">
        <f t="shared" si="150"/>
        <v>Capex costumization</v>
      </c>
      <c r="B182" s="66">
        <f>((1+B141)^B149)*B141/(((1+B141)^B149)-1)*(B139)/B153/(B150)</f>
        <v>1.0174917575636864E-3</v>
      </c>
      <c r="C182" s="66">
        <f t="shared" ref="C182:AC182" si="153">((1+C141)^C149)*C141/(((1+C141)^C149)-1)*(C139)/C153/(C150)</f>
        <v>1.0174917575636864E-3</v>
      </c>
      <c r="D182" s="66">
        <f t="shared" si="153"/>
        <v>1.0174917575636864E-3</v>
      </c>
      <c r="E182" s="66">
        <f t="shared" si="153"/>
        <v>1.0174917575636864E-3</v>
      </c>
      <c r="F182" s="66">
        <f t="shared" si="153"/>
        <v>1.0174917575636864E-3</v>
      </c>
      <c r="G182" s="66">
        <f t="shared" si="153"/>
        <v>1.0174917575636864E-3</v>
      </c>
      <c r="H182" s="66">
        <f t="shared" si="153"/>
        <v>1.0174917575636864E-3</v>
      </c>
      <c r="I182" s="66">
        <f t="shared" si="153"/>
        <v>1.0174917575636864E-3</v>
      </c>
      <c r="J182" s="66">
        <f t="shared" si="153"/>
        <v>1.0174917575636864E-3</v>
      </c>
      <c r="K182" s="66">
        <f t="shared" si="153"/>
        <v>1.0174917575636864E-3</v>
      </c>
      <c r="L182" s="66">
        <f t="shared" si="153"/>
        <v>1.0174917575636864E-3</v>
      </c>
      <c r="M182" s="66">
        <f t="shared" si="153"/>
        <v>1.0174917575636864E-3</v>
      </c>
      <c r="N182" s="66">
        <f t="shared" si="153"/>
        <v>1.0174917575636864E-3</v>
      </c>
      <c r="O182" s="66">
        <f t="shared" si="153"/>
        <v>1.0174917575636864E-3</v>
      </c>
      <c r="P182" s="66">
        <f t="shared" si="153"/>
        <v>1.0174917575636864E-3</v>
      </c>
      <c r="Q182" s="66">
        <f t="shared" si="153"/>
        <v>1.0174917575636864E-3</v>
      </c>
      <c r="R182" s="66">
        <f t="shared" si="153"/>
        <v>1.0174917575636864E-3</v>
      </c>
      <c r="S182" s="66">
        <f t="shared" si="153"/>
        <v>1.0174917575636864E-3</v>
      </c>
      <c r="T182" s="66">
        <f t="shared" si="153"/>
        <v>1.0174917575636864E-3</v>
      </c>
      <c r="U182" s="66">
        <f t="shared" si="153"/>
        <v>1.0174917575636864E-3</v>
      </c>
      <c r="V182" s="66">
        <f t="shared" si="153"/>
        <v>1.0174917575636864E-3</v>
      </c>
      <c r="W182" s="66">
        <f t="shared" si="153"/>
        <v>1.0174917575636864E-3</v>
      </c>
      <c r="X182" s="66">
        <f t="shared" si="153"/>
        <v>1.0174917575636864E-3</v>
      </c>
      <c r="Y182" s="66">
        <f t="shared" si="153"/>
        <v>1.0174917575636864E-3</v>
      </c>
      <c r="Z182" s="66">
        <f t="shared" si="153"/>
        <v>1.0174917575636864E-3</v>
      </c>
      <c r="AA182" s="66">
        <f t="shared" si="153"/>
        <v>1.0174917575636864E-3</v>
      </c>
      <c r="AB182" s="66">
        <f t="shared" si="153"/>
        <v>1.0174917575636864E-3</v>
      </c>
      <c r="AC182" s="66">
        <f t="shared" si="153"/>
        <v>1.0174917575636864E-3</v>
      </c>
    </row>
    <row r="183" spans="1:29" x14ac:dyDescent="0.25">
      <c r="A183" s="30" t="str">
        <f t="shared" si="150"/>
        <v>Residual value (costumization)</v>
      </c>
      <c r="B183" s="69">
        <f>((1+B141)^B149)*B141/(((1+B141)^B149)-1)*(B140)/B153/(B150)</f>
        <v>-5.0874587878184312E-5</v>
      </c>
      <c r="C183" s="69">
        <f t="shared" ref="C183:AC183" si="154">((1+C141)^C149)*C141/(((1+C141)^C149)-1)*(C140)/C153/(C150)</f>
        <v>-5.0874587878184312E-5</v>
      </c>
      <c r="D183" s="69">
        <f t="shared" si="154"/>
        <v>-5.0874587878184312E-5</v>
      </c>
      <c r="E183" s="69">
        <f t="shared" si="154"/>
        <v>-5.0874587878184312E-5</v>
      </c>
      <c r="F183" s="69">
        <f t="shared" si="154"/>
        <v>-5.0874587878184312E-5</v>
      </c>
      <c r="G183" s="69">
        <f t="shared" si="154"/>
        <v>-5.0874587878184312E-5</v>
      </c>
      <c r="H183" s="69">
        <f t="shared" si="154"/>
        <v>-5.0874587878184312E-5</v>
      </c>
      <c r="I183" s="69">
        <f t="shared" si="154"/>
        <v>-5.0874587878184312E-5</v>
      </c>
      <c r="J183" s="69">
        <f t="shared" si="154"/>
        <v>-5.0874587878184312E-5</v>
      </c>
      <c r="K183" s="69">
        <f t="shared" si="154"/>
        <v>-5.0874587878184312E-5</v>
      </c>
      <c r="L183" s="69">
        <f t="shared" si="154"/>
        <v>-5.0874587878184312E-5</v>
      </c>
      <c r="M183" s="69">
        <f t="shared" si="154"/>
        <v>-5.0874587878184312E-5</v>
      </c>
      <c r="N183" s="69">
        <f t="shared" si="154"/>
        <v>-5.0874587878184312E-5</v>
      </c>
      <c r="O183" s="69">
        <f t="shared" si="154"/>
        <v>-5.0874587878184312E-5</v>
      </c>
      <c r="P183" s="69">
        <f t="shared" si="154"/>
        <v>-5.0874587878184312E-5</v>
      </c>
      <c r="Q183" s="69">
        <f t="shared" si="154"/>
        <v>-5.0874587878184312E-5</v>
      </c>
      <c r="R183" s="69">
        <f t="shared" si="154"/>
        <v>-5.0874587878184312E-5</v>
      </c>
      <c r="S183" s="69">
        <f t="shared" si="154"/>
        <v>-5.0874587878184312E-5</v>
      </c>
      <c r="T183" s="69">
        <f t="shared" si="154"/>
        <v>-5.0874587878184312E-5</v>
      </c>
      <c r="U183" s="69">
        <f t="shared" si="154"/>
        <v>-5.0874587878184312E-5</v>
      </c>
      <c r="V183" s="69">
        <f t="shared" si="154"/>
        <v>-5.0874587878184312E-5</v>
      </c>
      <c r="W183" s="69">
        <f t="shared" si="154"/>
        <v>-5.0874587878184312E-5</v>
      </c>
      <c r="X183" s="69">
        <f t="shared" si="154"/>
        <v>-5.0874587878184312E-5</v>
      </c>
      <c r="Y183" s="69">
        <f t="shared" si="154"/>
        <v>-5.0874587878184312E-5</v>
      </c>
      <c r="Z183" s="69">
        <f t="shared" si="154"/>
        <v>-5.0874587878184312E-5</v>
      </c>
      <c r="AA183" s="69">
        <f t="shared" si="154"/>
        <v>-5.0874587878184312E-5</v>
      </c>
      <c r="AB183" s="69">
        <f t="shared" si="154"/>
        <v>-5.0874587878184312E-5</v>
      </c>
      <c r="AC183" s="69">
        <f t="shared" si="154"/>
        <v>-5.0874587878184312E-5</v>
      </c>
    </row>
    <row r="184" spans="1:29" x14ac:dyDescent="0.25">
      <c r="A184" s="30" t="str">
        <f t="shared" si="150"/>
        <v>Opex fix (admin, crew, insurance)</v>
      </c>
      <c r="B184" s="66">
        <f>B142/B153/(B150)</f>
        <v>1.5506202480992397E-3</v>
      </c>
      <c r="C184" s="66">
        <f t="shared" ref="C184:AC184" si="155">C142/C153/(C150)</f>
        <v>1.5506202480992397E-3</v>
      </c>
      <c r="D184" s="66">
        <f t="shared" si="155"/>
        <v>1.5506202480992397E-3</v>
      </c>
      <c r="E184" s="66">
        <f t="shared" si="155"/>
        <v>1.5506202480992397E-3</v>
      </c>
      <c r="F184" s="66">
        <f t="shared" si="155"/>
        <v>1.5506202480992397E-3</v>
      </c>
      <c r="G184" s="66">
        <f t="shared" si="155"/>
        <v>1.5506202480992397E-3</v>
      </c>
      <c r="H184" s="66">
        <f t="shared" si="155"/>
        <v>1.5506202480992397E-3</v>
      </c>
      <c r="I184" s="66">
        <f t="shared" si="155"/>
        <v>1.5506202480992397E-3</v>
      </c>
      <c r="J184" s="66">
        <f t="shared" si="155"/>
        <v>1.5506202480992397E-3</v>
      </c>
      <c r="K184" s="66">
        <f t="shared" si="155"/>
        <v>1.5506202480992397E-3</v>
      </c>
      <c r="L184" s="66">
        <f t="shared" si="155"/>
        <v>1.5506202480992397E-3</v>
      </c>
      <c r="M184" s="66">
        <f t="shared" si="155"/>
        <v>1.5506202480992397E-3</v>
      </c>
      <c r="N184" s="66">
        <f t="shared" si="155"/>
        <v>1.5506202480992397E-3</v>
      </c>
      <c r="O184" s="66">
        <f t="shared" si="155"/>
        <v>1.5506202480992397E-3</v>
      </c>
      <c r="P184" s="66">
        <f t="shared" si="155"/>
        <v>1.5506202480992397E-3</v>
      </c>
      <c r="Q184" s="66">
        <f t="shared" si="155"/>
        <v>1.5506202480992397E-3</v>
      </c>
      <c r="R184" s="66">
        <f t="shared" si="155"/>
        <v>1.5506202480992397E-3</v>
      </c>
      <c r="S184" s="66">
        <f t="shared" si="155"/>
        <v>1.5506202480992397E-3</v>
      </c>
      <c r="T184" s="66">
        <f t="shared" si="155"/>
        <v>1.5506202480992397E-3</v>
      </c>
      <c r="U184" s="66">
        <f t="shared" si="155"/>
        <v>1.5506202480992397E-3</v>
      </c>
      <c r="V184" s="66">
        <f t="shared" si="155"/>
        <v>1.5506202480992397E-3</v>
      </c>
      <c r="W184" s="66">
        <f t="shared" si="155"/>
        <v>1.5506202480992397E-3</v>
      </c>
      <c r="X184" s="66">
        <f t="shared" si="155"/>
        <v>1.5506202480992397E-3</v>
      </c>
      <c r="Y184" s="66">
        <f t="shared" si="155"/>
        <v>1.5506202480992397E-3</v>
      </c>
      <c r="Z184" s="66">
        <f t="shared" si="155"/>
        <v>1.5506202480992397E-3</v>
      </c>
      <c r="AA184" s="66">
        <f t="shared" si="155"/>
        <v>1.5506202480992397E-3</v>
      </c>
      <c r="AB184" s="66">
        <f t="shared" si="155"/>
        <v>1.5506202480992397E-3</v>
      </c>
      <c r="AC184" s="66">
        <f t="shared" si="155"/>
        <v>1.5506202480992397E-3</v>
      </c>
    </row>
    <row r="185" spans="1:29" x14ac:dyDescent="0.25">
      <c r="A185" s="30" t="str">
        <f t="shared" si="150"/>
        <v>Opex maintenance &amp; repair</v>
      </c>
      <c r="B185" s="66">
        <f>B143/B153/(B150)</f>
        <v>3.235203975384487E-3</v>
      </c>
      <c r="C185" s="66">
        <f t="shared" ref="C185:AC185" si="156">C143/C153/(C150)</f>
        <v>3.228311912499835E-3</v>
      </c>
      <c r="D185" s="66">
        <f t="shared" si="156"/>
        <v>3.2185261711931679E-3</v>
      </c>
      <c r="E185" s="66">
        <f t="shared" si="156"/>
        <v>3.2046949662058941E-3</v>
      </c>
      <c r="F185" s="66">
        <f t="shared" si="156"/>
        <v>3.1852762039393709E-3</v>
      </c>
      <c r="G185" s="66">
        <f t="shared" si="156"/>
        <v>3.1582770751599136E-3</v>
      </c>
      <c r="H185" s="66">
        <f t="shared" si="156"/>
        <v>3.1212622796426945E-3</v>
      </c>
      <c r="I185" s="66">
        <f t="shared" si="156"/>
        <v>3.0715183608126854E-3</v>
      </c>
      <c r="J185" s="66">
        <f t="shared" si="156"/>
        <v>3.0064934490834873E-3</v>
      </c>
      <c r="K185" s="66">
        <f t="shared" si="156"/>
        <v>2.9246055633971525E-3</v>
      </c>
      <c r="L185" s="66">
        <f t="shared" si="156"/>
        <v>2.826342451165679E-3</v>
      </c>
      <c r="M185" s="66">
        <f t="shared" si="156"/>
        <v>2.7152291126929309E-3</v>
      </c>
      <c r="N185" s="66">
        <f t="shared" si="156"/>
        <v>2.5979272171538078E-3</v>
      </c>
      <c r="O185" s="66">
        <f t="shared" si="156"/>
        <v>2.4829336035118526E-3</v>
      </c>
      <c r="P185" s="66">
        <f t="shared" si="156"/>
        <v>2.37825255003627E-3</v>
      </c>
      <c r="Q185" s="66">
        <f t="shared" si="156"/>
        <v>2.2892885614507032E-3</v>
      </c>
      <c r="R185" s="66">
        <f t="shared" si="156"/>
        <v>2.218044339141322E-3</v>
      </c>
      <c r="S185" s="66">
        <f t="shared" si="156"/>
        <v>2.1636818354750301E-3</v>
      </c>
      <c r="T185" s="66">
        <f t="shared" si="156"/>
        <v>2.12372103540121E-3</v>
      </c>
      <c r="U185" s="66">
        <f t="shared" si="156"/>
        <v>2.0951496414479101E-3</v>
      </c>
      <c r="V185" s="66">
        <f t="shared" si="156"/>
        <v>2.0751253137001203E-3</v>
      </c>
      <c r="W185" s="66">
        <f t="shared" si="156"/>
        <v>2.0612872724350261E-3</v>
      </c>
      <c r="X185" s="66">
        <f t="shared" si="156"/>
        <v>2.0518172112212762E-3</v>
      </c>
      <c r="Y185" s="66">
        <f t="shared" si="156"/>
        <v>2.0453796325405234E-3</v>
      </c>
      <c r="Z185" s="66">
        <f t="shared" si="156"/>
        <v>2.0410233946808022E-3</v>
      </c>
      <c r="AA185" s="66">
        <f t="shared" si="156"/>
        <v>2.0380846720726327E-3</v>
      </c>
      <c r="AB185" s="66">
        <f t="shared" si="156"/>
        <v>2.0361063386111484E-3</v>
      </c>
      <c r="AC185" s="66">
        <f t="shared" si="156"/>
        <v>2.0347764046985059E-3</v>
      </c>
    </row>
    <row r="186" spans="1:29" x14ac:dyDescent="0.25">
      <c r="A186" s="30" t="str">
        <f t="shared" si="150"/>
        <v>Opex var (mode-fees, shunting)</v>
      </c>
      <c r="B186" s="66">
        <f>B144*B153/B153/(B150)</f>
        <v>1.6256502601040416E-3</v>
      </c>
      <c r="C186" s="66">
        <f t="shared" ref="C186:AC186" si="157">C144*C153/C153/(C150)</f>
        <v>1.6256502601040416E-3</v>
      </c>
      <c r="D186" s="66">
        <f t="shared" si="157"/>
        <v>1.6256502601040416E-3</v>
      </c>
      <c r="E186" s="66">
        <f t="shared" si="157"/>
        <v>1.6256502601040416E-3</v>
      </c>
      <c r="F186" s="66">
        <f t="shared" si="157"/>
        <v>1.6256502601040416E-3</v>
      </c>
      <c r="G186" s="66">
        <f t="shared" si="157"/>
        <v>1.6256502601040416E-3</v>
      </c>
      <c r="H186" s="66">
        <f t="shared" si="157"/>
        <v>1.6256502601040416E-3</v>
      </c>
      <c r="I186" s="66">
        <f t="shared" si="157"/>
        <v>1.6256502601040416E-3</v>
      </c>
      <c r="J186" s="66">
        <f t="shared" si="157"/>
        <v>1.6256502601040416E-3</v>
      </c>
      <c r="K186" s="66">
        <f t="shared" si="157"/>
        <v>1.6256502601040416E-3</v>
      </c>
      <c r="L186" s="66">
        <f t="shared" si="157"/>
        <v>1.6256502601040416E-3</v>
      </c>
      <c r="M186" s="66">
        <f t="shared" si="157"/>
        <v>1.6256502601040416E-3</v>
      </c>
      <c r="N186" s="66">
        <f t="shared" si="157"/>
        <v>1.6256502601040416E-3</v>
      </c>
      <c r="O186" s="66">
        <f t="shared" si="157"/>
        <v>1.6256502601040416E-3</v>
      </c>
      <c r="P186" s="66">
        <f t="shared" si="157"/>
        <v>1.6256502601040416E-3</v>
      </c>
      <c r="Q186" s="66">
        <f t="shared" si="157"/>
        <v>1.6256502601040416E-3</v>
      </c>
      <c r="R186" s="66">
        <f t="shared" si="157"/>
        <v>1.6256502601040416E-3</v>
      </c>
      <c r="S186" s="66">
        <f t="shared" si="157"/>
        <v>1.6256502601040416E-3</v>
      </c>
      <c r="T186" s="66">
        <f t="shared" si="157"/>
        <v>1.6256502601040416E-3</v>
      </c>
      <c r="U186" s="66">
        <f t="shared" si="157"/>
        <v>1.6256502601040416E-3</v>
      </c>
      <c r="V186" s="66">
        <f t="shared" si="157"/>
        <v>1.6256502601040416E-3</v>
      </c>
      <c r="W186" s="66">
        <f t="shared" si="157"/>
        <v>1.6256502601040416E-3</v>
      </c>
      <c r="X186" s="66">
        <f t="shared" si="157"/>
        <v>1.6256502601040416E-3</v>
      </c>
      <c r="Y186" s="66">
        <f t="shared" si="157"/>
        <v>1.6256502601040416E-3</v>
      </c>
      <c r="Z186" s="66">
        <f t="shared" si="157"/>
        <v>1.6256502601040416E-3</v>
      </c>
      <c r="AA186" s="66">
        <f t="shared" si="157"/>
        <v>1.6256502601040416E-3</v>
      </c>
      <c r="AB186" s="66">
        <f t="shared" si="157"/>
        <v>1.6256502601040416E-3</v>
      </c>
      <c r="AC186" s="66">
        <f t="shared" si="157"/>
        <v>1.6256502601040416E-3</v>
      </c>
    </row>
    <row r="187" spans="1:29" x14ac:dyDescent="0.25">
      <c r="A187" s="30" t="str">
        <f t="shared" si="150"/>
        <v>Fuel Cost</v>
      </c>
      <c r="B187" s="66">
        <f>B145*B146*B153/B153/(B150)</f>
        <v>1.2146455635179375E-3</v>
      </c>
      <c r="C187" s="66">
        <f t="shared" ref="C187:AC187" si="158">C145*C146*C153/C153/(C150)</f>
        <v>1.2146455635179375E-3</v>
      </c>
      <c r="D187" s="66">
        <f t="shared" si="158"/>
        <v>1.2146455635179375E-3</v>
      </c>
      <c r="E187" s="66">
        <f t="shared" si="158"/>
        <v>1.2146455635179375E-3</v>
      </c>
      <c r="F187" s="66">
        <f t="shared" si="158"/>
        <v>1.2146455635179375E-3</v>
      </c>
      <c r="G187" s="66">
        <f t="shared" si="158"/>
        <v>1.2146455635179375E-3</v>
      </c>
      <c r="H187" s="66">
        <f t="shared" si="158"/>
        <v>1.2146455635179375E-3</v>
      </c>
      <c r="I187" s="66">
        <f t="shared" si="158"/>
        <v>1.2146455635179375E-3</v>
      </c>
      <c r="J187" s="66">
        <f t="shared" si="158"/>
        <v>1.2456365187521749E-3</v>
      </c>
      <c r="K187" s="66">
        <f t="shared" si="158"/>
        <v>1.2766274739864124E-3</v>
      </c>
      <c r="L187" s="66">
        <f t="shared" si="158"/>
        <v>1.3076184292206499E-3</v>
      </c>
      <c r="M187" s="66">
        <f t="shared" si="158"/>
        <v>1.3386093844548876E-3</v>
      </c>
      <c r="N187" s="66">
        <f t="shared" si="158"/>
        <v>1.3696003396891248E-3</v>
      </c>
      <c r="O187" s="66">
        <f t="shared" si="158"/>
        <v>1.3566041326554124E-3</v>
      </c>
      <c r="P187" s="66">
        <f t="shared" si="158"/>
        <v>1.3436079256216996E-3</v>
      </c>
      <c r="Q187" s="66">
        <f t="shared" si="158"/>
        <v>1.3306117185879871E-3</v>
      </c>
      <c r="R187" s="66">
        <f t="shared" si="158"/>
        <v>1.3176155115542745E-3</v>
      </c>
      <c r="S187" s="66">
        <f t="shared" si="158"/>
        <v>1.3046193045205623E-3</v>
      </c>
      <c r="T187" s="66">
        <f t="shared" si="158"/>
        <v>1.2916230974868495E-3</v>
      </c>
      <c r="U187" s="66">
        <f t="shared" si="158"/>
        <v>1.2786268904531372E-3</v>
      </c>
      <c r="V187" s="66">
        <f t="shared" si="158"/>
        <v>1.2656306834194246E-3</v>
      </c>
      <c r="W187" s="66">
        <f t="shared" si="158"/>
        <v>1.252634476385712E-3</v>
      </c>
      <c r="X187" s="66">
        <f t="shared" si="158"/>
        <v>1.2396382693519996E-3</v>
      </c>
      <c r="Y187" s="66">
        <f t="shared" si="158"/>
        <v>1.226642062318287E-3</v>
      </c>
      <c r="Z187" s="66">
        <f t="shared" si="158"/>
        <v>1.2136458552845747E-3</v>
      </c>
      <c r="AA187" s="66">
        <f t="shared" si="158"/>
        <v>1.2006496482508621E-3</v>
      </c>
      <c r="AB187" s="66">
        <f t="shared" si="158"/>
        <v>1.1876534412171497E-3</v>
      </c>
      <c r="AC187" s="66">
        <f t="shared" si="158"/>
        <v>1.1746572341834374E-3</v>
      </c>
    </row>
    <row r="188" spans="1:29" x14ac:dyDescent="0.25">
      <c r="A188" s="59" t="str">
        <f>A151</f>
        <v>Market failure (av. utilization)</v>
      </c>
      <c r="B188" s="66">
        <f t="shared" ref="B188:AC188" si="159">B177/B151-B177/B150</f>
        <v>1.4450544546366626E-2</v>
      </c>
      <c r="C188" s="66">
        <f t="shared" si="159"/>
        <v>1.4434347681996371E-2</v>
      </c>
      <c r="D188" s="66">
        <f t="shared" si="159"/>
        <v>1.4411350456440078E-2</v>
      </c>
      <c r="E188" s="66">
        <f t="shared" si="159"/>
        <v>1.4378846088008539E-2</v>
      </c>
      <c r="F188" s="66">
        <f t="shared" si="159"/>
        <v>1.4333210541158039E-2</v>
      </c>
      <c r="G188" s="66">
        <f t="shared" si="159"/>
        <v>1.4269760564819347E-2</v>
      </c>
      <c r="H188" s="66">
        <f t="shared" si="159"/>
        <v>1.4182773020927337E-2</v>
      </c>
      <c r="I188" s="66">
        <f t="shared" si="159"/>
        <v>1.4065871083144834E-2</v>
      </c>
      <c r="J188" s="66">
        <f t="shared" si="159"/>
        <v>1.3954701762765627E-2</v>
      </c>
      <c r="K188" s="66">
        <f t="shared" si="159"/>
        <v>1.3803903189630888E-2</v>
      </c>
      <c r="L188" s="66">
        <f t="shared" si="159"/>
        <v>1.3614621606717685E-2</v>
      </c>
      <c r="M188" s="66">
        <f t="shared" si="159"/>
        <v>1.3395141028954841E-2</v>
      </c>
      <c r="N188" s="66">
        <f t="shared" si="159"/>
        <v>1.3161116878225642E-2</v>
      </c>
      <c r="O188" s="66">
        <f t="shared" si="159"/>
        <v>1.2873409613673408E-2</v>
      </c>
      <c r="P188" s="66">
        <f t="shared" si="159"/>
        <v>1.2609937638485228E-2</v>
      </c>
      <c r="Q188" s="66">
        <f t="shared" si="159"/>
        <v>1.238340194385378E-2</v>
      </c>
      <c r="R188" s="66">
        <f t="shared" si="159"/>
        <v>1.2198509028148093E-2</v>
      </c>
      <c r="S188" s="66">
        <f t="shared" si="159"/>
        <v>1.2053289416614928E-2</v>
      </c>
      <c r="T188" s="66">
        <f t="shared" si="159"/>
        <v>1.1941914887996972E-2</v>
      </c>
      <c r="U188" s="66">
        <f t="shared" si="159"/>
        <v>1.1857306317449801E-2</v>
      </c>
      <c r="V188" s="66">
        <f t="shared" si="159"/>
        <v>1.1792783993126901E-2</v>
      </c>
      <c r="W188" s="66">
        <f t="shared" si="159"/>
        <v>1.1742799905728523E-2</v>
      </c>
      <c r="X188" s="66">
        <f t="shared" si="159"/>
        <v>1.1703080898850684E-2</v>
      </c>
      <c r="Y188" s="66">
        <f t="shared" si="159"/>
        <v>1.1670488453223689E-2</v>
      </c>
      <c r="Z188" s="66">
        <f t="shared" si="159"/>
        <v>1.1642787314532041E-2</v>
      </c>
      <c r="AA188" s="66">
        <f t="shared" si="159"/>
        <v>1.1618417442930722E-2</v>
      </c>
      <c r="AB188" s="66">
        <f t="shared" si="159"/>
        <v>1.1596304557809632E-2</v>
      </c>
      <c r="AC188" s="66">
        <f t="shared" si="159"/>
        <v>1.1575715460228803E-2</v>
      </c>
    </row>
    <row r="189" spans="1:29" x14ac:dyDescent="0.25">
      <c r="A189" s="59" t="str">
        <f>A152</f>
        <v>Payload loss (fuel)</v>
      </c>
      <c r="B189" s="66">
        <f>B177/(B150-B152)-B177/B150</f>
        <v>3.955664910389612E-4</v>
      </c>
      <c r="C189" s="66">
        <f t="shared" ref="C189:AC189" si="160">C177/(C150-C152)-C177/C150</f>
        <v>3.9395770166355572E-4</v>
      </c>
      <c r="D189" s="66">
        <f t="shared" si="160"/>
        <v>3.9167836280322443E-4</v>
      </c>
      <c r="E189" s="66">
        <f t="shared" si="160"/>
        <v>3.8846656192923802E-4</v>
      </c>
      <c r="F189" s="66">
        <f t="shared" si="160"/>
        <v>3.83976660453169E-4</v>
      </c>
      <c r="G189" s="66">
        <f t="shared" si="160"/>
        <v>3.7777170569750808E-4</v>
      </c>
      <c r="H189" s="66">
        <f t="shared" si="160"/>
        <v>3.6933601605773463E-4</v>
      </c>
      <c r="I189" s="66">
        <f t="shared" si="160"/>
        <v>3.5812857854040925E-4</v>
      </c>
      <c r="J189" s="66">
        <f t="shared" si="160"/>
        <v>3.4472999370523637E-4</v>
      </c>
      <c r="K189" s="66">
        <f t="shared" si="160"/>
        <v>3.2786902583258233E-4</v>
      </c>
      <c r="L189" s="66">
        <f t="shared" si="160"/>
        <v>3.0786914988891259E-4</v>
      </c>
      <c r="M189" s="66">
        <f t="shared" si="160"/>
        <v>2.857114428431156E-4</v>
      </c>
      <c r="N189" s="66">
        <f t="shared" si="160"/>
        <v>2.6294599853852844E-4</v>
      </c>
      <c r="O189" s="66">
        <f t="shared" si="160"/>
        <v>2.4021415590511075E-4</v>
      </c>
      <c r="P189" s="66">
        <f t="shared" si="160"/>
        <v>2.2020348895156715E-4</v>
      </c>
      <c r="Q189" s="66">
        <f t="shared" si="160"/>
        <v>2.0368648560854276E-4</v>
      </c>
      <c r="R189" s="66">
        <f t="shared" si="160"/>
        <v>1.9076005752189339E-4</v>
      </c>
      <c r="S189" s="66">
        <f t="shared" si="160"/>
        <v>1.8105001859875652E-4</v>
      </c>
      <c r="T189" s="66">
        <f t="shared" si="160"/>
        <v>1.7396691064216346E-4</v>
      </c>
      <c r="U189" s="66">
        <f t="shared" si="160"/>
        <v>1.6889749274481662E-4</v>
      </c>
      <c r="V189" s="66">
        <f t="shared" si="160"/>
        <v>1.6530592507445381E-4</v>
      </c>
      <c r="W189" s="66">
        <f t="shared" si="160"/>
        <v>1.6276716550152164E-4</v>
      </c>
      <c r="X189" s="66">
        <f t="shared" si="160"/>
        <v>1.6096340327525702E-4</v>
      </c>
      <c r="Y189" s="66">
        <f t="shared" si="160"/>
        <v>1.596657889176567E-4</v>
      </c>
      <c r="Z189" s="66">
        <f t="shared" si="160"/>
        <v>1.5871352285501752E-4</v>
      </c>
      <c r="AA189" s="66">
        <f t="shared" si="160"/>
        <v>1.579954293171159E-4</v>
      </c>
      <c r="AB189" s="66">
        <f t="shared" si="160"/>
        <v>1.5743545999012502E-4</v>
      </c>
      <c r="AC189" s="66">
        <f t="shared" si="160"/>
        <v>1.5698196400869627E-4</v>
      </c>
    </row>
    <row r="190" spans="1:29" ht="15.75" thickBot="1" x14ac:dyDescent="0.3">
      <c r="A190" s="59" t="str">
        <f>A127</f>
        <v>Emission Cost</v>
      </c>
      <c r="B190" s="68">
        <f>B147*B153/B153/(B150)</f>
        <v>0</v>
      </c>
      <c r="C190" s="68">
        <f t="shared" ref="C190:AC190" si="161">C147*C153/C153/(C150)</f>
        <v>0</v>
      </c>
      <c r="D190" s="68">
        <f t="shared" si="161"/>
        <v>0</v>
      </c>
      <c r="E190" s="68">
        <f t="shared" si="161"/>
        <v>0</v>
      </c>
      <c r="F190" s="68">
        <f t="shared" si="161"/>
        <v>0</v>
      </c>
      <c r="G190" s="68">
        <f t="shared" si="161"/>
        <v>0</v>
      </c>
      <c r="H190" s="68">
        <f t="shared" si="161"/>
        <v>0</v>
      </c>
      <c r="I190" s="68">
        <f t="shared" si="161"/>
        <v>0</v>
      </c>
      <c r="J190" s="68">
        <f t="shared" si="161"/>
        <v>0</v>
      </c>
      <c r="K190" s="68">
        <f t="shared" si="161"/>
        <v>0</v>
      </c>
      <c r="L190" s="68">
        <f t="shared" si="161"/>
        <v>0</v>
      </c>
      <c r="M190" s="68">
        <f t="shared" si="161"/>
        <v>0</v>
      </c>
      <c r="N190" s="68">
        <f t="shared" si="161"/>
        <v>0</v>
      </c>
      <c r="O190" s="68">
        <f t="shared" si="161"/>
        <v>0</v>
      </c>
      <c r="P190" s="68">
        <f t="shared" si="161"/>
        <v>0</v>
      </c>
      <c r="Q190" s="68">
        <f t="shared" si="161"/>
        <v>0</v>
      </c>
      <c r="R190" s="68">
        <f t="shared" si="161"/>
        <v>0</v>
      </c>
      <c r="S190" s="68">
        <f t="shared" si="161"/>
        <v>0</v>
      </c>
      <c r="T190" s="68">
        <f t="shared" si="161"/>
        <v>0</v>
      </c>
      <c r="U190" s="68">
        <f t="shared" si="161"/>
        <v>0</v>
      </c>
      <c r="V190" s="68">
        <f t="shared" si="161"/>
        <v>0</v>
      </c>
      <c r="W190" s="68">
        <f t="shared" si="161"/>
        <v>0</v>
      </c>
      <c r="X190" s="68">
        <f t="shared" si="161"/>
        <v>0</v>
      </c>
      <c r="Y190" s="68">
        <f t="shared" si="161"/>
        <v>0</v>
      </c>
      <c r="Z190" s="68">
        <f t="shared" si="161"/>
        <v>0</v>
      </c>
      <c r="AA190" s="68">
        <f t="shared" si="161"/>
        <v>0</v>
      </c>
      <c r="AB190" s="68">
        <f t="shared" si="161"/>
        <v>0</v>
      </c>
      <c r="AC190" s="68">
        <f t="shared" si="161"/>
        <v>0</v>
      </c>
    </row>
    <row r="191" spans="1:29" ht="15.75" thickBot="1" x14ac:dyDescent="0.3">
      <c r="A191" s="31" t="s">
        <v>210</v>
      </c>
      <c r="B191" s="67">
        <f>B180+B181+B182+B183+B184+B185+B186+B187+B188+B189+B190</f>
        <v>2.5498255477549962E-2</v>
      </c>
      <c r="C191" s="67">
        <f t="shared" ref="C191:AC191" si="162">C180+C181+C182+C183+C184+C185+C186+C187+C188+C189+C190</f>
        <v>2.546839634334272E-2</v>
      </c>
      <c r="D191" s="67">
        <f t="shared" si="162"/>
        <v>2.5426005564558624E-2</v>
      </c>
      <c r="E191" s="67">
        <f t="shared" si="162"/>
        <v>2.5366100097815668E-2</v>
      </c>
      <c r="F191" s="67">
        <f t="shared" si="162"/>
        <v>2.528201331229803E-2</v>
      </c>
      <c r="G191" s="67">
        <f t="shared" si="162"/>
        <v>2.5165139794160928E-2</v>
      </c>
      <c r="H191" s="67">
        <f t="shared" si="162"/>
        <v>2.5004981644244396E-2</v>
      </c>
      <c r="I191" s="67">
        <f t="shared" si="162"/>
        <v>2.4789875478036662E-2</v>
      </c>
      <c r="J191" s="67">
        <f t="shared" si="162"/>
        <v>2.4582576915795892E-2</v>
      </c>
      <c r="K191" s="67">
        <f t="shared" si="162"/>
        <v>2.4302695180827762E-2</v>
      </c>
      <c r="L191" s="67">
        <f t="shared" si="162"/>
        <v>2.3952553009105253E-2</v>
      </c>
      <c r="M191" s="67">
        <f t="shared" si="162"/>
        <v>2.3547580340845191E-2</v>
      </c>
      <c r="N191" s="67">
        <f t="shared" si="162"/>
        <v>2.3116633238292002E-2</v>
      </c>
      <c r="O191" s="67">
        <f t="shared" si="162"/>
        <v>2.2592086399346546E-2</v>
      </c>
      <c r="P191" s="67">
        <f t="shared" si="162"/>
        <v>2.2112531589622925E-2</v>
      </c>
      <c r="Q191" s="67">
        <f t="shared" si="162"/>
        <v>2.1700894188666907E-2</v>
      </c>
      <c r="R191" s="67">
        <f t="shared" si="162"/>
        <v>2.1365480116907552E-2</v>
      </c>
      <c r="S191" s="67">
        <f t="shared" si="162"/>
        <v>2.1102480057868425E-2</v>
      </c>
      <c r="T191" s="67">
        <f t="shared" si="162"/>
        <v>2.0901139051159583E-2</v>
      </c>
      <c r="U191" s="67">
        <f t="shared" si="162"/>
        <v>2.0748496545098569E-2</v>
      </c>
      <c r="V191" s="67">
        <f t="shared" si="162"/>
        <v>2.0632366039655702E-2</v>
      </c>
      <c r="W191" s="67">
        <f t="shared" si="162"/>
        <v>2.0542645732294904E-2</v>
      </c>
      <c r="X191" s="67">
        <f t="shared" si="162"/>
        <v>2.0471564632491012E-2</v>
      </c>
      <c r="Y191" s="67">
        <f t="shared" si="162"/>
        <v>2.0413419729249122E-2</v>
      </c>
      <c r="Z191" s="67">
        <f t="shared" si="162"/>
        <v>2.0364151523608022E-2</v>
      </c>
      <c r="AA191" s="67">
        <f t="shared" si="162"/>
        <v>2.0320927840067823E-2</v>
      </c>
      <c r="AB191" s="67">
        <f t="shared" si="162"/>
        <v>2.0281798885064511E-2</v>
      </c>
      <c r="AC191" s="67">
        <f t="shared" si="162"/>
        <v>2.0245434172372331E-2</v>
      </c>
    </row>
    <row r="193" spans="2:2" x14ac:dyDescent="0.25">
      <c r="B193" s="40"/>
    </row>
    <row r="215" spans="1:44" s="3" customFormat="1" ht="21" x14ac:dyDescent="0.35">
      <c r="A215" s="2" t="str">
        <f>'Parameter Input'!A170</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Input'!$L$171</f>
        <v>10000000</v>
      </c>
      <c r="C225" s="42">
        <f>'Parameter Input'!$M$171</f>
        <v>6250000</v>
      </c>
      <c r="D225" s="1" t="s">
        <v>15</v>
      </c>
      <c r="L225" s="51">
        <f>'Parameter Input'!$O$171</f>
        <v>12</v>
      </c>
      <c r="M225" s="52">
        <v>0</v>
      </c>
      <c r="N225" s="52">
        <v>1</v>
      </c>
      <c r="O225" s="52">
        <f>'Parameter Input'!$P$171</f>
        <v>0.9</v>
      </c>
      <c r="P225" s="53">
        <f>'Parameter Input'!$Q$171</f>
        <v>0.4</v>
      </c>
      <c r="Q225" s="4">
        <f t="shared" ref="Q225:AR234" si="163">$N225+($M225-$N225)*((1/(1+EXP(-$P225*(Q$9-$L225)))^$O225))</f>
        <v>0.9867978615748374</v>
      </c>
      <c r="R225" s="4">
        <f t="shared" si="163"/>
        <v>0.98114509762858249</v>
      </c>
      <c r="S225" s="4">
        <f t="shared" si="163"/>
        <v>0.97311898315872036</v>
      </c>
      <c r="T225" s="4">
        <f t="shared" si="163"/>
        <v>0.96177484161592774</v>
      </c>
      <c r="U225" s="4">
        <f t="shared" si="163"/>
        <v>0.94584787155511363</v>
      </c>
      <c r="V225" s="4">
        <f t="shared" si="163"/>
        <v>0.92370360150141495</v>
      </c>
      <c r="W225" s="4">
        <f t="shared" si="163"/>
        <v>0.89334463567658451</v>
      </c>
      <c r="X225" s="4">
        <f t="shared" si="163"/>
        <v>0.85254543874327005</v>
      </c>
      <c r="Y225" s="4">
        <f t="shared" si="163"/>
        <v>0.79921300652623883</v>
      </c>
      <c r="Z225" s="4">
        <f t="shared" si="163"/>
        <v>0.73204982249993378</v>
      </c>
      <c r="AA225" s="4">
        <f t="shared" si="163"/>
        <v>0.65145592958786691</v>
      </c>
      <c r="AB225" s="4">
        <f t="shared" si="163"/>
        <v>0.56032247880849573</v>
      </c>
      <c r="AC225" s="4">
        <f t="shared" si="163"/>
        <v>0.46411326873185343</v>
      </c>
      <c r="AD225" s="4">
        <f t="shared" si="163"/>
        <v>0.36979727595523937</v>
      </c>
      <c r="AE225" s="4">
        <f t="shared" si="163"/>
        <v>0.28393948637231203</v>
      </c>
      <c r="AF225" s="4">
        <f t="shared" si="163"/>
        <v>0.21097259161117732</v>
      </c>
      <c r="AG225" s="4">
        <f t="shared" si="163"/>
        <v>0.15253917653798199</v>
      </c>
      <c r="AH225" s="4">
        <f t="shared" si="163"/>
        <v>0.10795188737709993</v>
      </c>
      <c r="AI225" s="4">
        <f t="shared" si="163"/>
        <v>7.5176653938091809E-2</v>
      </c>
      <c r="AJ225" s="4">
        <f t="shared" si="163"/>
        <v>5.1742836177502194E-2</v>
      </c>
      <c r="AK225" s="4">
        <f t="shared" si="163"/>
        <v>3.5319190625345942E-2</v>
      </c>
      <c r="AL225" s="4">
        <f t="shared" si="163"/>
        <v>2.3969442072658165E-2</v>
      </c>
      <c r="AM225" s="4">
        <f t="shared" si="163"/>
        <v>1.6202243558389728E-2</v>
      </c>
      <c r="AN225" s="4">
        <f t="shared" si="163"/>
        <v>1.0922240564108399E-2</v>
      </c>
      <c r="AO225" s="4">
        <f t="shared" si="163"/>
        <v>7.3493212906090566E-3</v>
      </c>
      <c r="AP225" s="4">
        <f t="shared" si="163"/>
        <v>4.9390262185057265E-3</v>
      </c>
      <c r="AQ225" s="4">
        <f t="shared" si="163"/>
        <v>3.3164275492956197E-3</v>
      </c>
      <c r="AR225" s="4">
        <f t="shared" si="163"/>
        <v>2.2256362146679809E-3</v>
      </c>
    </row>
    <row r="226" spans="1:44" x14ac:dyDescent="0.25">
      <c r="A226" s="24" t="s">
        <v>28</v>
      </c>
      <c r="B226" s="60">
        <f>'Parameter Input'!$L$172</f>
        <v>-500000</v>
      </c>
      <c r="C226" s="61">
        <f>'Parameter Input'!$M$172</f>
        <v>-937500</v>
      </c>
      <c r="D226" s="1" t="s">
        <v>15</v>
      </c>
      <c r="L226" s="54">
        <f>'Parameter Input'!$O$172</f>
        <v>12</v>
      </c>
      <c r="M226" s="37">
        <v>0</v>
      </c>
      <c r="N226" s="37">
        <v>1</v>
      </c>
      <c r="O226" s="37">
        <f>'Parameter Input'!$P$172</f>
        <v>0.9</v>
      </c>
      <c r="P226" s="55">
        <f>'Parameter Input'!$Q$172</f>
        <v>0.4</v>
      </c>
      <c r="Q226" s="4">
        <f t="shared" si="163"/>
        <v>0.9867978615748374</v>
      </c>
      <c r="R226" s="4">
        <f t="shared" si="163"/>
        <v>0.98114509762858249</v>
      </c>
      <c r="S226" s="4">
        <f t="shared" si="163"/>
        <v>0.97311898315872036</v>
      </c>
      <c r="T226" s="4">
        <f t="shared" si="163"/>
        <v>0.96177484161592774</v>
      </c>
      <c r="U226" s="4">
        <f t="shared" si="163"/>
        <v>0.94584787155511363</v>
      </c>
      <c r="V226" s="4">
        <f t="shared" si="163"/>
        <v>0.92370360150141495</v>
      </c>
      <c r="W226" s="4">
        <f t="shared" si="163"/>
        <v>0.89334463567658451</v>
      </c>
      <c r="X226" s="4">
        <f t="shared" si="163"/>
        <v>0.85254543874327005</v>
      </c>
      <c r="Y226" s="4">
        <f t="shared" si="163"/>
        <v>0.79921300652623883</v>
      </c>
      <c r="Z226" s="4">
        <f t="shared" si="163"/>
        <v>0.73204982249993378</v>
      </c>
      <c r="AA226" s="4">
        <f t="shared" si="163"/>
        <v>0.65145592958786691</v>
      </c>
      <c r="AB226" s="4">
        <f t="shared" si="163"/>
        <v>0.56032247880849573</v>
      </c>
      <c r="AC226" s="4">
        <f t="shared" si="163"/>
        <v>0.46411326873185343</v>
      </c>
      <c r="AD226" s="4">
        <f t="shared" si="163"/>
        <v>0.36979727595523937</v>
      </c>
      <c r="AE226" s="4">
        <f t="shared" si="163"/>
        <v>0.28393948637231203</v>
      </c>
      <c r="AF226" s="4">
        <f t="shared" si="163"/>
        <v>0.21097259161117732</v>
      </c>
      <c r="AG226" s="4">
        <f t="shared" si="163"/>
        <v>0.15253917653798199</v>
      </c>
      <c r="AH226" s="4">
        <f t="shared" si="163"/>
        <v>0.10795188737709993</v>
      </c>
      <c r="AI226" s="4">
        <f t="shared" si="163"/>
        <v>7.5176653938091809E-2</v>
      </c>
      <c r="AJ226" s="4">
        <f t="shared" si="163"/>
        <v>5.1742836177502194E-2</v>
      </c>
      <c r="AK226" s="4">
        <f t="shared" si="163"/>
        <v>3.5319190625345942E-2</v>
      </c>
      <c r="AL226" s="4">
        <f t="shared" si="163"/>
        <v>2.3969442072658165E-2</v>
      </c>
      <c r="AM226" s="4">
        <f t="shared" si="163"/>
        <v>1.6202243558389728E-2</v>
      </c>
      <c r="AN226" s="4">
        <f t="shared" si="163"/>
        <v>1.0922240564108399E-2</v>
      </c>
      <c r="AO226" s="4">
        <f t="shared" si="163"/>
        <v>7.3493212906090566E-3</v>
      </c>
      <c r="AP226" s="4">
        <f t="shared" si="163"/>
        <v>4.9390262185057265E-3</v>
      </c>
      <c r="AQ226" s="4">
        <f t="shared" si="163"/>
        <v>3.3164275492956197E-3</v>
      </c>
      <c r="AR226" s="4">
        <f t="shared" si="163"/>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63"/>
        <v>0.9867978615748374</v>
      </c>
      <c r="R227" s="4">
        <f t="shared" si="163"/>
        <v>0.98114509762858249</v>
      </c>
      <c r="S227" s="4">
        <f t="shared" si="163"/>
        <v>0.97311898315872036</v>
      </c>
      <c r="T227" s="4">
        <f t="shared" si="163"/>
        <v>0.96177484161592774</v>
      </c>
      <c r="U227" s="4">
        <f t="shared" si="163"/>
        <v>0.94584787155511363</v>
      </c>
      <c r="V227" s="4">
        <f t="shared" si="163"/>
        <v>0.92370360150141495</v>
      </c>
      <c r="W227" s="4">
        <f t="shared" si="163"/>
        <v>0.89334463567658451</v>
      </c>
      <c r="X227" s="4">
        <f t="shared" si="163"/>
        <v>0.85254543874327005</v>
      </c>
      <c r="Y227" s="4">
        <f t="shared" si="163"/>
        <v>0.79921300652623883</v>
      </c>
      <c r="Z227" s="4">
        <f t="shared" si="163"/>
        <v>0.73204982249993378</v>
      </c>
      <c r="AA227" s="4">
        <f t="shared" si="163"/>
        <v>0.65145592958786691</v>
      </c>
      <c r="AB227" s="4">
        <f t="shared" si="163"/>
        <v>0.56032247880849573</v>
      </c>
      <c r="AC227" s="4">
        <f t="shared" si="163"/>
        <v>0.46411326873185343</v>
      </c>
      <c r="AD227" s="4">
        <f t="shared" si="163"/>
        <v>0.36979727595523937</v>
      </c>
      <c r="AE227" s="4">
        <f t="shared" si="163"/>
        <v>0.28393948637231203</v>
      </c>
      <c r="AF227" s="4">
        <f t="shared" si="163"/>
        <v>0.21097259161117732</v>
      </c>
      <c r="AG227" s="4">
        <f t="shared" si="163"/>
        <v>0.15253917653798199</v>
      </c>
      <c r="AH227" s="4">
        <f t="shared" si="163"/>
        <v>0.10795188737709993</v>
      </c>
      <c r="AI227" s="4">
        <f t="shared" si="163"/>
        <v>7.5176653938091809E-2</v>
      </c>
      <c r="AJ227" s="4">
        <f t="shared" si="163"/>
        <v>5.1742836177502194E-2</v>
      </c>
      <c r="AK227" s="4">
        <f t="shared" si="163"/>
        <v>3.5319190625345942E-2</v>
      </c>
      <c r="AL227" s="4">
        <f t="shared" si="163"/>
        <v>2.3969442072658165E-2</v>
      </c>
      <c r="AM227" s="4">
        <f t="shared" si="163"/>
        <v>1.6202243558389728E-2</v>
      </c>
      <c r="AN227" s="4">
        <f t="shared" si="163"/>
        <v>1.0922240564108399E-2</v>
      </c>
      <c r="AO227" s="4">
        <f t="shared" si="163"/>
        <v>7.3493212906090566E-3</v>
      </c>
      <c r="AP227" s="4">
        <f t="shared" si="163"/>
        <v>4.9390262185057265E-3</v>
      </c>
      <c r="AQ227" s="4">
        <f t="shared" si="163"/>
        <v>3.3164275492956197E-3</v>
      </c>
      <c r="AR227" s="4">
        <f t="shared" si="163"/>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63"/>
        <v>0.9867978615748374</v>
      </c>
      <c r="R228" s="4">
        <f t="shared" si="163"/>
        <v>0.98114509762858249</v>
      </c>
      <c r="S228" s="4">
        <f t="shared" si="163"/>
        <v>0.97311898315872036</v>
      </c>
      <c r="T228" s="4">
        <f t="shared" si="163"/>
        <v>0.96177484161592774</v>
      </c>
      <c r="U228" s="4">
        <f t="shared" si="163"/>
        <v>0.94584787155511363</v>
      </c>
      <c r="V228" s="4">
        <f t="shared" si="163"/>
        <v>0.92370360150141495</v>
      </c>
      <c r="W228" s="4">
        <f t="shared" si="163"/>
        <v>0.89334463567658451</v>
      </c>
      <c r="X228" s="4">
        <f t="shared" si="163"/>
        <v>0.85254543874327005</v>
      </c>
      <c r="Y228" s="4">
        <f t="shared" si="163"/>
        <v>0.79921300652623883</v>
      </c>
      <c r="Z228" s="4">
        <f t="shared" si="163"/>
        <v>0.73204982249993378</v>
      </c>
      <c r="AA228" s="4">
        <f t="shared" si="163"/>
        <v>0.65145592958786691</v>
      </c>
      <c r="AB228" s="4">
        <f t="shared" si="163"/>
        <v>0.56032247880849573</v>
      </c>
      <c r="AC228" s="4">
        <f t="shared" si="163"/>
        <v>0.46411326873185343</v>
      </c>
      <c r="AD228" s="4">
        <f t="shared" si="163"/>
        <v>0.36979727595523937</v>
      </c>
      <c r="AE228" s="4">
        <f t="shared" si="163"/>
        <v>0.28393948637231203</v>
      </c>
      <c r="AF228" s="4">
        <f t="shared" si="163"/>
        <v>0.21097259161117732</v>
      </c>
      <c r="AG228" s="4">
        <f t="shared" si="163"/>
        <v>0.15253917653798199</v>
      </c>
      <c r="AH228" s="4">
        <f t="shared" si="163"/>
        <v>0.10795188737709993</v>
      </c>
      <c r="AI228" s="4">
        <f t="shared" si="163"/>
        <v>7.5176653938091809E-2</v>
      </c>
      <c r="AJ228" s="4">
        <f t="shared" si="163"/>
        <v>5.1742836177502194E-2</v>
      </c>
      <c r="AK228" s="4">
        <f t="shared" si="163"/>
        <v>3.5319190625345942E-2</v>
      </c>
      <c r="AL228" s="4">
        <f t="shared" si="163"/>
        <v>2.3969442072658165E-2</v>
      </c>
      <c r="AM228" s="4">
        <f t="shared" si="163"/>
        <v>1.6202243558389728E-2</v>
      </c>
      <c r="AN228" s="4">
        <f t="shared" si="163"/>
        <v>1.0922240564108399E-2</v>
      </c>
      <c r="AO228" s="4">
        <f t="shared" si="163"/>
        <v>7.3493212906090566E-3</v>
      </c>
      <c r="AP228" s="4">
        <f t="shared" si="163"/>
        <v>4.9390262185057265E-3</v>
      </c>
      <c r="AQ228" s="4">
        <f t="shared" si="163"/>
        <v>3.3164275492956197E-3</v>
      </c>
      <c r="AR228" s="4">
        <f t="shared" si="163"/>
        <v>2.2256362146679809E-3</v>
      </c>
    </row>
    <row r="229" spans="1:44" x14ac:dyDescent="0.25">
      <c r="A229" s="24" t="s">
        <v>79</v>
      </c>
      <c r="B229" s="45">
        <f>'Parameter Input'!$L$178</f>
        <v>0.06</v>
      </c>
      <c r="C229" s="46">
        <f>'Parameter Input'!$M$178</f>
        <v>0.06</v>
      </c>
      <c r="D229" s="1" t="s">
        <v>57</v>
      </c>
      <c r="L229" s="54">
        <f>'Parameter Input'!$O$178</f>
        <v>12</v>
      </c>
      <c r="M229" s="37">
        <v>0</v>
      </c>
      <c r="N229" s="37">
        <v>1</v>
      </c>
      <c r="O229" s="37">
        <f>'Parameter Input'!$P$178</f>
        <v>0.9</v>
      </c>
      <c r="P229" s="55">
        <f>'Parameter Input'!$Q$178</f>
        <v>0.4</v>
      </c>
      <c r="Q229" s="4">
        <f t="shared" si="163"/>
        <v>0.9867978615748374</v>
      </c>
      <c r="R229" s="4">
        <f t="shared" si="163"/>
        <v>0.98114509762858249</v>
      </c>
      <c r="S229" s="4">
        <f t="shared" si="163"/>
        <v>0.97311898315872036</v>
      </c>
      <c r="T229" s="4">
        <f t="shared" si="163"/>
        <v>0.96177484161592774</v>
      </c>
      <c r="U229" s="4">
        <f t="shared" si="163"/>
        <v>0.94584787155511363</v>
      </c>
      <c r="V229" s="4">
        <f t="shared" si="163"/>
        <v>0.92370360150141495</v>
      </c>
      <c r="W229" s="4">
        <f t="shared" si="163"/>
        <v>0.89334463567658451</v>
      </c>
      <c r="X229" s="4">
        <f t="shared" si="163"/>
        <v>0.85254543874327005</v>
      </c>
      <c r="Y229" s="4">
        <f t="shared" si="163"/>
        <v>0.79921300652623883</v>
      </c>
      <c r="Z229" s="4">
        <f t="shared" si="163"/>
        <v>0.73204982249993378</v>
      </c>
      <c r="AA229" s="4">
        <f t="shared" si="163"/>
        <v>0.65145592958786691</v>
      </c>
      <c r="AB229" s="4">
        <f t="shared" si="163"/>
        <v>0.56032247880849573</v>
      </c>
      <c r="AC229" s="4">
        <f t="shared" si="163"/>
        <v>0.46411326873185343</v>
      </c>
      <c r="AD229" s="4">
        <f t="shared" si="163"/>
        <v>0.36979727595523937</v>
      </c>
      <c r="AE229" s="4">
        <f t="shared" si="163"/>
        <v>0.28393948637231203</v>
      </c>
      <c r="AF229" s="4">
        <f t="shared" si="163"/>
        <v>0.21097259161117732</v>
      </c>
      <c r="AG229" s="4">
        <f t="shared" si="163"/>
        <v>0.15253917653798199</v>
      </c>
      <c r="AH229" s="4">
        <f t="shared" si="163"/>
        <v>0.10795188737709993</v>
      </c>
      <c r="AI229" s="4">
        <f t="shared" si="163"/>
        <v>7.5176653938091809E-2</v>
      </c>
      <c r="AJ229" s="4">
        <f t="shared" si="163"/>
        <v>5.1742836177502194E-2</v>
      </c>
      <c r="AK229" s="4">
        <f t="shared" si="163"/>
        <v>3.5319190625345942E-2</v>
      </c>
      <c r="AL229" s="4">
        <f t="shared" si="163"/>
        <v>2.3969442072658165E-2</v>
      </c>
      <c r="AM229" s="4">
        <f t="shared" si="163"/>
        <v>1.6202243558389728E-2</v>
      </c>
      <c r="AN229" s="4">
        <f t="shared" si="163"/>
        <v>1.0922240564108399E-2</v>
      </c>
      <c r="AO229" s="4">
        <f t="shared" si="163"/>
        <v>7.3493212906090566E-3</v>
      </c>
      <c r="AP229" s="4">
        <f t="shared" si="163"/>
        <v>4.9390262185057265E-3</v>
      </c>
      <c r="AQ229" s="4">
        <f t="shared" si="163"/>
        <v>3.3164275492956197E-3</v>
      </c>
      <c r="AR229" s="4">
        <f t="shared" si="163"/>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63"/>
        <v>0.9867978615748374</v>
      </c>
      <c r="R230" s="4">
        <f t="shared" si="163"/>
        <v>0.98114509762858249</v>
      </c>
      <c r="S230" s="4">
        <f t="shared" si="163"/>
        <v>0.97311898315872036</v>
      </c>
      <c r="T230" s="4">
        <f t="shared" si="163"/>
        <v>0.96177484161592774</v>
      </c>
      <c r="U230" s="4">
        <f t="shared" si="163"/>
        <v>0.94584787155511363</v>
      </c>
      <c r="V230" s="4">
        <f t="shared" si="163"/>
        <v>0.92370360150141495</v>
      </c>
      <c r="W230" s="4">
        <f t="shared" si="163"/>
        <v>0.89334463567658451</v>
      </c>
      <c r="X230" s="4">
        <f t="shared" si="163"/>
        <v>0.85254543874327005</v>
      </c>
      <c r="Y230" s="4">
        <f t="shared" si="163"/>
        <v>0.79921300652623883</v>
      </c>
      <c r="Z230" s="4">
        <f t="shared" si="163"/>
        <v>0.73204982249993378</v>
      </c>
      <c r="AA230" s="4">
        <f t="shared" si="163"/>
        <v>0.65145592958786691</v>
      </c>
      <c r="AB230" s="4">
        <f t="shared" si="163"/>
        <v>0.56032247880849573</v>
      </c>
      <c r="AC230" s="4">
        <f t="shared" si="163"/>
        <v>0.46411326873185343</v>
      </c>
      <c r="AD230" s="4">
        <f t="shared" si="163"/>
        <v>0.36979727595523937</v>
      </c>
      <c r="AE230" s="4">
        <f t="shared" si="163"/>
        <v>0.28393948637231203</v>
      </c>
      <c r="AF230" s="4">
        <f t="shared" si="163"/>
        <v>0.21097259161117732</v>
      </c>
      <c r="AG230" s="4">
        <f t="shared" si="163"/>
        <v>0.15253917653798199</v>
      </c>
      <c r="AH230" s="4">
        <f t="shared" si="163"/>
        <v>0.10795188737709993</v>
      </c>
      <c r="AI230" s="4">
        <f t="shared" si="163"/>
        <v>7.5176653938091809E-2</v>
      </c>
      <c r="AJ230" s="4">
        <f t="shared" si="163"/>
        <v>5.1742836177502194E-2</v>
      </c>
      <c r="AK230" s="4">
        <f t="shared" si="163"/>
        <v>3.5319190625345942E-2</v>
      </c>
      <c r="AL230" s="4">
        <f t="shared" si="163"/>
        <v>2.3969442072658165E-2</v>
      </c>
      <c r="AM230" s="4">
        <f t="shared" si="163"/>
        <v>1.6202243558389728E-2</v>
      </c>
      <c r="AN230" s="4">
        <f t="shared" si="163"/>
        <v>1.0922240564108399E-2</v>
      </c>
      <c r="AO230" s="4">
        <f t="shared" si="163"/>
        <v>7.3493212906090566E-3</v>
      </c>
      <c r="AP230" s="4">
        <f t="shared" si="163"/>
        <v>4.9390262185057265E-3</v>
      </c>
      <c r="AQ230" s="4">
        <f t="shared" si="163"/>
        <v>3.3164275492956197E-3</v>
      </c>
      <c r="AR230" s="4">
        <f t="shared" si="163"/>
        <v>2.2256362146679809E-3</v>
      </c>
    </row>
    <row r="231" spans="1:44" x14ac:dyDescent="0.25">
      <c r="A231" s="24" t="s">
        <v>52</v>
      </c>
      <c r="B231" s="43">
        <f>'Parameter Input'!$L$174</f>
        <v>1300000</v>
      </c>
      <c r="C231" s="44">
        <f>'Parameter Input'!$M$174</f>
        <v>812500</v>
      </c>
      <c r="D231" s="1" t="s">
        <v>38</v>
      </c>
      <c r="L231" s="54">
        <f>'Parameter Input'!$O$174</f>
        <v>12</v>
      </c>
      <c r="M231" s="37">
        <v>0</v>
      </c>
      <c r="N231" s="37">
        <v>1</v>
      </c>
      <c r="O231" s="37">
        <f>'Parameter Input'!$P$174</f>
        <v>0.9</v>
      </c>
      <c r="P231" s="55">
        <f>'Parameter Input'!$Q$174</f>
        <v>0.4</v>
      </c>
      <c r="Q231" s="4">
        <f t="shared" si="163"/>
        <v>0.9867978615748374</v>
      </c>
      <c r="R231" s="4">
        <f t="shared" si="163"/>
        <v>0.98114509762858249</v>
      </c>
      <c r="S231" s="4">
        <f t="shared" si="163"/>
        <v>0.97311898315872036</v>
      </c>
      <c r="T231" s="4">
        <f t="shared" si="163"/>
        <v>0.96177484161592774</v>
      </c>
      <c r="U231" s="4">
        <f t="shared" si="163"/>
        <v>0.94584787155511363</v>
      </c>
      <c r="V231" s="4">
        <f t="shared" si="163"/>
        <v>0.92370360150141495</v>
      </c>
      <c r="W231" s="4">
        <f t="shared" si="163"/>
        <v>0.89334463567658451</v>
      </c>
      <c r="X231" s="4">
        <f t="shared" si="163"/>
        <v>0.85254543874327005</v>
      </c>
      <c r="Y231" s="4">
        <f t="shared" si="163"/>
        <v>0.79921300652623883</v>
      </c>
      <c r="Z231" s="4">
        <f t="shared" si="163"/>
        <v>0.73204982249993378</v>
      </c>
      <c r="AA231" s="4">
        <f t="shared" si="163"/>
        <v>0.65145592958786691</v>
      </c>
      <c r="AB231" s="4">
        <f t="shared" si="163"/>
        <v>0.56032247880849573</v>
      </c>
      <c r="AC231" s="4">
        <f t="shared" si="163"/>
        <v>0.46411326873185343</v>
      </c>
      <c r="AD231" s="4">
        <f t="shared" si="163"/>
        <v>0.36979727595523937</v>
      </c>
      <c r="AE231" s="4">
        <f t="shared" si="163"/>
        <v>0.28393948637231203</v>
      </c>
      <c r="AF231" s="4">
        <f t="shared" si="163"/>
        <v>0.21097259161117732</v>
      </c>
      <c r="AG231" s="4">
        <f t="shared" si="163"/>
        <v>0.15253917653798199</v>
      </c>
      <c r="AH231" s="4">
        <f t="shared" si="163"/>
        <v>0.10795188737709993</v>
      </c>
      <c r="AI231" s="4">
        <f t="shared" si="163"/>
        <v>7.5176653938091809E-2</v>
      </c>
      <c r="AJ231" s="4">
        <f t="shared" si="163"/>
        <v>5.1742836177502194E-2</v>
      </c>
      <c r="AK231" s="4">
        <f t="shared" si="163"/>
        <v>3.5319190625345942E-2</v>
      </c>
      <c r="AL231" s="4">
        <f t="shared" si="163"/>
        <v>2.3969442072658165E-2</v>
      </c>
      <c r="AM231" s="4">
        <f t="shared" si="163"/>
        <v>1.6202243558389728E-2</v>
      </c>
      <c r="AN231" s="4">
        <f t="shared" si="163"/>
        <v>1.0922240564108399E-2</v>
      </c>
      <c r="AO231" s="4">
        <f t="shared" si="163"/>
        <v>7.3493212906090566E-3</v>
      </c>
      <c r="AP231" s="4">
        <f t="shared" si="163"/>
        <v>4.9390262185057265E-3</v>
      </c>
      <c r="AQ231" s="4">
        <f t="shared" si="163"/>
        <v>3.3164275492956197E-3</v>
      </c>
      <c r="AR231" s="4">
        <f t="shared" si="163"/>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63"/>
        <v>0.9867978615748374</v>
      </c>
      <c r="R232" s="4">
        <f t="shared" si="163"/>
        <v>0.98114509762858249</v>
      </c>
      <c r="S232" s="4">
        <f t="shared" si="163"/>
        <v>0.97311898315872036</v>
      </c>
      <c r="T232" s="4">
        <f t="shared" si="163"/>
        <v>0.96177484161592774</v>
      </c>
      <c r="U232" s="4">
        <f t="shared" si="163"/>
        <v>0.94584787155511363</v>
      </c>
      <c r="V232" s="4">
        <f t="shared" si="163"/>
        <v>0.92370360150141495</v>
      </c>
      <c r="W232" s="4">
        <f t="shared" si="163"/>
        <v>0.89334463567658451</v>
      </c>
      <c r="X232" s="4">
        <f t="shared" si="163"/>
        <v>0.85254543874327005</v>
      </c>
      <c r="Y232" s="4">
        <f t="shared" si="163"/>
        <v>0.79921300652623883</v>
      </c>
      <c r="Z232" s="4">
        <f t="shared" si="163"/>
        <v>0.73204982249993378</v>
      </c>
      <c r="AA232" s="4">
        <f t="shared" si="163"/>
        <v>0.65145592958786691</v>
      </c>
      <c r="AB232" s="4">
        <f t="shared" si="163"/>
        <v>0.56032247880849573</v>
      </c>
      <c r="AC232" s="4">
        <f t="shared" si="163"/>
        <v>0.46411326873185343</v>
      </c>
      <c r="AD232" s="4">
        <f t="shared" si="163"/>
        <v>0.36979727595523937</v>
      </c>
      <c r="AE232" s="4">
        <f t="shared" si="163"/>
        <v>0.28393948637231203</v>
      </c>
      <c r="AF232" s="4">
        <f t="shared" si="163"/>
        <v>0.21097259161117732</v>
      </c>
      <c r="AG232" s="4">
        <f t="shared" si="163"/>
        <v>0.15253917653798199</v>
      </c>
      <c r="AH232" s="4">
        <f t="shared" si="163"/>
        <v>0.10795188737709993</v>
      </c>
      <c r="AI232" s="4">
        <f t="shared" si="163"/>
        <v>7.5176653938091809E-2</v>
      </c>
      <c r="AJ232" s="4">
        <f t="shared" si="163"/>
        <v>5.1742836177502194E-2</v>
      </c>
      <c r="AK232" s="4">
        <f t="shared" si="163"/>
        <v>3.5319190625345942E-2</v>
      </c>
      <c r="AL232" s="4">
        <f t="shared" si="163"/>
        <v>2.3969442072658165E-2</v>
      </c>
      <c r="AM232" s="4">
        <f t="shared" si="163"/>
        <v>1.6202243558389728E-2</v>
      </c>
      <c r="AN232" s="4">
        <f t="shared" si="163"/>
        <v>1.0922240564108399E-2</v>
      </c>
      <c r="AO232" s="4">
        <f t="shared" si="163"/>
        <v>7.3493212906090566E-3</v>
      </c>
      <c r="AP232" s="4">
        <f t="shared" si="163"/>
        <v>4.9390262185057265E-3</v>
      </c>
      <c r="AQ232" s="4">
        <f t="shared" si="163"/>
        <v>3.3164275492956197E-3</v>
      </c>
      <c r="AR232" s="4">
        <f t="shared" si="163"/>
        <v>2.2256362146679809E-3</v>
      </c>
    </row>
    <row r="233" spans="1:44" x14ac:dyDescent="0.25">
      <c r="A233" s="24" t="s">
        <v>59</v>
      </c>
      <c r="B233" s="47">
        <f>'Parameter Input'!$L$175</f>
        <v>33.590199999999996</v>
      </c>
      <c r="C233" s="48">
        <f>'Parameter Input'!$M$175</f>
        <v>33.590199999999996</v>
      </c>
      <c r="D233" s="1" t="s">
        <v>60</v>
      </c>
      <c r="L233" s="54">
        <f>'Parameter Input'!$O$175</f>
        <v>12</v>
      </c>
      <c r="M233" s="37">
        <v>0</v>
      </c>
      <c r="N233" s="37">
        <v>1</v>
      </c>
      <c r="O233" s="37">
        <f>'Parameter Input'!$P$175</f>
        <v>0.9</v>
      </c>
      <c r="P233" s="55">
        <f>'Parameter Input'!$Q$175</f>
        <v>0.4</v>
      </c>
      <c r="Q233" s="4">
        <f t="shared" si="163"/>
        <v>0.9867978615748374</v>
      </c>
      <c r="R233" s="4">
        <f t="shared" si="163"/>
        <v>0.98114509762858249</v>
      </c>
      <c r="S233" s="4">
        <f t="shared" si="163"/>
        <v>0.97311898315872036</v>
      </c>
      <c r="T233" s="4">
        <f t="shared" si="163"/>
        <v>0.96177484161592774</v>
      </c>
      <c r="U233" s="4">
        <f t="shared" si="163"/>
        <v>0.94584787155511363</v>
      </c>
      <c r="V233" s="4">
        <f t="shared" si="163"/>
        <v>0.92370360150141495</v>
      </c>
      <c r="W233" s="4">
        <f t="shared" si="163"/>
        <v>0.89334463567658451</v>
      </c>
      <c r="X233" s="4">
        <f t="shared" si="163"/>
        <v>0.85254543874327005</v>
      </c>
      <c r="Y233" s="4">
        <f t="shared" si="163"/>
        <v>0.79921300652623883</v>
      </c>
      <c r="Z233" s="4">
        <f t="shared" si="163"/>
        <v>0.73204982249993378</v>
      </c>
      <c r="AA233" s="4">
        <f t="shared" si="163"/>
        <v>0.65145592958786691</v>
      </c>
      <c r="AB233" s="4">
        <f t="shared" si="163"/>
        <v>0.56032247880849573</v>
      </c>
      <c r="AC233" s="4">
        <f t="shared" si="163"/>
        <v>0.46411326873185343</v>
      </c>
      <c r="AD233" s="4">
        <f t="shared" si="163"/>
        <v>0.36979727595523937</v>
      </c>
      <c r="AE233" s="4">
        <f t="shared" si="163"/>
        <v>0.28393948637231203</v>
      </c>
      <c r="AF233" s="4">
        <f t="shared" si="163"/>
        <v>0.21097259161117732</v>
      </c>
      <c r="AG233" s="4">
        <f t="shared" si="163"/>
        <v>0.15253917653798199</v>
      </c>
      <c r="AH233" s="4">
        <f t="shared" si="163"/>
        <v>0.10795188737709993</v>
      </c>
      <c r="AI233" s="4">
        <f t="shared" si="163"/>
        <v>7.5176653938091809E-2</v>
      </c>
      <c r="AJ233" s="4">
        <f t="shared" si="163"/>
        <v>5.1742836177502194E-2</v>
      </c>
      <c r="AK233" s="4">
        <f t="shared" si="163"/>
        <v>3.5319190625345942E-2</v>
      </c>
      <c r="AL233" s="4">
        <f t="shared" si="163"/>
        <v>2.3969442072658165E-2</v>
      </c>
      <c r="AM233" s="4">
        <f t="shared" si="163"/>
        <v>1.6202243558389728E-2</v>
      </c>
      <c r="AN233" s="4">
        <f t="shared" si="163"/>
        <v>1.0922240564108399E-2</v>
      </c>
      <c r="AO233" s="4">
        <f t="shared" si="163"/>
        <v>7.3493212906090566E-3</v>
      </c>
      <c r="AP233" s="4">
        <f t="shared" si="163"/>
        <v>4.9390262185057265E-3</v>
      </c>
      <c r="AQ233" s="4">
        <f t="shared" si="163"/>
        <v>3.3164275492956197E-3</v>
      </c>
      <c r="AR233" s="4">
        <f t="shared" si="163"/>
        <v>2.2256362146679809E-3</v>
      </c>
    </row>
    <row r="234" spans="1:44" x14ac:dyDescent="0.25">
      <c r="A234" s="24" t="s">
        <v>67</v>
      </c>
      <c r="B234" s="45">
        <f>'Parameter Input'!$L$176</f>
        <v>0.13371034051801745</v>
      </c>
      <c r="C234" s="46">
        <f>'Parameter Input'!$M$176</f>
        <v>8.7585019329602734E-2</v>
      </c>
      <c r="D234" s="1" t="s">
        <v>68</v>
      </c>
      <c r="L234" s="54">
        <f>'Parameter Input'!$O$176</f>
        <v>12</v>
      </c>
      <c r="M234" s="37">
        <v>0</v>
      </c>
      <c r="N234" s="37">
        <v>1</v>
      </c>
      <c r="O234" s="37">
        <f>'Parameter Input'!$P$176</f>
        <v>0.9</v>
      </c>
      <c r="P234" s="55">
        <f>'Parameter Input'!$Q$176</f>
        <v>0.4</v>
      </c>
      <c r="Q234" s="4">
        <f t="shared" si="163"/>
        <v>0.9867978615748374</v>
      </c>
      <c r="R234" s="4">
        <f t="shared" si="163"/>
        <v>0.98114509762858249</v>
      </c>
      <c r="S234" s="4">
        <f t="shared" si="163"/>
        <v>0.97311898315872036</v>
      </c>
      <c r="T234" s="4">
        <f t="shared" ref="T234:AI241" si="164">$N234+($M234-$N234)*((1/(1+EXP(-$P234*(T$9-$L234)))^$O234))</f>
        <v>0.96177484161592774</v>
      </c>
      <c r="U234" s="4">
        <f t="shared" si="164"/>
        <v>0.94584787155511363</v>
      </c>
      <c r="V234" s="4">
        <f t="shared" si="164"/>
        <v>0.92370360150141495</v>
      </c>
      <c r="W234" s="4">
        <f t="shared" si="164"/>
        <v>0.89334463567658451</v>
      </c>
      <c r="X234" s="4">
        <f t="shared" si="164"/>
        <v>0.85254543874327005</v>
      </c>
      <c r="Y234" s="4">
        <f t="shared" si="164"/>
        <v>0.79921300652623883</v>
      </c>
      <c r="Z234" s="4">
        <f t="shared" si="164"/>
        <v>0.73204982249993378</v>
      </c>
      <c r="AA234" s="4">
        <f t="shared" si="164"/>
        <v>0.65145592958786691</v>
      </c>
      <c r="AB234" s="4">
        <f t="shared" si="164"/>
        <v>0.56032247880849573</v>
      </c>
      <c r="AC234" s="4">
        <f t="shared" si="164"/>
        <v>0.46411326873185343</v>
      </c>
      <c r="AD234" s="4">
        <f t="shared" si="164"/>
        <v>0.36979727595523937</v>
      </c>
      <c r="AE234" s="4">
        <f t="shared" si="164"/>
        <v>0.28393948637231203</v>
      </c>
      <c r="AF234" s="4">
        <f t="shared" si="164"/>
        <v>0.21097259161117732</v>
      </c>
      <c r="AG234" s="4">
        <f t="shared" si="164"/>
        <v>0.15253917653798199</v>
      </c>
      <c r="AH234" s="4">
        <f t="shared" si="164"/>
        <v>0.10795188737709993</v>
      </c>
      <c r="AI234" s="4">
        <f t="shared" si="164"/>
        <v>7.5176653938091809E-2</v>
      </c>
      <c r="AJ234" s="4">
        <f t="shared" ref="AJ234:AR241" si="165">$N234+($M234-$N234)*((1/(1+EXP(-$P234*(AJ$9-$L234)))^$O234))</f>
        <v>5.1742836177502194E-2</v>
      </c>
      <c r="AK234" s="4">
        <f t="shared" si="165"/>
        <v>3.5319190625345942E-2</v>
      </c>
      <c r="AL234" s="4">
        <f t="shared" si="165"/>
        <v>2.3969442072658165E-2</v>
      </c>
      <c r="AM234" s="4">
        <f t="shared" si="165"/>
        <v>1.6202243558389728E-2</v>
      </c>
      <c r="AN234" s="4">
        <f t="shared" si="165"/>
        <v>1.0922240564108399E-2</v>
      </c>
      <c r="AO234" s="4">
        <f t="shared" si="165"/>
        <v>7.3493212906090566E-3</v>
      </c>
      <c r="AP234" s="4">
        <f t="shared" si="165"/>
        <v>4.9390262185057265E-3</v>
      </c>
      <c r="AQ234" s="4">
        <f t="shared" si="165"/>
        <v>3.3164275492956197E-3</v>
      </c>
      <c r="AR234" s="4">
        <f t="shared" si="165"/>
        <v>2.2256362146679809E-3</v>
      </c>
    </row>
    <row r="235" spans="1:44" x14ac:dyDescent="0.25">
      <c r="A235" s="24" t="s">
        <v>206</v>
      </c>
      <c r="B235" s="115">
        <f>'Parameter Input'!$L$179</f>
        <v>0</v>
      </c>
      <c r="C235" s="116">
        <f>'Parameter Input'!$M$179</f>
        <v>0</v>
      </c>
      <c r="D235" s="1" t="s">
        <v>76</v>
      </c>
      <c r="L235" s="54">
        <f>'Parameter Input'!$O$179</f>
        <v>17</v>
      </c>
      <c r="M235" s="37">
        <v>0</v>
      </c>
      <c r="N235" s="37">
        <v>1</v>
      </c>
      <c r="O235" s="37">
        <f>'Parameter Input'!$P$179</f>
        <v>0.9</v>
      </c>
      <c r="P235" s="55">
        <f>'Parameter Input'!$Q$179</f>
        <v>0.4</v>
      </c>
      <c r="Q235" s="4">
        <f t="shared" ref="Q235:AR235" si="166">$N235+($M235-$N235)*((1/(1+EXP(-$P235*(Q$9-$L235)))^$O235))</f>
        <v>0.99780374543478534</v>
      </c>
      <c r="R235" s="4">
        <f t="shared" si="166"/>
        <v>0.99685359315256394</v>
      </c>
      <c r="S235" s="4">
        <f t="shared" si="166"/>
        <v>0.99549347132349975</v>
      </c>
      <c r="T235" s="4">
        <f t="shared" si="166"/>
        <v>0.99354772139898062</v>
      </c>
      <c r="U235" s="4">
        <f t="shared" si="166"/>
        <v>0.99076681540580536</v>
      </c>
      <c r="V235" s="4">
        <f t="shared" si="166"/>
        <v>0.9867978615748374</v>
      </c>
      <c r="W235" s="4">
        <f t="shared" si="166"/>
        <v>0.98114509762858249</v>
      </c>
      <c r="X235" s="4">
        <f t="shared" si="166"/>
        <v>0.97311898315872036</v>
      </c>
      <c r="Y235" s="4">
        <f t="shared" si="166"/>
        <v>0.96177484161592774</v>
      </c>
      <c r="Z235" s="4">
        <f t="shared" si="166"/>
        <v>0.94584787155511363</v>
      </c>
      <c r="AA235" s="4">
        <f t="shared" si="166"/>
        <v>0.92370360150141495</v>
      </c>
      <c r="AB235" s="4">
        <f t="shared" si="166"/>
        <v>0.89334463567658451</v>
      </c>
      <c r="AC235" s="4">
        <f t="shared" si="166"/>
        <v>0.85254543874327005</v>
      </c>
      <c r="AD235" s="4">
        <f t="shared" si="166"/>
        <v>0.79921300652623883</v>
      </c>
      <c r="AE235" s="4">
        <f t="shared" si="166"/>
        <v>0.73204982249993378</v>
      </c>
      <c r="AF235" s="4">
        <f t="shared" si="166"/>
        <v>0.65145592958786691</v>
      </c>
      <c r="AG235" s="4">
        <f t="shared" si="166"/>
        <v>0.56032247880849573</v>
      </c>
      <c r="AH235" s="4">
        <f t="shared" si="166"/>
        <v>0.46411326873185343</v>
      </c>
      <c r="AI235" s="4">
        <f t="shared" si="166"/>
        <v>0.36979727595523937</v>
      </c>
      <c r="AJ235" s="4">
        <f t="shared" si="166"/>
        <v>0.28393948637231203</v>
      </c>
      <c r="AK235" s="4">
        <f t="shared" si="166"/>
        <v>0.21097259161117732</v>
      </c>
      <c r="AL235" s="4">
        <f t="shared" si="166"/>
        <v>0.15253917653798199</v>
      </c>
      <c r="AM235" s="4">
        <f t="shared" si="166"/>
        <v>0.10795188737709993</v>
      </c>
      <c r="AN235" s="4">
        <f t="shared" si="166"/>
        <v>7.5176653938091809E-2</v>
      </c>
      <c r="AO235" s="4">
        <f t="shared" si="166"/>
        <v>5.1742836177502194E-2</v>
      </c>
      <c r="AP235" s="4">
        <f t="shared" si="166"/>
        <v>3.5319190625345942E-2</v>
      </c>
      <c r="AQ235" s="4">
        <f t="shared" si="166"/>
        <v>2.3969442072658165E-2</v>
      </c>
      <c r="AR235" s="4">
        <f t="shared" si="166"/>
        <v>1.6202243558389728E-2</v>
      </c>
    </row>
    <row r="236" spans="1:44" x14ac:dyDescent="0.25">
      <c r="A236" s="24" t="s">
        <v>41</v>
      </c>
      <c r="B236" s="43">
        <f>'Parameter Input'!$L$173</f>
        <v>20</v>
      </c>
      <c r="C236" s="44">
        <f>'Parameter Input'!$M$173</f>
        <v>20</v>
      </c>
      <c r="D236" s="1" t="s">
        <v>42</v>
      </c>
      <c r="L236" s="54">
        <f>'Parameter Input'!$O$173</f>
        <v>12</v>
      </c>
      <c r="M236" s="37">
        <v>0</v>
      </c>
      <c r="N236" s="37">
        <v>1</v>
      </c>
      <c r="O236" s="37">
        <f>'Parameter Input'!$P$173</f>
        <v>0.9</v>
      </c>
      <c r="P236" s="55">
        <f>'Parameter Input'!$Q$173</f>
        <v>0.4</v>
      </c>
      <c r="Q236" s="4">
        <f t="shared" ref="Q236:AF241" si="167">$N236+($M236-$N236)*((1/(1+EXP(-$P236*(Q$9-$L236)))^$O236))</f>
        <v>0.9867978615748374</v>
      </c>
      <c r="R236" s="4">
        <f t="shared" si="167"/>
        <v>0.98114509762858249</v>
      </c>
      <c r="S236" s="4">
        <f t="shared" si="167"/>
        <v>0.97311898315872036</v>
      </c>
      <c r="T236" s="4">
        <f t="shared" si="167"/>
        <v>0.96177484161592774</v>
      </c>
      <c r="U236" s="4">
        <f t="shared" si="167"/>
        <v>0.94584787155511363</v>
      </c>
      <c r="V236" s="4">
        <f t="shared" si="167"/>
        <v>0.92370360150141495</v>
      </c>
      <c r="W236" s="4">
        <f t="shared" si="167"/>
        <v>0.89334463567658451</v>
      </c>
      <c r="X236" s="4">
        <f t="shared" si="167"/>
        <v>0.85254543874327005</v>
      </c>
      <c r="Y236" s="4">
        <f t="shared" si="167"/>
        <v>0.79921300652623883</v>
      </c>
      <c r="Z236" s="4">
        <f t="shared" si="167"/>
        <v>0.73204982249993378</v>
      </c>
      <c r="AA236" s="4">
        <f t="shared" si="167"/>
        <v>0.65145592958786691</v>
      </c>
      <c r="AB236" s="4">
        <f t="shared" si="167"/>
        <v>0.56032247880849573</v>
      </c>
      <c r="AC236" s="4">
        <f t="shared" si="167"/>
        <v>0.46411326873185343</v>
      </c>
      <c r="AD236" s="4">
        <f t="shared" si="167"/>
        <v>0.36979727595523937</v>
      </c>
      <c r="AE236" s="4">
        <f t="shared" si="167"/>
        <v>0.28393948637231203</v>
      </c>
      <c r="AF236" s="4">
        <f t="shared" si="167"/>
        <v>0.21097259161117732</v>
      </c>
      <c r="AG236" s="4">
        <f t="shared" si="164"/>
        <v>0.15253917653798199</v>
      </c>
      <c r="AH236" s="4">
        <f t="shared" si="164"/>
        <v>0.10795188737709993</v>
      </c>
      <c r="AI236" s="4">
        <f t="shared" si="164"/>
        <v>7.5176653938091809E-2</v>
      </c>
      <c r="AJ236" s="4">
        <f t="shared" si="165"/>
        <v>5.1742836177502194E-2</v>
      </c>
      <c r="AK236" s="4">
        <f t="shared" si="165"/>
        <v>3.5319190625345942E-2</v>
      </c>
      <c r="AL236" s="4">
        <f t="shared" si="165"/>
        <v>2.3969442072658165E-2</v>
      </c>
      <c r="AM236" s="4">
        <f t="shared" si="165"/>
        <v>1.6202243558389728E-2</v>
      </c>
      <c r="AN236" s="4">
        <f t="shared" si="165"/>
        <v>1.0922240564108399E-2</v>
      </c>
      <c r="AO236" s="4">
        <f t="shared" si="165"/>
        <v>7.3493212906090566E-3</v>
      </c>
      <c r="AP236" s="4">
        <f t="shared" si="165"/>
        <v>4.9390262185057265E-3</v>
      </c>
      <c r="AQ236" s="4">
        <f t="shared" si="165"/>
        <v>3.3164275492956197E-3</v>
      </c>
      <c r="AR236" s="4">
        <f t="shared" si="165"/>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7"/>
        <v>0.9867978615748374</v>
      </c>
      <c r="R237" s="4">
        <f t="shared" si="167"/>
        <v>0.98114509762858249</v>
      </c>
      <c r="S237" s="4">
        <f t="shared" si="167"/>
        <v>0.97311898315872036</v>
      </c>
      <c r="T237" s="4">
        <f t="shared" si="167"/>
        <v>0.96177484161592774</v>
      </c>
      <c r="U237" s="4">
        <f t="shared" si="167"/>
        <v>0.94584787155511363</v>
      </c>
      <c r="V237" s="4">
        <f t="shared" si="167"/>
        <v>0.92370360150141495</v>
      </c>
      <c r="W237" s="4">
        <f t="shared" si="167"/>
        <v>0.89334463567658451</v>
      </c>
      <c r="X237" s="4">
        <f t="shared" si="167"/>
        <v>0.85254543874327005</v>
      </c>
      <c r="Y237" s="4">
        <f t="shared" si="167"/>
        <v>0.79921300652623883</v>
      </c>
      <c r="Z237" s="4">
        <f t="shared" si="167"/>
        <v>0.73204982249993378</v>
      </c>
      <c r="AA237" s="4">
        <f t="shared" si="167"/>
        <v>0.65145592958786691</v>
      </c>
      <c r="AB237" s="4">
        <f t="shared" si="167"/>
        <v>0.56032247880849573</v>
      </c>
      <c r="AC237" s="4">
        <f t="shared" si="167"/>
        <v>0.46411326873185343</v>
      </c>
      <c r="AD237" s="4">
        <f t="shared" si="167"/>
        <v>0.36979727595523937</v>
      </c>
      <c r="AE237" s="4">
        <f t="shared" si="167"/>
        <v>0.28393948637231203</v>
      </c>
      <c r="AF237" s="4">
        <f t="shared" si="167"/>
        <v>0.21097259161117732</v>
      </c>
      <c r="AG237" s="4">
        <f t="shared" si="164"/>
        <v>0.15253917653798199</v>
      </c>
      <c r="AH237" s="4">
        <f t="shared" si="164"/>
        <v>0.10795188737709993</v>
      </c>
      <c r="AI237" s="4">
        <f t="shared" si="164"/>
        <v>7.5176653938091809E-2</v>
      </c>
      <c r="AJ237" s="4">
        <f t="shared" si="165"/>
        <v>5.1742836177502194E-2</v>
      </c>
      <c r="AK237" s="4">
        <f t="shared" si="165"/>
        <v>3.5319190625345942E-2</v>
      </c>
      <c r="AL237" s="4">
        <f t="shared" si="165"/>
        <v>2.3969442072658165E-2</v>
      </c>
      <c r="AM237" s="4">
        <f t="shared" si="165"/>
        <v>1.6202243558389728E-2</v>
      </c>
      <c r="AN237" s="4">
        <f t="shared" si="165"/>
        <v>1.0922240564108399E-2</v>
      </c>
      <c r="AO237" s="4">
        <f t="shared" si="165"/>
        <v>7.3493212906090566E-3</v>
      </c>
      <c r="AP237" s="4">
        <f t="shared" si="165"/>
        <v>4.9390262185057265E-3</v>
      </c>
      <c r="AQ237" s="4">
        <f t="shared" si="165"/>
        <v>3.3164275492956197E-3</v>
      </c>
      <c r="AR237" s="4">
        <f t="shared" si="165"/>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7"/>
        <v>0.9867978615748374</v>
      </c>
      <c r="R238" s="4">
        <f t="shared" si="167"/>
        <v>0.98114509762858249</v>
      </c>
      <c r="S238" s="4">
        <f t="shared" si="167"/>
        <v>0.97311898315872036</v>
      </c>
      <c r="T238" s="4">
        <f t="shared" si="167"/>
        <v>0.96177484161592774</v>
      </c>
      <c r="U238" s="4">
        <f t="shared" si="167"/>
        <v>0.94584787155511363</v>
      </c>
      <c r="V238" s="4">
        <f t="shared" si="167"/>
        <v>0.92370360150141495</v>
      </c>
      <c r="W238" s="4">
        <f t="shared" si="167"/>
        <v>0.89334463567658451</v>
      </c>
      <c r="X238" s="4">
        <f t="shared" si="167"/>
        <v>0.85254543874327005</v>
      </c>
      <c r="Y238" s="4">
        <f t="shared" si="167"/>
        <v>0.79921300652623883</v>
      </c>
      <c r="Z238" s="4">
        <f t="shared" si="167"/>
        <v>0.73204982249993378</v>
      </c>
      <c r="AA238" s="4">
        <f t="shared" si="167"/>
        <v>0.65145592958786691</v>
      </c>
      <c r="AB238" s="4">
        <f t="shared" si="167"/>
        <v>0.56032247880849573</v>
      </c>
      <c r="AC238" s="4">
        <f t="shared" si="167"/>
        <v>0.46411326873185343</v>
      </c>
      <c r="AD238" s="4">
        <f t="shared" si="167"/>
        <v>0.36979727595523937</v>
      </c>
      <c r="AE238" s="4">
        <f t="shared" si="167"/>
        <v>0.28393948637231203</v>
      </c>
      <c r="AF238" s="4">
        <f t="shared" si="167"/>
        <v>0.21097259161117732</v>
      </c>
      <c r="AG238" s="4">
        <f t="shared" si="164"/>
        <v>0.15253917653798199</v>
      </c>
      <c r="AH238" s="4">
        <f t="shared" si="164"/>
        <v>0.10795188737709993</v>
      </c>
      <c r="AI238" s="4">
        <f t="shared" si="164"/>
        <v>7.5176653938091809E-2</v>
      </c>
      <c r="AJ238" s="4">
        <f t="shared" si="165"/>
        <v>5.1742836177502194E-2</v>
      </c>
      <c r="AK238" s="4">
        <f t="shared" si="165"/>
        <v>3.5319190625345942E-2</v>
      </c>
      <c r="AL238" s="4">
        <f t="shared" si="165"/>
        <v>2.3969442072658165E-2</v>
      </c>
      <c r="AM238" s="4">
        <f t="shared" si="165"/>
        <v>1.6202243558389728E-2</v>
      </c>
      <c r="AN238" s="4">
        <f t="shared" si="165"/>
        <v>1.0922240564108399E-2</v>
      </c>
      <c r="AO238" s="4">
        <f t="shared" si="165"/>
        <v>7.3493212906090566E-3</v>
      </c>
      <c r="AP238" s="4">
        <f t="shared" si="165"/>
        <v>4.9390262185057265E-3</v>
      </c>
      <c r="AQ238" s="4">
        <f t="shared" si="165"/>
        <v>3.3164275492956197E-3</v>
      </c>
      <c r="AR238" s="4">
        <f t="shared" si="165"/>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7"/>
        <v>0.9867978615748374</v>
      </c>
      <c r="R239" s="4">
        <f t="shared" si="167"/>
        <v>0.98114509762858249</v>
      </c>
      <c r="S239" s="4">
        <f t="shared" si="167"/>
        <v>0.97311898315872036</v>
      </c>
      <c r="T239" s="4">
        <f t="shared" si="167"/>
        <v>0.96177484161592774</v>
      </c>
      <c r="U239" s="4">
        <f t="shared" si="167"/>
        <v>0.94584787155511363</v>
      </c>
      <c r="V239" s="4">
        <f t="shared" si="167"/>
        <v>0.92370360150141495</v>
      </c>
      <c r="W239" s="4">
        <f t="shared" si="167"/>
        <v>0.89334463567658451</v>
      </c>
      <c r="X239" s="4">
        <f t="shared" si="167"/>
        <v>0.85254543874327005</v>
      </c>
      <c r="Y239" s="4">
        <f t="shared" si="167"/>
        <v>0.79921300652623883</v>
      </c>
      <c r="Z239" s="4">
        <f t="shared" si="167"/>
        <v>0.73204982249993378</v>
      </c>
      <c r="AA239" s="4">
        <f t="shared" si="167"/>
        <v>0.65145592958786691</v>
      </c>
      <c r="AB239" s="4">
        <f t="shared" si="167"/>
        <v>0.56032247880849573</v>
      </c>
      <c r="AC239" s="4">
        <f t="shared" si="167"/>
        <v>0.46411326873185343</v>
      </c>
      <c r="AD239" s="4">
        <f t="shared" si="167"/>
        <v>0.36979727595523937</v>
      </c>
      <c r="AE239" s="4">
        <f t="shared" si="167"/>
        <v>0.28393948637231203</v>
      </c>
      <c r="AF239" s="4">
        <f t="shared" si="167"/>
        <v>0.21097259161117732</v>
      </c>
      <c r="AG239" s="4">
        <f t="shared" si="164"/>
        <v>0.15253917653798199</v>
      </c>
      <c r="AH239" s="4">
        <f t="shared" si="164"/>
        <v>0.10795188737709993</v>
      </c>
      <c r="AI239" s="4">
        <f t="shared" si="164"/>
        <v>7.5176653938091809E-2</v>
      </c>
      <c r="AJ239" s="4">
        <f t="shared" si="165"/>
        <v>5.1742836177502194E-2</v>
      </c>
      <c r="AK239" s="4">
        <f t="shared" si="165"/>
        <v>3.5319190625345942E-2</v>
      </c>
      <c r="AL239" s="4">
        <f t="shared" si="165"/>
        <v>2.3969442072658165E-2</v>
      </c>
      <c r="AM239" s="4">
        <f t="shared" si="165"/>
        <v>1.6202243558389728E-2</v>
      </c>
      <c r="AN239" s="4">
        <f t="shared" si="165"/>
        <v>1.0922240564108399E-2</v>
      </c>
      <c r="AO239" s="4">
        <f t="shared" si="165"/>
        <v>7.3493212906090566E-3</v>
      </c>
      <c r="AP239" s="4">
        <f t="shared" si="165"/>
        <v>4.9390262185057265E-3</v>
      </c>
      <c r="AQ239" s="4">
        <f t="shared" si="165"/>
        <v>3.3164275492956197E-3</v>
      </c>
      <c r="AR239" s="4">
        <f t="shared" si="165"/>
        <v>2.2256362146679809E-3</v>
      </c>
    </row>
    <row r="240" spans="1:44" x14ac:dyDescent="0.25">
      <c r="A240" s="24" t="s">
        <v>73</v>
      </c>
      <c r="B240" s="72">
        <f>'Parameter Input'!$L$177</f>
        <v>3.5714285714285712E-2</v>
      </c>
      <c r="C240" s="73">
        <f>'Parameter Input'!$M$177</f>
        <v>1.7857142857142856E-2</v>
      </c>
      <c r="D240" s="1" t="s">
        <v>57</v>
      </c>
      <c r="L240" s="54">
        <f>'Parameter Input'!$O$177</f>
        <v>12</v>
      </c>
      <c r="M240" s="37">
        <v>0</v>
      </c>
      <c r="N240" s="37">
        <v>1</v>
      </c>
      <c r="O240" s="37">
        <f>'Parameter Input'!$P$177</f>
        <v>0.9</v>
      </c>
      <c r="P240" s="55">
        <f>'Parameter Input'!$Q$177</f>
        <v>0.4</v>
      </c>
      <c r="Q240" s="4">
        <f t="shared" si="167"/>
        <v>0.9867978615748374</v>
      </c>
      <c r="R240" s="4">
        <f t="shared" si="167"/>
        <v>0.98114509762858249</v>
      </c>
      <c r="S240" s="4">
        <f t="shared" si="167"/>
        <v>0.97311898315872036</v>
      </c>
      <c r="T240" s="4">
        <f t="shared" si="167"/>
        <v>0.96177484161592774</v>
      </c>
      <c r="U240" s="4">
        <f t="shared" si="167"/>
        <v>0.94584787155511363</v>
      </c>
      <c r="V240" s="4">
        <f t="shared" si="167"/>
        <v>0.92370360150141495</v>
      </c>
      <c r="W240" s="4">
        <f t="shared" si="167"/>
        <v>0.89334463567658451</v>
      </c>
      <c r="X240" s="4">
        <f t="shared" si="167"/>
        <v>0.85254543874327005</v>
      </c>
      <c r="Y240" s="4">
        <f t="shared" si="167"/>
        <v>0.79921300652623883</v>
      </c>
      <c r="Z240" s="4">
        <f t="shared" si="167"/>
        <v>0.73204982249993378</v>
      </c>
      <c r="AA240" s="4">
        <f t="shared" si="167"/>
        <v>0.65145592958786691</v>
      </c>
      <c r="AB240" s="4">
        <f t="shared" si="167"/>
        <v>0.56032247880849573</v>
      </c>
      <c r="AC240" s="4">
        <f t="shared" si="167"/>
        <v>0.46411326873185343</v>
      </c>
      <c r="AD240" s="4">
        <f t="shared" si="167"/>
        <v>0.36979727595523937</v>
      </c>
      <c r="AE240" s="4">
        <f t="shared" si="167"/>
        <v>0.28393948637231203</v>
      </c>
      <c r="AF240" s="4">
        <f t="shared" si="167"/>
        <v>0.21097259161117732</v>
      </c>
      <c r="AG240" s="4">
        <f t="shared" si="164"/>
        <v>0.15253917653798199</v>
      </c>
      <c r="AH240" s="4">
        <f t="shared" si="164"/>
        <v>0.10795188737709993</v>
      </c>
      <c r="AI240" s="4">
        <f t="shared" si="164"/>
        <v>7.5176653938091809E-2</v>
      </c>
      <c r="AJ240" s="4">
        <f t="shared" si="165"/>
        <v>5.1742836177502194E-2</v>
      </c>
      <c r="AK240" s="4">
        <f t="shared" si="165"/>
        <v>3.5319190625345942E-2</v>
      </c>
      <c r="AL240" s="4">
        <f t="shared" si="165"/>
        <v>2.3969442072658165E-2</v>
      </c>
      <c r="AM240" s="4">
        <f t="shared" si="165"/>
        <v>1.6202243558389728E-2</v>
      </c>
      <c r="AN240" s="4">
        <f t="shared" si="165"/>
        <v>1.0922240564108399E-2</v>
      </c>
      <c r="AO240" s="4">
        <f t="shared" si="165"/>
        <v>7.3493212906090566E-3</v>
      </c>
      <c r="AP240" s="4">
        <f t="shared" si="165"/>
        <v>4.9390262185057265E-3</v>
      </c>
      <c r="AQ240" s="4">
        <f t="shared" si="165"/>
        <v>3.3164275492956197E-3</v>
      </c>
      <c r="AR240" s="4">
        <f t="shared" si="165"/>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7"/>
        <v>0.9867978615748374</v>
      </c>
      <c r="R241" s="4">
        <f t="shared" si="167"/>
        <v>0.98114509762858249</v>
      </c>
      <c r="S241" s="4">
        <f t="shared" si="167"/>
        <v>0.97311898315872036</v>
      </c>
      <c r="T241" s="4">
        <f t="shared" si="167"/>
        <v>0.96177484161592774</v>
      </c>
      <c r="U241" s="4">
        <f t="shared" si="167"/>
        <v>0.94584787155511363</v>
      </c>
      <c r="V241" s="4">
        <f t="shared" si="167"/>
        <v>0.92370360150141495</v>
      </c>
      <c r="W241" s="4">
        <f t="shared" si="167"/>
        <v>0.89334463567658451</v>
      </c>
      <c r="X241" s="4">
        <f t="shared" si="167"/>
        <v>0.85254543874327005</v>
      </c>
      <c r="Y241" s="4">
        <f t="shared" si="167"/>
        <v>0.79921300652623883</v>
      </c>
      <c r="Z241" s="4">
        <f t="shared" si="167"/>
        <v>0.73204982249993378</v>
      </c>
      <c r="AA241" s="4">
        <f t="shared" si="167"/>
        <v>0.65145592958786691</v>
      </c>
      <c r="AB241" s="4">
        <f t="shared" si="167"/>
        <v>0.56032247880849573</v>
      </c>
      <c r="AC241" s="4">
        <f t="shared" si="167"/>
        <v>0.46411326873185343</v>
      </c>
      <c r="AD241" s="4">
        <f t="shared" si="167"/>
        <v>0.36979727595523937</v>
      </c>
      <c r="AE241" s="4">
        <f t="shared" si="167"/>
        <v>0.28393948637231203</v>
      </c>
      <c r="AF241" s="4">
        <f t="shared" si="167"/>
        <v>0.21097259161117732</v>
      </c>
      <c r="AG241" s="4">
        <f t="shared" si="164"/>
        <v>0.15253917653798199</v>
      </c>
      <c r="AH241" s="4">
        <f t="shared" si="164"/>
        <v>0.10795188737709993</v>
      </c>
      <c r="AI241" s="4">
        <f t="shared" si="164"/>
        <v>7.5176653938091809E-2</v>
      </c>
      <c r="AJ241" s="4">
        <f t="shared" si="165"/>
        <v>5.1742836177502194E-2</v>
      </c>
      <c r="AK241" s="4">
        <f t="shared" si="165"/>
        <v>3.5319190625345942E-2</v>
      </c>
      <c r="AL241" s="4">
        <f t="shared" si="165"/>
        <v>2.3969442072658165E-2</v>
      </c>
      <c r="AM241" s="4">
        <f t="shared" si="165"/>
        <v>1.6202243558389728E-2</v>
      </c>
      <c r="AN241" s="4">
        <f t="shared" si="165"/>
        <v>1.0922240564108399E-2</v>
      </c>
      <c r="AO241" s="4">
        <f t="shared" si="165"/>
        <v>7.3493212906090566E-3</v>
      </c>
      <c r="AP241" s="4">
        <f t="shared" si="165"/>
        <v>4.9390262185057265E-3</v>
      </c>
      <c r="AQ241" s="4">
        <f t="shared" si="165"/>
        <v>3.3164275492956197E-3</v>
      </c>
      <c r="AR241" s="4">
        <f t="shared" si="165"/>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8">A225</f>
        <v>Capex vehicle</v>
      </c>
      <c r="B245" s="62">
        <f t="shared" ref="B245:B253" si="169">$B225+($C225-$B225)*(1-Q225)</f>
        <v>9950491.9809056409</v>
      </c>
      <c r="C245" s="62">
        <f t="shared" ref="C245:C253" si="170">$B225+($C225-$B225)*(1-R225)</f>
        <v>9929294.1161071844</v>
      </c>
      <c r="D245" s="62">
        <f t="shared" ref="D245:D253" si="171">$B225+($C225-$B225)*(1-S225)</f>
        <v>9899196.186845202</v>
      </c>
      <c r="E245" s="62">
        <f t="shared" ref="E245:E253" si="172">$B225+($C225-$B225)*(1-T225)</f>
        <v>9856655.6560597289</v>
      </c>
      <c r="F245" s="62">
        <f t="shared" ref="F245:F253" si="173">$B225+($C225-$B225)*(1-U225)</f>
        <v>9796929.5183316767</v>
      </c>
      <c r="G245" s="62">
        <f t="shared" ref="G245:G253" si="174">$B225+($C225-$B225)*(1-V225)</f>
        <v>9713888.5056303069</v>
      </c>
      <c r="H245" s="62">
        <f t="shared" ref="H245:H253" si="175">$B225+($C225-$B225)*(1-W225)</f>
        <v>9600042.3837871924</v>
      </c>
      <c r="I245" s="62">
        <f t="shared" ref="I245:I253" si="176">$B225+($C225-$B225)*(1-X225)</f>
        <v>9447045.3952872623</v>
      </c>
      <c r="J245" s="62">
        <f t="shared" ref="J245:J253" si="177">$B225+($C225-$B225)*(1-Y225)</f>
        <v>9247048.7744733952</v>
      </c>
      <c r="K245" s="62">
        <f t="shared" ref="K245:K253" si="178">$B225+($C225-$B225)*(1-Z225)</f>
        <v>8995186.8343747519</v>
      </c>
      <c r="L245" s="62">
        <f t="shared" ref="L245:L253" si="179">$B225+($C225-$B225)*(1-AA225)</f>
        <v>8692959.7359545007</v>
      </c>
      <c r="M245" s="62">
        <f t="shared" ref="M245:M253" si="180">$B225+($C225-$B225)*(1-AB225)</f>
        <v>8351209.2955318587</v>
      </c>
      <c r="N245" s="62">
        <f t="shared" ref="N245:N253" si="181">$B225+($C225-$B225)*(1-AC225)</f>
        <v>7990424.7577444501</v>
      </c>
      <c r="O245" s="62">
        <f t="shared" ref="O245:O253" si="182">$B225+($C225-$B225)*(1-AD225)</f>
        <v>7636739.7848321479</v>
      </c>
      <c r="P245" s="62">
        <f t="shared" ref="P245:P253" si="183">$B225+($C225-$B225)*(1-AE225)</f>
        <v>7314773.0738961697</v>
      </c>
      <c r="Q245" s="62">
        <f t="shared" ref="Q245:Q253" si="184">$B225+($C225-$B225)*(1-AF225)</f>
        <v>7041147.2185419146</v>
      </c>
      <c r="R245" s="62">
        <f t="shared" ref="R245:R253" si="185">$B225+($C225-$B225)*(1-AG225)</f>
        <v>6822021.912017433</v>
      </c>
      <c r="S245" s="62">
        <f t="shared" ref="S245:S253" si="186">$B225+($C225-$B225)*(1-AH225)</f>
        <v>6654819.5776641248</v>
      </c>
      <c r="T245" s="62">
        <f t="shared" ref="T245:T253" si="187">$B225+($C225-$B225)*(1-AI225)</f>
        <v>6531912.4522678442</v>
      </c>
      <c r="U245" s="62">
        <f t="shared" ref="U245:U253" si="188">$B225+($C225-$B225)*(1-AJ225)</f>
        <v>6444035.6356656328</v>
      </c>
      <c r="V245" s="62">
        <f t="shared" ref="V245:V253" si="189">$B225+($C225-$B225)*(1-AK225)</f>
        <v>6382446.9648450473</v>
      </c>
      <c r="W245" s="62">
        <f t="shared" ref="W245:W253" si="190">$B225+($C225-$B225)*(1-AL225)</f>
        <v>6339885.4077724684</v>
      </c>
      <c r="X245" s="62">
        <f t="shared" ref="X245:X253" si="191">$B225+($C225-$B225)*(1-AM225)</f>
        <v>6310758.4133439614</v>
      </c>
      <c r="Y245" s="62">
        <f t="shared" ref="Y245:Y253" si="192">$B225+($C225-$B225)*(1-AN225)</f>
        <v>6290958.4021154065</v>
      </c>
      <c r="Z245" s="62">
        <f t="shared" ref="Z245:Z253" si="193">$B225+($C225-$B225)*(1-AO225)</f>
        <v>6277559.9548397847</v>
      </c>
      <c r="AA245" s="62">
        <f t="shared" ref="AA245:AA253" si="194">$B225+($C225-$B225)*(1-AP225)</f>
        <v>6268521.3483193964</v>
      </c>
      <c r="AB245" s="62">
        <f t="shared" ref="AB245:AB253" si="195">$B225+($C225-$B225)*(1-AQ225)</f>
        <v>6262436.6033098586</v>
      </c>
      <c r="AC245" s="62">
        <f t="shared" ref="AC245:AC253" si="196">$B225+($C225-$B225)*(1-AR225)</f>
        <v>6258346.1358050052</v>
      </c>
    </row>
    <row r="246" spans="1:44" x14ac:dyDescent="0.25">
      <c r="A246" s="30" t="str">
        <f t="shared" si="168"/>
        <v>Residual value (vehicle)</v>
      </c>
      <c r="B246" s="62">
        <f t="shared" si="169"/>
        <v>-505775.93556100863</v>
      </c>
      <c r="C246" s="62">
        <f t="shared" si="170"/>
        <v>-508249.01978749514</v>
      </c>
      <c r="D246" s="62">
        <f t="shared" si="171"/>
        <v>-511760.44486805983</v>
      </c>
      <c r="E246" s="62">
        <f t="shared" si="172"/>
        <v>-516723.50679303159</v>
      </c>
      <c r="F246" s="62">
        <f t="shared" si="173"/>
        <v>-523691.55619463779</v>
      </c>
      <c r="G246" s="62">
        <f t="shared" si="174"/>
        <v>-533379.67434313102</v>
      </c>
      <c r="H246" s="62">
        <f t="shared" si="175"/>
        <v>-546661.72189149424</v>
      </c>
      <c r="I246" s="62">
        <f t="shared" si="176"/>
        <v>-564511.37054981932</v>
      </c>
      <c r="J246" s="62">
        <f t="shared" si="177"/>
        <v>-587844.30964477046</v>
      </c>
      <c r="K246" s="62">
        <f t="shared" si="178"/>
        <v>-617228.20265627897</v>
      </c>
      <c r="L246" s="62">
        <f t="shared" si="179"/>
        <v>-652488.03080530826</v>
      </c>
      <c r="M246" s="62">
        <f t="shared" si="180"/>
        <v>-692358.91552128317</v>
      </c>
      <c r="N246" s="62">
        <f t="shared" si="181"/>
        <v>-734450.44492981408</v>
      </c>
      <c r="O246" s="62">
        <f t="shared" si="182"/>
        <v>-775713.6917695828</v>
      </c>
      <c r="P246" s="62">
        <f t="shared" si="183"/>
        <v>-813276.4747121135</v>
      </c>
      <c r="Q246" s="62">
        <f t="shared" si="184"/>
        <v>-845199.49117010995</v>
      </c>
      <c r="R246" s="62">
        <f t="shared" si="185"/>
        <v>-870764.11026463285</v>
      </c>
      <c r="S246" s="62">
        <f t="shared" si="186"/>
        <v>-890271.04927251884</v>
      </c>
      <c r="T246" s="62">
        <f t="shared" si="187"/>
        <v>-904610.21390208486</v>
      </c>
      <c r="U246" s="62">
        <f t="shared" si="188"/>
        <v>-914862.50917234272</v>
      </c>
      <c r="V246" s="62">
        <f t="shared" si="189"/>
        <v>-922047.85410141107</v>
      </c>
      <c r="W246" s="62">
        <f t="shared" si="190"/>
        <v>-927013.36909321207</v>
      </c>
      <c r="X246" s="62">
        <f t="shared" si="191"/>
        <v>-930411.51844320446</v>
      </c>
      <c r="Y246" s="62">
        <f t="shared" si="192"/>
        <v>-932721.51975320256</v>
      </c>
      <c r="Z246" s="62">
        <f t="shared" si="193"/>
        <v>-934284.67193535855</v>
      </c>
      <c r="AA246" s="62">
        <f t="shared" si="194"/>
        <v>-935339.17602940369</v>
      </c>
      <c r="AB246" s="62">
        <f t="shared" si="195"/>
        <v>-936049.06294718315</v>
      </c>
      <c r="AC246" s="62">
        <f t="shared" si="196"/>
        <v>-936526.28415608278</v>
      </c>
    </row>
    <row r="247" spans="1:44" x14ac:dyDescent="0.25">
      <c r="A247" s="30" t="str">
        <f t="shared" si="168"/>
        <v>Capex costumization</v>
      </c>
      <c r="B247" s="62">
        <f t="shared" si="169"/>
        <v>2800000</v>
      </c>
      <c r="C247" s="62">
        <f t="shared" si="170"/>
        <v>2800000</v>
      </c>
      <c r="D247" s="62">
        <f t="shared" si="171"/>
        <v>2800000</v>
      </c>
      <c r="E247" s="62">
        <f t="shared" si="172"/>
        <v>2800000</v>
      </c>
      <c r="F247" s="62">
        <f t="shared" si="173"/>
        <v>2800000</v>
      </c>
      <c r="G247" s="62">
        <f t="shared" si="174"/>
        <v>2800000</v>
      </c>
      <c r="H247" s="62">
        <f t="shared" si="175"/>
        <v>2800000</v>
      </c>
      <c r="I247" s="62">
        <f t="shared" si="176"/>
        <v>2800000</v>
      </c>
      <c r="J247" s="62">
        <f t="shared" si="177"/>
        <v>2800000</v>
      </c>
      <c r="K247" s="62">
        <f t="shared" si="178"/>
        <v>2800000</v>
      </c>
      <c r="L247" s="62">
        <f t="shared" si="179"/>
        <v>2800000</v>
      </c>
      <c r="M247" s="62">
        <f t="shared" si="180"/>
        <v>2800000</v>
      </c>
      <c r="N247" s="62">
        <f t="shared" si="181"/>
        <v>2800000</v>
      </c>
      <c r="O247" s="62">
        <f t="shared" si="182"/>
        <v>2800000</v>
      </c>
      <c r="P247" s="62">
        <f t="shared" si="183"/>
        <v>2800000</v>
      </c>
      <c r="Q247" s="62">
        <f t="shared" si="184"/>
        <v>2800000</v>
      </c>
      <c r="R247" s="62">
        <f t="shared" si="185"/>
        <v>2800000</v>
      </c>
      <c r="S247" s="62">
        <f t="shared" si="186"/>
        <v>2800000</v>
      </c>
      <c r="T247" s="62">
        <f t="shared" si="187"/>
        <v>2800000</v>
      </c>
      <c r="U247" s="62">
        <f t="shared" si="188"/>
        <v>2800000</v>
      </c>
      <c r="V247" s="62">
        <f t="shared" si="189"/>
        <v>2800000</v>
      </c>
      <c r="W247" s="62">
        <f t="shared" si="190"/>
        <v>2800000</v>
      </c>
      <c r="X247" s="62">
        <f t="shared" si="191"/>
        <v>2800000</v>
      </c>
      <c r="Y247" s="62">
        <f t="shared" si="192"/>
        <v>2800000</v>
      </c>
      <c r="Z247" s="62">
        <f t="shared" si="193"/>
        <v>2800000</v>
      </c>
      <c r="AA247" s="62">
        <f t="shared" si="194"/>
        <v>2800000</v>
      </c>
      <c r="AB247" s="62">
        <f t="shared" si="195"/>
        <v>2800000</v>
      </c>
      <c r="AC247" s="62">
        <f t="shared" si="196"/>
        <v>2800000</v>
      </c>
    </row>
    <row r="248" spans="1:44" x14ac:dyDescent="0.25">
      <c r="A248" s="30" t="str">
        <f t="shared" si="168"/>
        <v>Residual value (costumization)</v>
      </c>
      <c r="B248" s="62">
        <f t="shared" si="169"/>
        <v>-140000</v>
      </c>
      <c r="C248" s="62">
        <f t="shared" si="170"/>
        <v>-140000</v>
      </c>
      <c r="D248" s="62">
        <f t="shared" si="171"/>
        <v>-140000</v>
      </c>
      <c r="E248" s="62">
        <f t="shared" si="172"/>
        <v>-140000</v>
      </c>
      <c r="F248" s="62">
        <f t="shared" si="173"/>
        <v>-140000</v>
      </c>
      <c r="G248" s="62">
        <f t="shared" si="174"/>
        <v>-140000</v>
      </c>
      <c r="H248" s="62">
        <f t="shared" si="175"/>
        <v>-140000</v>
      </c>
      <c r="I248" s="62">
        <f t="shared" si="176"/>
        <v>-140000</v>
      </c>
      <c r="J248" s="62">
        <f t="shared" si="177"/>
        <v>-140000</v>
      </c>
      <c r="K248" s="62">
        <f t="shared" si="178"/>
        <v>-140000</v>
      </c>
      <c r="L248" s="62">
        <f t="shared" si="179"/>
        <v>-140000</v>
      </c>
      <c r="M248" s="62">
        <f t="shared" si="180"/>
        <v>-140000</v>
      </c>
      <c r="N248" s="62">
        <f t="shared" si="181"/>
        <v>-140000</v>
      </c>
      <c r="O248" s="62">
        <f t="shared" si="182"/>
        <v>-140000</v>
      </c>
      <c r="P248" s="62">
        <f t="shared" si="183"/>
        <v>-140000</v>
      </c>
      <c r="Q248" s="62">
        <f t="shared" si="184"/>
        <v>-140000</v>
      </c>
      <c r="R248" s="62">
        <f t="shared" si="185"/>
        <v>-140000</v>
      </c>
      <c r="S248" s="62">
        <f t="shared" si="186"/>
        <v>-140000</v>
      </c>
      <c r="T248" s="62">
        <f t="shared" si="187"/>
        <v>-140000</v>
      </c>
      <c r="U248" s="62">
        <f t="shared" si="188"/>
        <v>-140000</v>
      </c>
      <c r="V248" s="62">
        <f t="shared" si="189"/>
        <v>-140000</v>
      </c>
      <c r="W248" s="62">
        <f t="shared" si="190"/>
        <v>-140000</v>
      </c>
      <c r="X248" s="62">
        <f t="shared" si="191"/>
        <v>-140000</v>
      </c>
      <c r="Y248" s="62">
        <f t="shared" si="192"/>
        <v>-140000</v>
      </c>
      <c r="Z248" s="62">
        <f t="shared" si="193"/>
        <v>-140000</v>
      </c>
      <c r="AA248" s="62">
        <f t="shared" si="194"/>
        <v>-140000</v>
      </c>
      <c r="AB248" s="62">
        <f t="shared" si="195"/>
        <v>-140000</v>
      </c>
      <c r="AC248" s="62">
        <f t="shared" si="196"/>
        <v>-140000</v>
      </c>
    </row>
    <row r="249" spans="1:44" x14ac:dyDescent="0.25">
      <c r="A249" s="30" t="str">
        <f t="shared" si="168"/>
        <v>WACC</v>
      </c>
      <c r="B249" s="62">
        <f t="shared" si="169"/>
        <v>0.06</v>
      </c>
      <c r="C249" s="62">
        <f t="shared" si="170"/>
        <v>0.06</v>
      </c>
      <c r="D249" s="62">
        <f t="shared" si="171"/>
        <v>0.06</v>
      </c>
      <c r="E249" s="62">
        <f t="shared" si="172"/>
        <v>0.06</v>
      </c>
      <c r="F249" s="62">
        <f t="shared" si="173"/>
        <v>0.06</v>
      </c>
      <c r="G249" s="62">
        <f t="shared" si="174"/>
        <v>0.06</v>
      </c>
      <c r="H249" s="62">
        <f t="shared" si="175"/>
        <v>0.06</v>
      </c>
      <c r="I249" s="62">
        <f t="shared" si="176"/>
        <v>0.06</v>
      </c>
      <c r="J249" s="62">
        <f t="shared" si="177"/>
        <v>0.06</v>
      </c>
      <c r="K249" s="62">
        <f t="shared" si="178"/>
        <v>0.06</v>
      </c>
      <c r="L249" s="62">
        <f t="shared" si="179"/>
        <v>0.06</v>
      </c>
      <c r="M249" s="62">
        <f t="shared" si="180"/>
        <v>0.06</v>
      </c>
      <c r="N249" s="62">
        <f t="shared" si="181"/>
        <v>0.06</v>
      </c>
      <c r="O249" s="62">
        <f t="shared" si="182"/>
        <v>0.06</v>
      </c>
      <c r="P249" s="62">
        <f t="shared" si="183"/>
        <v>0.06</v>
      </c>
      <c r="Q249" s="62">
        <f t="shared" si="184"/>
        <v>0.06</v>
      </c>
      <c r="R249" s="62">
        <f t="shared" si="185"/>
        <v>0.06</v>
      </c>
      <c r="S249" s="62">
        <f t="shared" si="186"/>
        <v>0.06</v>
      </c>
      <c r="T249" s="62">
        <f t="shared" si="187"/>
        <v>0.06</v>
      </c>
      <c r="U249" s="62">
        <f t="shared" si="188"/>
        <v>0.06</v>
      </c>
      <c r="V249" s="62">
        <f t="shared" si="189"/>
        <v>0.06</v>
      </c>
      <c r="W249" s="62">
        <f t="shared" si="190"/>
        <v>0.06</v>
      </c>
      <c r="X249" s="62">
        <f t="shared" si="191"/>
        <v>0.06</v>
      </c>
      <c r="Y249" s="62">
        <f t="shared" si="192"/>
        <v>0.06</v>
      </c>
      <c r="Z249" s="62">
        <f t="shared" si="193"/>
        <v>0.06</v>
      </c>
      <c r="AA249" s="62">
        <f t="shared" si="194"/>
        <v>0.06</v>
      </c>
      <c r="AB249" s="62">
        <f t="shared" si="195"/>
        <v>0.06</v>
      </c>
      <c r="AC249" s="62">
        <f t="shared" si="196"/>
        <v>0.06</v>
      </c>
    </row>
    <row r="250" spans="1:44" x14ac:dyDescent="0.25">
      <c r="A250" s="30" t="str">
        <f t="shared" si="168"/>
        <v>Opex fix (admin, crew, insurance)</v>
      </c>
      <c r="B250" s="62">
        <f t="shared" si="169"/>
        <v>610000</v>
      </c>
      <c r="C250" s="62">
        <f t="shared" si="170"/>
        <v>610000</v>
      </c>
      <c r="D250" s="62">
        <f t="shared" si="171"/>
        <v>610000</v>
      </c>
      <c r="E250" s="62">
        <f t="shared" si="172"/>
        <v>610000</v>
      </c>
      <c r="F250" s="62">
        <f t="shared" si="173"/>
        <v>610000</v>
      </c>
      <c r="G250" s="62">
        <f t="shared" si="174"/>
        <v>610000</v>
      </c>
      <c r="H250" s="62">
        <f t="shared" si="175"/>
        <v>610000</v>
      </c>
      <c r="I250" s="62">
        <f t="shared" si="176"/>
        <v>610000</v>
      </c>
      <c r="J250" s="62">
        <f t="shared" si="177"/>
        <v>610000</v>
      </c>
      <c r="K250" s="62">
        <f t="shared" si="178"/>
        <v>610000</v>
      </c>
      <c r="L250" s="62">
        <f t="shared" si="179"/>
        <v>610000</v>
      </c>
      <c r="M250" s="62">
        <f t="shared" si="180"/>
        <v>610000</v>
      </c>
      <c r="N250" s="62">
        <f t="shared" si="181"/>
        <v>610000</v>
      </c>
      <c r="O250" s="62">
        <f t="shared" si="182"/>
        <v>610000</v>
      </c>
      <c r="P250" s="62">
        <f t="shared" si="183"/>
        <v>610000</v>
      </c>
      <c r="Q250" s="62">
        <f t="shared" si="184"/>
        <v>610000</v>
      </c>
      <c r="R250" s="62">
        <f t="shared" si="185"/>
        <v>610000</v>
      </c>
      <c r="S250" s="62">
        <f t="shared" si="186"/>
        <v>610000</v>
      </c>
      <c r="T250" s="62">
        <f t="shared" si="187"/>
        <v>610000</v>
      </c>
      <c r="U250" s="62">
        <f t="shared" si="188"/>
        <v>610000</v>
      </c>
      <c r="V250" s="62">
        <f t="shared" si="189"/>
        <v>610000</v>
      </c>
      <c r="W250" s="62">
        <f t="shared" si="190"/>
        <v>610000</v>
      </c>
      <c r="X250" s="62">
        <f t="shared" si="191"/>
        <v>610000</v>
      </c>
      <c r="Y250" s="62">
        <f t="shared" si="192"/>
        <v>610000</v>
      </c>
      <c r="Z250" s="62">
        <f t="shared" si="193"/>
        <v>610000</v>
      </c>
      <c r="AA250" s="62">
        <f t="shared" si="194"/>
        <v>610000</v>
      </c>
      <c r="AB250" s="62">
        <f t="shared" si="195"/>
        <v>610000</v>
      </c>
      <c r="AC250" s="62">
        <f t="shared" si="196"/>
        <v>610000</v>
      </c>
    </row>
    <row r="251" spans="1:44" x14ac:dyDescent="0.25">
      <c r="A251" s="30" t="str">
        <f t="shared" si="168"/>
        <v>Opex maintenance &amp; repair</v>
      </c>
      <c r="B251" s="62">
        <f t="shared" si="169"/>
        <v>1293563.9575177333</v>
      </c>
      <c r="C251" s="62">
        <f t="shared" si="170"/>
        <v>1290808.235093934</v>
      </c>
      <c r="D251" s="62">
        <f t="shared" si="171"/>
        <v>1286895.5042898762</v>
      </c>
      <c r="E251" s="62">
        <f t="shared" si="172"/>
        <v>1281365.2352877648</v>
      </c>
      <c r="F251" s="62">
        <f t="shared" si="173"/>
        <v>1273600.837383118</v>
      </c>
      <c r="G251" s="62">
        <f t="shared" si="174"/>
        <v>1262805.5057319398</v>
      </c>
      <c r="H251" s="62">
        <f t="shared" si="175"/>
        <v>1248005.5098923349</v>
      </c>
      <c r="I251" s="62">
        <f t="shared" si="176"/>
        <v>1228115.9013873441</v>
      </c>
      <c r="J251" s="62">
        <f t="shared" si="177"/>
        <v>1202116.3406815415</v>
      </c>
      <c r="K251" s="62">
        <f t="shared" si="178"/>
        <v>1169374.2884687176</v>
      </c>
      <c r="L251" s="62">
        <f t="shared" si="179"/>
        <v>1130084.7656740851</v>
      </c>
      <c r="M251" s="62">
        <f t="shared" si="180"/>
        <v>1085657.2084191416</v>
      </c>
      <c r="N251" s="62">
        <f t="shared" si="181"/>
        <v>1038755.2185067786</v>
      </c>
      <c r="O251" s="62">
        <f t="shared" si="182"/>
        <v>992776.17202817916</v>
      </c>
      <c r="P251" s="62">
        <f t="shared" si="183"/>
        <v>950920.49960650213</v>
      </c>
      <c r="Q251" s="62">
        <f t="shared" si="184"/>
        <v>915349.13841044903</v>
      </c>
      <c r="R251" s="62">
        <f t="shared" si="185"/>
        <v>886862.84856226621</v>
      </c>
      <c r="S251" s="62">
        <f t="shared" si="186"/>
        <v>865126.54509633617</v>
      </c>
      <c r="T251" s="62">
        <f t="shared" si="187"/>
        <v>849148.61879481981</v>
      </c>
      <c r="U251" s="62">
        <f t="shared" si="188"/>
        <v>837724.6326365323</v>
      </c>
      <c r="V251" s="62">
        <f t="shared" si="189"/>
        <v>829718.10542985611</v>
      </c>
      <c r="W251" s="62">
        <f t="shared" si="190"/>
        <v>824185.10301042092</v>
      </c>
      <c r="X251" s="62">
        <f t="shared" si="191"/>
        <v>820398.59373471502</v>
      </c>
      <c r="Y251" s="62">
        <f t="shared" si="192"/>
        <v>817824.59227500285</v>
      </c>
      <c r="Z251" s="62">
        <f t="shared" si="193"/>
        <v>816082.79412917187</v>
      </c>
      <c r="AA251" s="62">
        <f t="shared" si="194"/>
        <v>814907.77528152149</v>
      </c>
      <c r="AB251" s="62">
        <f t="shared" si="195"/>
        <v>814116.75843028165</v>
      </c>
      <c r="AC251" s="62">
        <f t="shared" si="196"/>
        <v>813584.99765465059</v>
      </c>
    </row>
    <row r="252" spans="1:44" x14ac:dyDescent="0.25">
      <c r="A252" s="30" t="str">
        <f t="shared" si="168"/>
        <v>Opex var (mode-fees, shunting)</v>
      </c>
      <c r="B252" s="62">
        <f t="shared" si="169"/>
        <v>3.6414565826330532</v>
      </c>
      <c r="C252" s="62">
        <f t="shared" si="170"/>
        <v>3.6414565826330532</v>
      </c>
      <c r="D252" s="62">
        <f t="shared" si="171"/>
        <v>3.6414565826330532</v>
      </c>
      <c r="E252" s="62">
        <f t="shared" si="172"/>
        <v>3.6414565826330532</v>
      </c>
      <c r="F252" s="62">
        <f t="shared" si="173"/>
        <v>3.6414565826330532</v>
      </c>
      <c r="G252" s="62">
        <f t="shared" si="174"/>
        <v>3.6414565826330532</v>
      </c>
      <c r="H252" s="62">
        <f t="shared" si="175"/>
        <v>3.6414565826330532</v>
      </c>
      <c r="I252" s="62">
        <f t="shared" si="176"/>
        <v>3.6414565826330532</v>
      </c>
      <c r="J252" s="62">
        <f t="shared" si="177"/>
        <v>3.6414565826330532</v>
      </c>
      <c r="K252" s="62">
        <f t="shared" si="178"/>
        <v>3.6414565826330532</v>
      </c>
      <c r="L252" s="62">
        <f t="shared" si="179"/>
        <v>3.6414565826330532</v>
      </c>
      <c r="M252" s="62">
        <f t="shared" si="180"/>
        <v>3.6414565826330532</v>
      </c>
      <c r="N252" s="62">
        <f t="shared" si="181"/>
        <v>3.6414565826330532</v>
      </c>
      <c r="O252" s="62">
        <f t="shared" si="182"/>
        <v>3.6414565826330532</v>
      </c>
      <c r="P252" s="62">
        <f t="shared" si="183"/>
        <v>3.6414565826330532</v>
      </c>
      <c r="Q252" s="62">
        <f t="shared" si="184"/>
        <v>3.6414565826330532</v>
      </c>
      <c r="R252" s="62">
        <f t="shared" si="185"/>
        <v>3.6414565826330532</v>
      </c>
      <c r="S252" s="62">
        <f t="shared" si="186"/>
        <v>3.6414565826330532</v>
      </c>
      <c r="T252" s="62">
        <f t="shared" si="187"/>
        <v>3.6414565826330532</v>
      </c>
      <c r="U252" s="62">
        <f t="shared" si="188"/>
        <v>3.6414565826330532</v>
      </c>
      <c r="V252" s="62">
        <f t="shared" si="189"/>
        <v>3.6414565826330532</v>
      </c>
      <c r="W252" s="62">
        <f t="shared" si="190"/>
        <v>3.6414565826330532</v>
      </c>
      <c r="X252" s="62">
        <f t="shared" si="191"/>
        <v>3.6414565826330532</v>
      </c>
      <c r="Y252" s="62">
        <f t="shared" si="192"/>
        <v>3.6414565826330532</v>
      </c>
      <c r="Z252" s="62">
        <f t="shared" si="193"/>
        <v>3.6414565826330532</v>
      </c>
      <c r="AA252" s="62">
        <f t="shared" si="194"/>
        <v>3.6414565826330532</v>
      </c>
      <c r="AB252" s="62">
        <f t="shared" si="195"/>
        <v>3.6414565826330532</v>
      </c>
      <c r="AC252" s="62">
        <f t="shared" si="196"/>
        <v>3.6414565826330532</v>
      </c>
    </row>
    <row r="253" spans="1:44" x14ac:dyDescent="0.25">
      <c r="A253" s="30" t="str">
        <f t="shared" si="168"/>
        <v>Fuel Economy</v>
      </c>
      <c r="B253" s="62">
        <f t="shared" si="169"/>
        <v>33.590199999999996</v>
      </c>
      <c r="C253" s="62">
        <f t="shared" si="170"/>
        <v>33.590199999999996</v>
      </c>
      <c r="D253" s="62">
        <f t="shared" si="171"/>
        <v>33.590199999999996</v>
      </c>
      <c r="E253" s="62">
        <f t="shared" si="172"/>
        <v>33.590199999999996</v>
      </c>
      <c r="F253" s="62">
        <f t="shared" si="173"/>
        <v>33.590199999999996</v>
      </c>
      <c r="G253" s="62">
        <f t="shared" si="174"/>
        <v>33.590199999999996</v>
      </c>
      <c r="H253" s="62">
        <f t="shared" si="175"/>
        <v>33.590199999999996</v>
      </c>
      <c r="I253" s="62">
        <f t="shared" si="176"/>
        <v>33.590199999999996</v>
      </c>
      <c r="J253" s="62">
        <f t="shared" si="177"/>
        <v>33.590199999999996</v>
      </c>
      <c r="K253" s="62">
        <f t="shared" si="178"/>
        <v>33.590199999999996</v>
      </c>
      <c r="L253" s="62">
        <f t="shared" si="179"/>
        <v>33.590199999999996</v>
      </c>
      <c r="M253" s="62">
        <f t="shared" si="180"/>
        <v>33.590199999999996</v>
      </c>
      <c r="N253" s="62">
        <f t="shared" si="181"/>
        <v>33.590199999999996</v>
      </c>
      <c r="O253" s="62">
        <f t="shared" si="182"/>
        <v>33.590199999999996</v>
      </c>
      <c r="P253" s="62">
        <f t="shared" si="183"/>
        <v>33.590199999999996</v>
      </c>
      <c r="Q253" s="62">
        <f t="shared" si="184"/>
        <v>33.590199999999996</v>
      </c>
      <c r="R253" s="62">
        <f t="shared" si="185"/>
        <v>33.590199999999996</v>
      </c>
      <c r="S253" s="62">
        <f t="shared" si="186"/>
        <v>33.590199999999996</v>
      </c>
      <c r="T253" s="62">
        <f t="shared" si="187"/>
        <v>33.590199999999996</v>
      </c>
      <c r="U253" s="62">
        <f t="shared" si="188"/>
        <v>33.590199999999996</v>
      </c>
      <c r="V253" s="62">
        <f t="shared" si="189"/>
        <v>33.590199999999996</v>
      </c>
      <c r="W253" s="62">
        <f t="shared" si="190"/>
        <v>33.590199999999996</v>
      </c>
      <c r="X253" s="62">
        <f t="shared" si="191"/>
        <v>33.590199999999996</v>
      </c>
      <c r="Y253" s="62">
        <f t="shared" si="192"/>
        <v>33.590199999999996</v>
      </c>
      <c r="Z253" s="62">
        <f t="shared" si="193"/>
        <v>33.590199999999996</v>
      </c>
      <c r="AA253" s="62">
        <f t="shared" si="194"/>
        <v>33.590199999999996</v>
      </c>
      <c r="AB253" s="62">
        <f t="shared" si="195"/>
        <v>33.590199999999996</v>
      </c>
      <c r="AC253" s="62">
        <f t="shared" si="196"/>
        <v>33.590199999999996</v>
      </c>
    </row>
    <row r="254" spans="1:44" x14ac:dyDescent="0.25">
      <c r="A254" s="30" t="str">
        <f t="shared" si="168"/>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197">A235</f>
        <v>Emission Cost</v>
      </c>
      <c r="B255" s="66">
        <f>$B235+($C235-$B235)*(1-Q235)</f>
        <v>0</v>
      </c>
      <c r="C255" s="66">
        <f t="shared" ref="C255:AC255" si="198">$B235+($C235-$B235)*(1-R235)</f>
        <v>0</v>
      </c>
      <c r="D255" s="66">
        <f t="shared" si="198"/>
        <v>0</v>
      </c>
      <c r="E255" s="66">
        <f t="shared" si="198"/>
        <v>0</v>
      </c>
      <c r="F255" s="66">
        <f t="shared" si="198"/>
        <v>0</v>
      </c>
      <c r="G255" s="66">
        <f t="shared" si="198"/>
        <v>0</v>
      </c>
      <c r="H255" s="66">
        <f t="shared" si="198"/>
        <v>0</v>
      </c>
      <c r="I255" s="66">
        <f t="shared" si="198"/>
        <v>0</v>
      </c>
      <c r="J255" s="66">
        <f t="shared" si="198"/>
        <v>0</v>
      </c>
      <c r="K255" s="66">
        <f t="shared" si="198"/>
        <v>0</v>
      </c>
      <c r="L255" s="66">
        <f t="shared" si="198"/>
        <v>0</v>
      </c>
      <c r="M255" s="66">
        <f t="shared" si="198"/>
        <v>0</v>
      </c>
      <c r="N255" s="66">
        <f t="shared" si="198"/>
        <v>0</v>
      </c>
      <c r="O255" s="66">
        <f t="shared" si="198"/>
        <v>0</v>
      </c>
      <c r="P255" s="66">
        <f t="shared" si="198"/>
        <v>0</v>
      </c>
      <c r="Q255" s="66">
        <f t="shared" si="198"/>
        <v>0</v>
      </c>
      <c r="R255" s="66">
        <f t="shared" si="198"/>
        <v>0</v>
      </c>
      <c r="S255" s="66">
        <f t="shared" si="198"/>
        <v>0</v>
      </c>
      <c r="T255" s="66">
        <f t="shared" si="198"/>
        <v>0</v>
      </c>
      <c r="U255" s="66">
        <f t="shared" si="198"/>
        <v>0</v>
      </c>
      <c r="V255" s="66">
        <f t="shared" si="198"/>
        <v>0</v>
      </c>
      <c r="W255" s="66">
        <f t="shared" si="198"/>
        <v>0</v>
      </c>
      <c r="X255" s="66">
        <f t="shared" si="198"/>
        <v>0</v>
      </c>
      <c r="Y255" s="66">
        <f t="shared" si="198"/>
        <v>0</v>
      </c>
      <c r="Z255" s="66">
        <f t="shared" si="198"/>
        <v>0</v>
      </c>
      <c r="AA255" s="66">
        <f t="shared" si="198"/>
        <v>0</v>
      </c>
      <c r="AB255" s="66">
        <f t="shared" si="198"/>
        <v>0</v>
      </c>
      <c r="AC255" s="66">
        <f t="shared" si="198"/>
        <v>0</v>
      </c>
    </row>
    <row r="256" spans="1:44" x14ac:dyDescent="0.25">
      <c r="A256" s="30" t="str">
        <f>A236</f>
        <v>Lifetime vehicle</v>
      </c>
      <c r="B256" s="62">
        <f>$B236+($C236-$B236)*(1-Q236)</f>
        <v>20</v>
      </c>
      <c r="C256" s="62">
        <f t="shared" ref="C256:L258" si="199">$B236+($C236-$B236)*(1-R236)</f>
        <v>20</v>
      </c>
      <c r="D256" s="62">
        <f t="shared" si="199"/>
        <v>20</v>
      </c>
      <c r="E256" s="62">
        <f t="shared" si="199"/>
        <v>20</v>
      </c>
      <c r="F256" s="62">
        <f t="shared" si="199"/>
        <v>20</v>
      </c>
      <c r="G256" s="62">
        <f t="shared" si="199"/>
        <v>20</v>
      </c>
      <c r="H256" s="62">
        <f t="shared" si="199"/>
        <v>20</v>
      </c>
      <c r="I256" s="62">
        <f t="shared" si="199"/>
        <v>20</v>
      </c>
      <c r="J256" s="62">
        <f t="shared" si="199"/>
        <v>20</v>
      </c>
      <c r="K256" s="62">
        <f t="shared" si="199"/>
        <v>20</v>
      </c>
      <c r="L256" s="62">
        <f t="shared" si="199"/>
        <v>20</v>
      </c>
      <c r="M256" s="62">
        <f t="shared" ref="M256:V258" si="200">$B236+($C236-$B236)*(1-AB236)</f>
        <v>20</v>
      </c>
      <c r="N256" s="62">
        <f t="shared" si="200"/>
        <v>20</v>
      </c>
      <c r="O256" s="62">
        <f t="shared" si="200"/>
        <v>20</v>
      </c>
      <c r="P256" s="62">
        <f t="shared" si="200"/>
        <v>20</v>
      </c>
      <c r="Q256" s="62">
        <f t="shared" si="200"/>
        <v>20</v>
      </c>
      <c r="R256" s="62">
        <f t="shared" si="200"/>
        <v>20</v>
      </c>
      <c r="S256" s="62">
        <f t="shared" si="200"/>
        <v>20</v>
      </c>
      <c r="T256" s="62">
        <f t="shared" si="200"/>
        <v>20</v>
      </c>
      <c r="U256" s="62">
        <f t="shared" si="200"/>
        <v>20</v>
      </c>
      <c r="V256" s="62">
        <f t="shared" si="200"/>
        <v>20</v>
      </c>
      <c r="W256" s="62">
        <f t="shared" ref="W256:AC258" si="201">$B236+($C236-$B236)*(1-AL236)</f>
        <v>20</v>
      </c>
      <c r="X256" s="62">
        <f t="shared" si="201"/>
        <v>20</v>
      </c>
      <c r="Y256" s="62">
        <f t="shared" si="201"/>
        <v>20</v>
      </c>
      <c r="Z256" s="62">
        <f t="shared" si="201"/>
        <v>20</v>
      </c>
      <c r="AA256" s="62">
        <f t="shared" si="201"/>
        <v>20</v>
      </c>
      <c r="AB256" s="62">
        <f t="shared" si="201"/>
        <v>20</v>
      </c>
      <c r="AC256" s="62">
        <f t="shared" si="201"/>
        <v>20</v>
      </c>
    </row>
    <row r="257" spans="1:29" x14ac:dyDescent="0.25">
      <c r="A257" s="30" t="str">
        <f>A237</f>
        <v>Lifetime costumization</v>
      </c>
      <c r="B257" s="62">
        <f>$B237+($C237-$B237)*(1-Q237)</f>
        <v>30</v>
      </c>
      <c r="C257" s="62">
        <f t="shared" si="199"/>
        <v>30</v>
      </c>
      <c r="D257" s="62">
        <f t="shared" si="199"/>
        <v>30</v>
      </c>
      <c r="E257" s="62">
        <f t="shared" si="199"/>
        <v>30</v>
      </c>
      <c r="F257" s="62">
        <f t="shared" si="199"/>
        <v>30</v>
      </c>
      <c r="G257" s="62">
        <f t="shared" si="199"/>
        <v>30</v>
      </c>
      <c r="H257" s="62">
        <f t="shared" si="199"/>
        <v>30</v>
      </c>
      <c r="I257" s="62">
        <f t="shared" si="199"/>
        <v>30</v>
      </c>
      <c r="J257" s="62">
        <f t="shared" si="199"/>
        <v>30</v>
      </c>
      <c r="K257" s="62">
        <f t="shared" si="199"/>
        <v>30</v>
      </c>
      <c r="L257" s="62">
        <f t="shared" si="199"/>
        <v>30</v>
      </c>
      <c r="M257" s="62">
        <f t="shared" si="200"/>
        <v>30</v>
      </c>
      <c r="N257" s="62">
        <f t="shared" si="200"/>
        <v>30</v>
      </c>
      <c r="O257" s="62">
        <f t="shared" si="200"/>
        <v>30</v>
      </c>
      <c r="P257" s="62">
        <f t="shared" si="200"/>
        <v>30</v>
      </c>
      <c r="Q257" s="62">
        <f t="shared" si="200"/>
        <v>30</v>
      </c>
      <c r="R257" s="62">
        <f t="shared" si="200"/>
        <v>30</v>
      </c>
      <c r="S257" s="62">
        <f t="shared" si="200"/>
        <v>30</v>
      </c>
      <c r="T257" s="62">
        <f t="shared" si="200"/>
        <v>30</v>
      </c>
      <c r="U257" s="62">
        <f t="shared" si="200"/>
        <v>30</v>
      </c>
      <c r="V257" s="62">
        <f t="shared" si="200"/>
        <v>30</v>
      </c>
      <c r="W257" s="62">
        <f t="shared" si="201"/>
        <v>30</v>
      </c>
      <c r="X257" s="62">
        <f t="shared" si="201"/>
        <v>30</v>
      </c>
      <c r="Y257" s="62">
        <f t="shared" si="201"/>
        <v>30</v>
      </c>
      <c r="Z257" s="62">
        <f t="shared" si="201"/>
        <v>30</v>
      </c>
      <c r="AA257" s="62">
        <f t="shared" si="201"/>
        <v>30</v>
      </c>
      <c r="AB257" s="62">
        <f t="shared" si="201"/>
        <v>30</v>
      </c>
      <c r="AC257" s="62">
        <f t="shared" si="201"/>
        <v>30</v>
      </c>
    </row>
    <row r="258" spans="1:29" x14ac:dyDescent="0.25">
      <c r="A258" s="30" t="str">
        <f>A238</f>
        <v>Tonnage .</v>
      </c>
      <c r="B258" s="62">
        <f>$B238+($C238-$B238)*(1-Q238)</f>
        <v>2240</v>
      </c>
      <c r="C258" s="62">
        <f t="shared" si="199"/>
        <v>2240</v>
      </c>
      <c r="D258" s="62">
        <f t="shared" si="199"/>
        <v>2240</v>
      </c>
      <c r="E258" s="62">
        <f t="shared" si="199"/>
        <v>2240</v>
      </c>
      <c r="F258" s="62">
        <f t="shared" si="199"/>
        <v>2240</v>
      </c>
      <c r="G258" s="62">
        <f t="shared" si="199"/>
        <v>2240</v>
      </c>
      <c r="H258" s="62">
        <f t="shared" si="199"/>
        <v>2240</v>
      </c>
      <c r="I258" s="62">
        <f t="shared" si="199"/>
        <v>2240</v>
      </c>
      <c r="J258" s="62">
        <f t="shared" si="199"/>
        <v>2240</v>
      </c>
      <c r="K258" s="62">
        <f t="shared" si="199"/>
        <v>2240</v>
      </c>
      <c r="L258" s="62">
        <f t="shared" si="199"/>
        <v>2240</v>
      </c>
      <c r="M258" s="62">
        <f t="shared" si="200"/>
        <v>2240</v>
      </c>
      <c r="N258" s="62">
        <f t="shared" si="200"/>
        <v>2240</v>
      </c>
      <c r="O258" s="62">
        <f t="shared" si="200"/>
        <v>2240</v>
      </c>
      <c r="P258" s="62">
        <f t="shared" si="200"/>
        <v>2240</v>
      </c>
      <c r="Q258" s="62">
        <f t="shared" si="200"/>
        <v>2240</v>
      </c>
      <c r="R258" s="62">
        <f t="shared" si="200"/>
        <v>2240</v>
      </c>
      <c r="S258" s="62">
        <f t="shared" si="200"/>
        <v>2240</v>
      </c>
      <c r="T258" s="62">
        <f t="shared" si="200"/>
        <v>2240</v>
      </c>
      <c r="U258" s="62">
        <f t="shared" si="200"/>
        <v>2240</v>
      </c>
      <c r="V258" s="62">
        <f t="shared" si="200"/>
        <v>2240</v>
      </c>
      <c r="W258" s="62">
        <f t="shared" si="201"/>
        <v>2240</v>
      </c>
      <c r="X258" s="62">
        <f t="shared" si="201"/>
        <v>2240</v>
      </c>
      <c r="Y258" s="62">
        <f t="shared" si="201"/>
        <v>2240</v>
      </c>
      <c r="Z258" s="62">
        <f t="shared" si="201"/>
        <v>2240</v>
      </c>
      <c r="AA258" s="62">
        <f t="shared" si="201"/>
        <v>2240</v>
      </c>
      <c r="AB258" s="62">
        <f t="shared" si="201"/>
        <v>2240</v>
      </c>
      <c r="AC258" s="62">
        <f t="shared" si="201"/>
        <v>2240</v>
      </c>
    </row>
    <row r="259" spans="1:29" x14ac:dyDescent="0.25">
      <c r="A259" s="30" t="str">
        <f>A239</f>
        <v>Market failure (av. utilization)</v>
      </c>
      <c r="B259" s="62">
        <f t="shared" ref="B259:K260" si="202">($B239+($C239-$B239)*(1-Q239))*B$44</f>
        <v>955.73333333333335</v>
      </c>
      <c r="C259" s="62">
        <f t="shared" si="202"/>
        <v>955.73333333333335</v>
      </c>
      <c r="D259" s="62">
        <f t="shared" si="202"/>
        <v>955.73333333333335</v>
      </c>
      <c r="E259" s="62">
        <f t="shared" si="202"/>
        <v>955.73333333333335</v>
      </c>
      <c r="F259" s="62">
        <f t="shared" si="202"/>
        <v>955.73333333333335</v>
      </c>
      <c r="G259" s="62">
        <f t="shared" si="202"/>
        <v>955.73333333333335</v>
      </c>
      <c r="H259" s="62">
        <f t="shared" si="202"/>
        <v>955.73333333333335</v>
      </c>
      <c r="I259" s="62">
        <f t="shared" si="202"/>
        <v>955.73333333333335</v>
      </c>
      <c r="J259" s="62">
        <f t="shared" si="202"/>
        <v>955.73333333333335</v>
      </c>
      <c r="K259" s="62">
        <f t="shared" si="202"/>
        <v>955.73333333333335</v>
      </c>
      <c r="L259" s="62">
        <f t="shared" ref="L259:U260" si="203">($B239+($C239-$B239)*(1-AA239))*L$44</f>
        <v>955.73333333333335</v>
      </c>
      <c r="M259" s="62">
        <f t="shared" si="203"/>
        <v>955.73333333333335</v>
      </c>
      <c r="N259" s="62">
        <f t="shared" si="203"/>
        <v>955.73333333333335</v>
      </c>
      <c r="O259" s="62">
        <f t="shared" si="203"/>
        <v>955.73333333333335</v>
      </c>
      <c r="P259" s="62">
        <f t="shared" si="203"/>
        <v>955.73333333333335</v>
      </c>
      <c r="Q259" s="62">
        <f t="shared" si="203"/>
        <v>955.73333333333335</v>
      </c>
      <c r="R259" s="62">
        <f t="shared" si="203"/>
        <v>955.73333333333335</v>
      </c>
      <c r="S259" s="62">
        <f t="shared" si="203"/>
        <v>955.73333333333335</v>
      </c>
      <c r="T259" s="62">
        <f t="shared" si="203"/>
        <v>955.73333333333335</v>
      </c>
      <c r="U259" s="62">
        <f t="shared" si="203"/>
        <v>955.73333333333335</v>
      </c>
      <c r="V259" s="62">
        <f t="shared" ref="V259:AC260" si="204">($B239+($C239-$B239)*(1-AK239))*V$44</f>
        <v>955.73333333333335</v>
      </c>
      <c r="W259" s="62">
        <f t="shared" si="204"/>
        <v>955.73333333333335</v>
      </c>
      <c r="X259" s="62">
        <f t="shared" si="204"/>
        <v>955.73333333333335</v>
      </c>
      <c r="Y259" s="62">
        <f t="shared" si="204"/>
        <v>955.73333333333335</v>
      </c>
      <c r="Z259" s="62">
        <f t="shared" si="204"/>
        <v>955.73333333333335</v>
      </c>
      <c r="AA259" s="62">
        <f t="shared" si="204"/>
        <v>955.73333333333335</v>
      </c>
      <c r="AB259" s="62">
        <f t="shared" si="204"/>
        <v>955.73333333333335</v>
      </c>
      <c r="AC259" s="62">
        <f t="shared" si="204"/>
        <v>955.73333333333335</v>
      </c>
    </row>
    <row r="260" spans="1:29" x14ac:dyDescent="0.25">
      <c r="A260" s="30" t="s">
        <v>73</v>
      </c>
      <c r="B260" s="62">
        <f t="shared" si="202"/>
        <v>79.471914462993496</v>
      </c>
      <c r="C260" s="62">
        <f t="shared" si="202"/>
        <v>79.245803905143291</v>
      </c>
      <c r="D260" s="62">
        <f t="shared" si="202"/>
        <v>78.924759326348806</v>
      </c>
      <c r="E260" s="62">
        <f t="shared" si="202"/>
        <v>78.470993664637106</v>
      </c>
      <c r="F260" s="62">
        <f t="shared" si="202"/>
        <v>77.833914862204551</v>
      </c>
      <c r="G260" s="62">
        <f t="shared" si="202"/>
        <v>76.948144060056592</v>
      </c>
      <c r="H260" s="62">
        <f t="shared" si="202"/>
        <v>75.733785427063381</v>
      </c>
      <c r="I260" s="62">
        <f t="shared" si="202"/>
        <v>74.101817549730796</v>
      </c>
      <c r="J260" s="62">
        <f t="shared" si="202"/>
        <v>71.968520261049548</v>
      </c>
      <c r="K260" s="62">
        <f t="shared" si="202"/>
        <v>69.281992899997348</v>
      </c>
      <c r="L260" s="62">
        <f t="shared" si="203"/>
        <v>66.058237183514677</v>
      </c>
      <c r="M260" s="62">
        <f t="shared" si="203"/>
        <v>62.412899152339826</v>
      </c>
      <c r="N260" s="62">
        <f t="shared" si="203"/>
        <v>58.564530749274141</v>
      </c>
      <c r="O260" s="62">
        <f t="shared" si="203"/>
        <v>54.79189103820957</v>
      </c>
      <c r="P260" s="62">
        <f t="shared" si="203"/>
        <v>51.357579454892473</v>
      </c>
      <c r="Q260" s="62">
        <f t="shared" si="203"/>
        <v>48.438903664447089</v>
      </c>
      <c r="R260" s="62">
        <f t="shared" si="203"/>
        <v>46.101567061519283</v>
      </c>
      <c r="S260" s="62">
        <f t="shared" si="203"/>
        <v>44.318075495083995</v>
      </c>
      <c r="T260" s="62">
        <f t="shared" si="203"/>
        <v>43.007066157523667</v>
      </c>
      <c r="U260" s="62">
        <f t="shared" si="203"/>
        <v>42.069713447100085</v>
      </c>
      <c r="V260" s="62">
        <f t="shared" si="204"/>
        <v>41.412767625013835</v>
      </c>
      <c r="W260" s="62">
        <f t="shared" si="204"/>
        <v>40.958777682906323</v>
      </c>
      <c r="X260" s="62">
        <f t="shared" si="204"/>
        <v>40.648089742335586</v>
      </c>
      <c r="Y260" s="62">
        <f t="shared" si="204"/>
        <v>40.43688962256433</v>
      </c>
      <c r="Z260" s="62">
        <f t="shared" si="204"/>
        <v>40.29397285162436</v>
      </c>
      <c r="AA260" s="62">
        <f t="shared" si="204"/>
        <v>40.197561048740226</v>
      </c>
      <c r="AB260" s="62">
        <f t="shared" si="204"/>
        <v>40.132657101971823</v>
      </c>
      <c r="AC260" s="62">
        <f t="shared" si="204"/>
        <v>40.08902544858671</v>
      </c>
    </row>
    <row r="261" spans="1:29" x14ac:dyDescent="0.25">
      <c r="A261" s="30" t="str">
        <f>A241</f>
        <v>Annual Mileage</v>
      </c>
      <c r="B261" s="62">
        <f t="shared" ref="B261:AC261" si="205">$B241+($C241-$B241)*(1-Q241)</f>
        <v>178500</v>
      </c>
      <c r="C261" s="62">
        <f t="shared" si="205"/>
        <v>178500</v>
      </c>
      <c r="D261" s="62">
        <f t="shared" si="205"/>
        <v>178500</v>
      </c>
      <c r="E261" s="62">
        <f t="shared" si="205"/>
        <v>178500</v>
      </c>
      <c r="F261" s="62">
        <f t="shared" si="205"/>
        <v>178500</v>
      </c>
      <c r="G261" s="62">
        <f t="shared" si="205"/>
        <v>178500</v>
      </c>
      <c r="H261" s="62">
        <f t="shared" si="205"/>
        <v>178500</v>
      </c>
      <c r="I261" s="62">
        <f t="shared" si="205"/>
        <v>178500</v>
      </c>
      <c r="J261" s="62">
        <f t="shared" si="205"/>
        <v>178500</v>
      </c>
      <c r="K261" s="62">
        <f t="shared" si="205"/>
        <v>178500</v>
      </c>
      <c r="L261" s="62">
        <f t="shared" si="205"/>
        <v>178500</v>
      </c>
      <c r="M261" s="62">
        <f t="shared" si="205"/>
        <v>178500</v>
      </c>
      <c r="N261" s="62">
        <f t="shared" si="205"/>
        <v>178500</v>
      </c>
      <c r="O261" s="62">
        <f t="shared" si="205"/>
        <v>178500</v>
      </c>
      <c r="P261" s="62">
        <f t="shared" si="205"/>
        <v>178500</v>
      </c>
      <c r="Q261" s="62">
        <f t="shared" si="205"/>
        <v>178500</v>
      </c>
      <c r="R261" s="62">
        <f t="shared" si="205"/>
        <v>178500</v>
      </c>
      <c r="S261" s="62">
        <f t="shared" si="205"/>
        <v>178500</v>
      </c>
      <c r="T261" s="62">
        <f t="shared" si="205"/>
        <v>178500</v>
      </c>
      <c r="U261" s="62">
        <f t="shared" si="205"/>
        <v>178500</v>
      </c>
      <c r="V261" s="62">
        <f t="shared" si="205"/>
        <v>178500</v>
      </c>
      <c r="W261" s="62">
        <f t="shared" si="205"/>
        <v>178500</v>
      </c>
      <c r="X261" s="62">
        <f t="shared" si="205"/>
        <v>178500</v>
      </c>
      <c r="Y261" s="62">
        <f t="shared" si="205"/>
        <v>178500</v>
      </c>
      <c r="Z261" s="62">
        <f t="shared" si="205"/>
        <v>178500</v>
      </c>
      <c r="AA261" s="62">
        <f t="shared" si="205"/>
        <v>178500</v>
      </c>
      <c r="AB261" s="62">
        <f t="shared" si="205"/>
        <v>178500</v>
      </c>
      <c r="AC261" s="62">
        <f t="shared" si="205"/>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6">((1+C249)^C256)*C249/(((1+C249)^C256)-1)*(C245)</f>
        <v>865681.10860566224</v>
      </c>
      <c r="D264" s="63">
        <f t="shared" si="206"/>
        <v>863057.03397703567</v>
      </c>
      <c r="E264" s="63">
        <f t="shared" si="206"/>
        <v>859348.15664694412</v>
      </c>
      <c r="F264" s="63">
        <f t="shared" si="206"/>
        <v>854140.95978918544</v>
      </c>
      <c r="G264" s="63">
        <f t="shared" si="206"/>
        <v>846901.06588590739</v>
      </c>
      <c r="H264" s="63">
        <f t="shared" si="206"/>
        <v>836975.44218948286</v>
      </c>
      <c r="I264" s="63">
        <f t="shared" si="206"/>
        <v>823636.46752832399</v>
      </c>
      <c r="J264" s="63">
        <f t="shared" si="206"/>
        <v>806199.8507457996</v>
      </c>
      <c r="K264" s="63">
        <f t="shared" si="206"/>
        <v>784241.37907896913</v>
      </c>
      <c r="L264" s="63">
        <f t="shared" si="206"/>
        <v>757891.84339680034</v>
      </c>
      <c r="M264" s="63">
        <f t="shared" si="206"/>
        <v>728096.48265190842</v>
      </c>
      <c r="N264" s="63">
        <f t="shared" si="206"/>
        <v>696641.64256081509</v>
      </c>
      <c r="O264" s="63">
        <f t="shared" si="206"/>
        <v>665805.77488808637</v>
      </c>
      <c r="P264" s="63">
        <f t="shared" si="206"/>
        <v>637735.24983383913</v>
      </c>
      <c r="Q264" s="63">
        <f t="shared" si="206"/>
        <v>613879.3008573663</v>
      </c>
      <c r="R264" s="63">
        <f t="shared" si="206"/>
        <v>594774.95808561263</v>
      </c>
      <c r="S264" s="63">
        <f t="shared" si="206"/>
        <v>580197.49663952412</v>
      </c>
      <c r="T264" s="63">
        <f t="shared" si="206"/>
        <v>569481.893362551</v>
      </c>
      <c r="U264" s="63">
        <f t="shared" si="206"/>
        <v>561820.39203855116</v>
      </c>
      <c r="V264" s="63">
        <f t="shared" si="206"/>
        <v>556450.81105826527</v>
      </c>
      <c r="W264" s="63">
        <f t="shared" si="206"/>
        <v>552740.10056064755</v>
      </c>
      <c r="X264" s="63">
        <f t="shared" si="206"/>
        <v>550200.67645533092</v>
      </c>
      <c r="Y264" s="63">
        <f t="shared" si="206"/>
        <v>548474.42124823271</v>
      </c>
      <c r="Z264" s="63">
        <f t="shared" si="206"/>
        <v>547306.28355832992</v>
      </c>
      <c r="AA264" s="63">
        <f t="shared" si="206"/>
        <v>546518.25665316184</v>
      </c>
      <c r="AB264" s="63">
        <f t="shared" si="206"/>
        <v>545987.76085518813</v>
      </c>
      <c r="AC264" s="63">
        <f t="shared" si="206"/>
        <v>545631.13525794924</v>
      </c>
    </row>
    <row r="265" spans="1:29" x14ac:dyDescent="0.25">
      <c r="A265" s="30" t="str">
        <f>A246</f>
        <v>Residual value (vehicle)</v>
      </c>
      <c r="B265" s="62">
        <f>((1+B249)^B256)*B249/(((1+B249)^B256)-1)*(B246)</f>
        <v>-44095.850871439077</v>
      </c>
      <c r="C265" s="62">
        <f t="shared" ref="C265:AC265" si="207">((1+C249)^C256)*C249/(((1+C249)^C256)-1)*(C246)</f>
        <v>-44311.465624091747</v>
      </c>
      <c r="D265" s="62">
        <f t="shared" si="207"/>
        <v>-44617.607664098185</v>
      </c>
      <c r="E265" s="62">
        <f t="shared" si="207"/>
        <v>-45050.310019275523</v>
      </c>
      <c r="F265" s="62">
        <f t="shared" si="207"/>
        <v>-45657.816319347374</v>
      </c>
      <c r="G265" s="62">
        <f t="shared" si="207"/>
        <v>-46502.470608063151</v>
      </c>
      <c r="H265" s="62">
        <f t="shared" si="207"/>
        <v>-47660.460039312675</v>
      </c>
      <c r="I265" s="62">
        <f t="shared" si="207"/>
        <v>-49216.673749781199</v>
      </c>
      <c r="J265" s="62">
        <f t="shared" si="207"/>
        <v>-51250.945707742365</v>
      </c>
      <c r="K265" s="62">
        <f t="shared" si="207"/>
        <v>-53812.767402205936</v>
      </c>
      <c r="L265" s="62">
        <f t="shared" si="207"/>
        <v>-56886.879898458967</v>
      </c>
      <c r="M265" s="62">
        <f t="shared" si="207"/>
        <v>-60363.005318696356</v>
      </c>
      <c r="N265" s="62">
        <f t="shared" si="207"/>
        <v>-64032.73666265724</v>
      </c>
      <c r="O265" s="62">
        <f t="shared" si="207"/>
        <v>-67630.254557808934</v>
      </c>
      <c r="P265" s="62">
        <f t="shared" si="207"/>
        <v>-70905.149147471107</v>
      </c>
      <c r="Q265" s="62">
        <f t="shared" si="207"/>
        <v>-73688.343194726258</v>
      </c>
      <c r="R265" s="62">
        <f t="shared" si="207"/>
        <v>-75917.183184764202</v>
      </c>
      <c r="S265" s="62">
        <f t="shared" si="207"/>
        <v>-77617.887020141206</v>
      </c>
      <c r="T265" s="62">
        <f t="shared" si="207"/>
        <v>-78868.040735788047</v>
      </c>
      <c r="U265" s="62">
        <f t="shared" si="207"/>
        <v>-79761.882556921351</v>
      </c>
      <c r="V265" s="62">
        <f t="shared" si="207"/>
        <v>-80388.333671288041</v>
      </c>
      <c r="W265" s="62">
        <f t="shared" si="207"/>
        <v>-80821.249896010122</v>
      </c>
      <c r="X265" s="62">
        <f t="shared" si="207"/>
        <v>-81117.516041630384</v>
      </c>
      <c r="Y265" s="62">
        <f t="shared" si="207"/>
        <v>-81318.912482458516</v>
      </c>
      <c r="Z265" s="62">
        <f t="shared" si="207"/>
        <v>-81455.19521294719</v>
      </c>
      <c r="AA265" s="62">
        <f t="shared" si="207"/>
        <v>-81547.131685216795</v>
      </c>
      <c r="AB265" s="62">
        <f t="shared" si="207"/>
        <v>-81609.022861647056</v>
      </c>
      <c r="AC265" s="62">
        <f t="shared" si="207"/>
        <v>-81650.629181324926</v>
      </c>
    </row>
    <row r="266" spans="1:29" x14ac:dyDescent="0.25">
      <c r="A266" s="30" t="str">
        <f>A247</f>
        <v>Capex costumization</v>
      </c>
      <c r="B266" s="62">
        <f>((1+B249)^B257)*B249/(((1+B249)^B257)-1)*(B247)</f>
        <v>203416.95217213215</v>
      </c>
      <c r="C266" s="62">
        <f t="shared" ref="C266:AC266" si="208">((1+C249)^C257)*C249/(((1+C249)^C257)-1)*(C247)</f>
        <v>203416.95217213215</v>
      </c>
      <c r="D266" s="62">
        <f t="shared" si="208"/>
        <v>203416.95217213215</v>
      </c>
      <c r="E266" s="62">
        <f t="shared" si="208"/>
        <v>203416.95217213215</v>
      </c>
      <c r="F266" s="62">
        <f t="shared" si="208"/>
        <v>203416.95217213215</v>
      </c>
      <c r="G266" s="62">
        <f t="shared" si="208"/>
        <v>203416.95217213215</v>
      </c>
      <c r="H266" s="62">
        <f t="shared" si="208"/>
        <v>203416.95217213215</v>
      </c>
      <c r="I266" s="62">
        <f t="shared" si="208"/>
        <v>203416.95217213215</v>
      </c>
      <c r="J266" s="62">
        <f t="shared" si="208"/>
        <v>203416.95217213215</v>
      </c>
      <c r="K266" s="62">
        <f t="shared" si="208"/>
        <v>203416.95217213215</v>
      </c>
      <c r="L266" s="62">
        <f t="shared" si="208"/>
        <v>203416.95217213215</v>
      </c>
      <c r="M266" s="62">
        <f t="shared" si="208"/>
        <v>203416.95217213215</v>
      </c>
      <c r="N266" s="62">
        <f t="shared" si="208"/>
        <v>203416.95217213215</v>
      </c>
      <c r="O266" s="62">
        <f t="shared" si="208"/>
        <v>203416.95217213215</v>
      </c>
      <c r="P266" s="62">
        <f t="shared" si="208"/>
        <v>203416.95217213215</v>
      </c>
      <c r="Q266" s="62">
        <f t="shared" si="208"/>
        <v>203416.95217213215</v>
      </c>
      <c r="R266" s="62">
        <f t="shared" si="208"/>
        <v>203416.95217213215</v>
      </c>
      <c r="S266" s="62">
        <f t="shared" si="208"/>
        <v>203416.95217213215</v>
      </c>
      <c r="T266" s="62">
        <f t="shared" si="208"/>
        <v>203416.95217213215</v>
      </c>
      <c r="U266" s="62">
        <f t="shared" si="208"/>
        <v>203416.95217213215</v>
      </c>
      <c r="V266" s="62">
        <f t="shared" si="208"/>
        <v>203416.95217213215</v>
      </c>
      <c r="W266" s="62">
        <f t="shared" si="208"/>
        <v>203416.95217213215</v>
      </c>
      <c r="X266" s="62">
        <f t="shared" si="208"/>
        <v>203416.95217213215</v>
      </c>
      <c r="Y266" s="62">
        <f t="shared" si="208"/>
        <v>203416.95217213215</v>
      </c>
      <c r="Z266" s="62">
        <f t="shared" si="208"/>
        <v>203416.95217213215</v>
      </c>
      <c r="AA266" s="62">
        <f t="shared" si="208"/>
        <v>203416.95217213215</v>
      </c>
      <c r="AB266" s="62">
        <f t="shared" si="208"/>
        <v>203416.95217213215</v>
      </c>
      <c r="AC266" s="62">
        <f t="shared" si="208"/>
        <v>203416.95217213215</v>
      </c>
    </row>
    <row r="267" spans="1:29" x14ac:dyDescent="0.25">
      <c r="A267" s="30" t="str">
        <f>A248</f>
        <v>Residual value (costumization)</v>
      </c>
      <c r="B267" s="62">
        <f>((1+B249)^B257)*B249/(((1+B249)^B257)-1)*(B248)</f>
        <v>-10170.847608606608</v>
      </c>
      <c r="C267" s="62">
        <f t="shared" ref="C267:AC267" si="209">((1+C249)^C257)*C249/(((1+C249)^C257)-1)*(C248)</f>
        <v>-10170.847608606608</v>
      </c>
      <c r="D267" s="62">
        <f t="shared" si="209"/>
        <v>-10170.847608606608</v>
      </c>
      <c r="E267" s="62">
        <f t="shared" si="209"/>
        <v>-10170.847608606608</v>
      </c>
      <c r="F267" s="62">
        <f t="shared" si="209"/>
        <v>-10170.847608606608</v>
      </c>
      <c r="G267" s="62">
        <f t="shared" si="209"/>
        <v>-10170.847608606608</v>
      </c>
      <c r="H267" s="62">
        <f t="shared" si="209"/>
        <v>-10170.847608606608</v>
      </c>
      <c r="I267" s="62">
        <f t="shared" si="209"/>
        <v>-10170.847608606608</v>
      </c>
      <c r="J267" s="62">
        <f t="shared" si="209"/>
        <v>-10170.847608606608</v>
      </c>
      <c r="K267" s="62">
        <f t="shared" si="209"/>
        <v>-10170.847608606608</v>
      </c>
      <c r="L267" s="62">
        <f t="shared" si="209"/>
        <v>-10170.847608606608</v>
      </c>
      <c r="M267" s="62">
        <f t="shared" si="209"/>
        <v>-10170.847608606608</v>
      </c>
      <c r="N267" s="62">
        <f t="shared" si="209"/>
        <v>-10170.847608606608</v>
      </c>
      <c r="O267" s="62">
        <f t="shared" si="209"/>
        <v>-10170.847608606608</v>
      </c>
      <c r="P267" s="62">
        <f t="shared" si="209"/>
        <v>-10170.847608606608</v>
      </c>
      <c r="Q267" s="62">
        <f t="shared" si="209"/>
        <v>-10170.847608606608</v>
      </c>
      <c r="R267" s="62">
        <f t="shared" si="209"/>
        <v>-10170.847608606608</v>
      </c>
      <c r="S267" s="62">
        <f t="shared" si="209"/>
        <v>-10170.847608606608</v>
      </c>
      <c r="T267" s="62">
        <f t="shared" si="209"/>
        <v>-10170.847608606608</v>
      </c>
      <c r="U267" s="62">
        <f t="shared" si="209"/>
        <v>-10170.847608606608</v>
      </c>
      <c r="V267" s="62">
        <f t="shared" si="209"/>
        <v>-10170.847608606608</v>
      </c>
      <c r="W267" s="62">
        <f t="shared" si="209"/>
        <v>-10170.847608606608</v>
      </c>
      <c r="X267" s="62">
        <f t="shared" si="209"/>
        <v>-10170.847608606608</v>
      </c>
      <c r="Y267" s="62">
        <f t="shared" si="209"/>
        <v>-10170.847608606608</v>
      </c>
      <c r="Z267" s="62">
        <f t="shared" si="209"/>
        <v>-10170.847608606608</v>
      </c>
      <c r="AA267" s="62">
        <f t="shared" si="209"/>
        <v>-10170.847608606608</v>
      </c>
      <c r="AB267" s="62">
        <f t="shared" si="209"/>
        <v>-10170.847608606608</v>
      </c>
      <c r="AC267" s="62">
        <f t="shared" si="209"/>
        <v>-10170.847608606608</v>
      </c>
    </row>
    <row r="268" spans="1:29" x14ac:dyDescent="0.25">
      <c r="A268" s="30" t="str">
        <f t="shared" ref="A268:AC268" si="210">A250</f>
        <v>Opex fix (admin, crew, insurance)</v>
      </c>
      <c r="B268" s="62">
        <f t="shared" si="210"/>
        <v>610000</v>
      </c>
      <c r="C268" s="62">
        <f t="shared" si="210"/>
        <v>610000</v>
      </c>
      <c r="D268" s="62">
        <f t="shared" si="210"/>
        <v>610000</v>
      </c>
      <c r="E268" s="62">
        <f t="shared" si="210"/>
        <v>610000</v>
      </c>
      <c r="F268" s="62">
        <f t="shared" si="210"/>
        <v>610000</v>
      </c>
      <c r="G268" s="62">
        <f t="shared" si="210"/>
        <v>610000</v>
      </c>
      <c r="H268" s="62">
        <f t="shared" si="210"/>
        <v>610000</v>
      </c>
      <c r="I268" s="62">
        <f t="shared" si="210"/>
        <v>610000</v>
      </c>
      <c r="J268" s="62">
        <f t="shared" si="210"/>
        <v>610000</v>
      </c>
      <c r="K268" s="62">
        <f t="shared" si="210"/>
        <v>610000</v>
      </c>
      <c r="L268" s="62">
        <f t="shared" si="210"/>
        <v>610000</v>
      </c>
      <c r="M268" s="62">
        <f t="shared" si="210"/>
        <v>610000</v>
      </c>
      <c r="N268" s="62">
        <f t="shared" si="210"/>
        <v>610000</v>
      </c>
      <c r="O268" s="62">
        <f t="shared" si="210"/>
        <v>610000</v>
      </c>
      <c r="P268" s="62">
        <f t="shared" si="210"/>
        <v>610000</v>
      </c>
      <c r="Q268" s="62">
        <f t="shared" si="210"/>
        <v>610000</v>
      </c>
      <c r="R268" s="62">
        <f t="shared" si="210"/>
        <v>610000</v>
      </c>
      <c r="S268" s="62">
        <f t="shared" si="210"/>
        <v>610000</v>
      </c>
      <c r="T268" s="62">
        <f t="shared" si="210"/>
        <v>610000</v>
      </c>
      <c r="U268" s="62">
        <f t="shared" si="210"/>
        <v>610000</v>
      </c>
      <c r="V268" s="62">
        <f t="shared" si="210"/>
        <v>610000</v>
      </c>
      <c r="W268" s="62">
        <f t="shared" si="210"/>
        <v>610000</v>
      </c>
      <c r="X268" s="62">
        <f t="shared" si="210"/>
        <v>610000</v>
      </c>
      <c r="Y268" s="62">
        <f t="shared" si="210"/>
        <v>610000</v>
      </c>
      <c r="Z268" s="62">
        <f t="shared" si="210"/>
        <v>610000</v>
      </c>
      <c r="AA268" s="62">
        <f t="shared" si="210"/>
        <v>610000</v>
      </c>
      <c r="AB268" s="62">
        <f t="shared" si="210"/>
        <v>610000</v>
      </c>
      <c r="AC268" s="62">
        <f t="shared" si="210"/>
        <v>610000</v>
      </c>
    </row>
    <row r="269" spans="1:29" x14ac:dyDescent="0.25">
      <c r="A269" s="30" t="str">
        <f t="shared" ref="A269:AC269" si="211">A251</f>
        <v>Opex maintenance &amp; repair</v>
      </c>
      <c r="B269" s="62">
        <f t="shared" si="211"/>
        <v>1293563.9575177333</v>
      </c>
      <c r="C269" s="62">
        <f t="shared" si="211"/>
        <v>1290808.235093934</v>
      </c>
      <c r="D269" s="62">
        <f t="shared" si="211"/>
        <v>1286895.5042898762</v>
      </c>
      <c r="E269" s="62">
        <f t="shared" si="211"/>
        <v>1281365.2352877648</v>
      </c>
      <c r="F269" s="62">
        <f t="shared" si="211"/>
        <v>1273600.837383118</v>
      </c>
      <c r="G269" s="62">
        <f t="shared" si="211"/>
        <v>1262805.5057319398</v>
      </c>
      <c r="H269" s="62">
        <f t="shared" si="211"/>
        <v>1248005.5098923349</v>
      </c>
      <c r="I269" s="62">
        <f t="shared" si="211"/>
        <v>1228115.9013873441</v>
      </c>
      <c r="J269" s="62">
        <f t="shared" si="211"/>
        <v>1202116.3406815415</v>
      </c>
      <c r="K269" s="62">
        <f t="shared" si="211"/>
        <v>1169374.2884687176</v>
      </c>
      <c r="L269" s="62">
        <f t="shared" si="211"/>
        <v>1130084.7656740851</v>
      </c>
      <c r="M269" s="62">
        <f t="shared" si="211"/>
        <v>1085657.2084191416</v>
      </c>
      <c r="N269" s="62">
        <f t="shared" si="211"/>
        <v>1038755.2185067786</v>
      </c>
      <c r="O269" s="62">
        <f t="shared" si="211"/>
        <v>992776.17202817916</v>
      </c>
      <c r="P269" s="62">
        <f t="shared" si="211"/>
        <v>950920.49960650213</v>
      </c>
      <c r="Q269" s="62">
        <f t="shared" si="211"/>
        <v>915349.13841044903</v>
      </c>
      <c r="R269" s="62">
        <f t="shared" si="211"/>
        <v>886862.84856226621</v>
      </c>
      <c r="S269" s="62">
        <f t="shared" si="211"/>
        <v>865126.54509633617</v>
      </c>
      <c r="T269" s="62">
        <f t="shared" si="211"/>
        <v>849148.61879481981</v>
      </c>
      <c r="U269" s="62">
        <f t="shared" si="211"/>
        <v>837724.6326365323</v>
      </c>
      <c r="V269" s="62">
        <f t="shared" si="211"/>
        <v>829718.10542985611</v>
      </c>
      <c r="W269" s="62">
        <f t="shared" si="211"/>
        <v>824185.10301042092</v>
      </c>
      <c r="X269" s="62">
        <f t="shared" si="211"/>
        <v>820398.59373471502</v>
      </c>
      <c r="Y269" s="62">
        <f t="shared" si="211"/>
        <v>817824.59227500285</v>
      </c>
      <c r="Z269" s="62">
        <f t="shared" si="211"/>
        <v>816082.79412917187</v>
      </c>
      <c r="AA269" s="62">
        <f t="shared" si="211"/>
        <v>814907.77528152149</v>
      </c>
      <c r="AB269" s="62">
        <f t="shared" si="211"/>
        <v>814116.75843028165</v>
      </c>
      <c r="AC269" s="62">
        <f t="shared" si="211"/>
        <v>813584.99765465059</v>
      </c>
    </row>
    <row r="270" spans="1:29" x14ac:dyDescent="0.25">
      <c r="A270" s="30" t="str">
        <f>A252</f>
        <v>Opex var (mode-fees, shunting)</v>
      </c>
      <c r="B270" s="62">
        <f>B252*B261</f>
        <v>650000</v>
      </c>
      <c r="C270" s="62">
        <f t="shared" ref="C270:AC270" si="212">C252*C261</f>
        <v>650000</v>
      </c>
      <c r="D270" s="62">
        <f t="shared" si="212"/>
        <v>650000</v>
      </c>
      <c r="E270" s="62">
        <f t="shared" si="212"/>
        <v>650000</v>
      </c>
      <c r="F270" s="62">
        <f t="shared" si="212"/>
        <v>650000</v>
      </c>
      <c r="G270" s="62">
        <f t="shared" si="212"/>
        <v>650000</v>
      </c>
      <c r="H270" s="62">
        <f t="shared" si="212"/>
        <v>650000</v>
      </c>
      <c r="I270" s="62">
        <f t="shared" si="212"/>
        <v>650000</v>
      </c>
      <c r="J270" s="62">
        <f t="shared" si="212"/>
        <v>650000</v>
      </c>
      <c r="K270" s="62">
        <f t="shared" si="212"/>
        <v>650000</v>
      </c>
      <c r="L270" s="62">
        <f t="shared" si="212"/>
        <v>650000</v>
      </c>
      <c r="M270" s="62">
        <f t="shared" si="212"/>
        <v>650000</v>
      </c>
      <c r="N270" s="62">
        <f t="shared" si="212"/>
        <v>650000</v>
      </c>
      <c r="O270" s="62">
        <f t="shared" si="212"/>
        <v>650000</v>
      </c>
      <c r="P270" s="62">
        <f t="shared" si="212"/>
        <v>650000</v>
      </c>
      <c r="Q270" s="62">
        <f t="shared" si="212"/>
        <v>650000</v>
      </c>
      <c r="R270" s="62">
        <f t="shared" si="212"/>
        <v>650000</v>
      </c>
      <c r="S270" s="62">
        <f t="shared" si="212"/>
        <v>650000</v>
      </c>
      <c r="T270" s="62">
        <f t="shared" si="212"/>
        <v>650000</v>
      </c>
      <c r="U270" s="62">
        <f t="shared" si="212"/>
        <v>650000</v>
      </c>
      <c r="V270" s="62">
        <f t="shared" si="212"/>
        <v>650000</v>
      </c>
      <c r="W270" s="62">
        <f t="shared" si="212"/>
        <v>650000</v>
      </c>
      <c r="X270" s="62">
        <f t="shared" si="212"/>
        <v>650000</v>
      </c>
      <c r="Y270" s="62">
        <f t="shared" si="212"/>
        <v>650000</v>
      </c>
      <c r="Z270" s="62">
        <f t="shared" si="212"/>
        <v>650000</v>
      </c>
      <c r="AA270" s="62">
        <f t="shared" si="212"/>
        <v>650000</v>
      </c>
      <c r="AB270" s="62">
        <f t="shared" si="212"/>
        <v>650000</v>
      </c>
      <c r="AC270" s="62">
        <f t="shared" si="212"/>
        <v>650000</v>
      </c>
    </row>
    <row r="271" spans="1:29" x14ac:dyDescent="0.25">
      <c r="A271" s="30" t="str">
        <f>A254</f>
        <v>Fuel Cost</v>
      </c>
      <c r="B271" s="62">
        <f>B253*B254*B261</f>
        <v>485663.88211701211</v>
      </c>
      <c r="C271" s="62">
        <f t="shared" ref="C271:AC271" si="213">C253*C254*C261</f>
        <v>485663.88211701211</v>
      </c>
      <c r="D271" s="62">
        <f t="shared" si="213"/>
        <v>485663.88211701211</v>
      </c>
      <c r="E271" s="62">
        <f t="shared" si="213"/>
        <v>485663.88211701211</v>
      </c>
      <c r="F271" s="62">
        <f t="shared" si="213"/>
        <v>485663.88211701211</v>
      </c>
      <c r="G271" s="62">
        <f t="shared" si="213"/>
        <v>485663.88211701211</v>
      </c>
      <c r="H271" s="62">
        <f t="shared" si="213"/>
        <v>485663.88211701211</v>
      </c>
      <c r="I271" s="62">
        <f t="shared" si="213"/>
        <v>485663.88211701211</v>
      </c>
      <c r="J271" s="62">
        <f t="shared" si="213"/>
        <v>498055.30565786961</v>
      </c>
      <c r="K271" s="62">
        <f t="shared" si="213"/>
        <v>510446.72919872717</v>
      </c>
      <c r="L271" s="62">
        <f t="shared" si="213"/>
        <v>522838.15273958468</v>
      </c>
      <c r="M271" s="62">
        <f t="shared" si="213"/>
        <v>535229.57628044218</v>
      </c>
      <c r="N271" s="62">
        <f t="shared" si="213"/>
        <v>547620.99982129969</v>
      </c>
      <c r="O271" s="62">
        <f t="shared" si="213"/>
        <v>542424.59640094009</v>
      </c>
      <c r="P271" s="62">
        <f t="shared" si="213"/>
        <v>537228.19298058038</v>
      </c>
      <c r="Q271" s="62">
        <f t="shared" si="213"/>
        <v>532031.78956022079</v>
      </c>
      <c r="R271" s="62">
        <f t="shared" si="213"/>
        <v>526835.38613986108</v>
      </c>
      <c r="S271" s="62">
        <f t="shared" si="213"/>
        <v>521638.9827195016</v>
      </c>
      <c r="T271" s="62">
        <f t="shared" si="213"/>
        <v>516442.57929914194</v>
      </c>
      <c r="U271" s="62">
        <f t="shared" si="213"/>
        <v>511246.17587878235</v>
      </c>
      <c r="V271" s="62">
        <f t="shared" si="213"/>
        <v>506049.7724584227</v>
      </c>
      <c r="W271" s="62">
        <f t="shared" si="213"/>
        <v>500853.36903806304</v>
      </c>
      <c r="X271" s="62">
        <f t="shared" si="213"/>
        <v>495656.96561770356</v>
      </c>
      <c r="Y271" s="62">
        <f t="shared" si="213"/>
        <v>490460.56219734391</v>
      </c>
      <c r="Z271" s="62">
        <f t="shared" si="213"/>
        <v>485264.15877698432</v>
      </c>
      <c r="AA271" s="62">
        <f t="shared" si="213"/>
        <v>480067.75535662472</v>
      </c>
      <c r="AB271" s="62">
        <f t="shared" si="213"/>
        <v>474871.35193626513</v>
      </c>
      <c r="AC271" s="62">
        <f t="shared" si="213"/>
        <v>469674.94851590559</v>
      </c>
    </row>
    <row r="272" spans="1:29" ht="15.75" thickBot="1" x14ac:dyDescent="0.3">
      <c r="A272" s="59" t="str">
        <f>A235</f>
        <v>Emission Cost</v>
      </c>
      <c r="B272" s="62">
        <f>B255*B261</f>
        <v>0</v>
      </c>
      <c r="C272" s="62">
        <f t="shared" ref="C272:AC272" si="214">C255*C261</f>
        <v>0</v>
      </c>
      <c r="D272" s="62">
        <f t="shared" si="214"/>
        <v>0</v>
      </c>
      <c r="E272" s="62">
        <f t="shared" si="214"/>
        <v>0</v>
      </c>
      <c r="F272" s="62">
        <f t="shared" si="214"/>
        <v>0</v>
      </c>
      <c r="G272" s="62">
        <f t="shared" si="214"/>
        <v>0</v>
      </c>
      <c r="H272" s="62">
        <f t="shared" si="214"/>
        <v>0</v>
      </c>
      <c r="I272" s="62">
        <f t="shared" si="214"/>
        <v>0</v>
      </c>
      <c r="J272" s="62">
        <f t="shared" si="214"/>
        <v>0</v>
      </c>
      <c r="K272" s="62">
        <f t="shared" si="214"/>
        <v>0</v>
      </c>
      <c r="L272" s="62">
        <f t="shared" si="214"/>
        <v>0</v>
      </c>
      <c r="M272" s="62">
        <f t="shared" si="214"/>
        <v>0</v>
      </c>
      <c r="N272" s="62">
        <f t="shared" si="214"/>
        <v>0</v>
      </c>
      <c r="O272" s="62">
        <f t="shared" si="214"/>
        <v>0</v>
      </c>
      <c r="P272" s="62">
        <f t="shared" si="214"/>
        <v>0</v>
      </c>
      <c r="Q272" s="62">
        <f t="shared" si="214"/>
        <v>0</v>
      </c>
      <c r="R272" s="62">
        <f t="shared" si="214"/>
        <v>0</v>
      </c>
      <c r="S272" s="62">
        <f t="shared" si="214"/>
        <v>0</v>
      </c>
      <c r="T272" s="62">
        <f t="shared" si="214"/>
        <v>0</v>
      </c>
      <c r="U272" s="62">
        <f t="shared" si="214"/>
        <v>0</v>
      </c>
      <c r="V272" s="62">
        <f t="shared" si="214"/>
        <v>0</v>
      </c>
      <c r="W272" s="62">
        <f t="shared" si="214"/>
        <v>0</v>
      </c>
      <c r="X272" s="62">
        <f t="shared" si="214"/>
        <v>0</v>
      </c>
      <c r="Y272" s="62">
        <f t="shared" si="214"/>
        <v>0</v>
      </c>
      <c r="Z272" s="62">
        <f t="shared" si="214"/>
        <v>0</v>
      </c>
      <c r="AA272" s="62">
        <f t="shared" si="214"/>
        <v>0</v>
      </c>
      <c r="AB272" s="62">
        <f t="shared" si="214"/>
        <v>0</v>
      </c>
      <c r="AC272" s="62">
        <f t="shared" si="214"/>
        <v>0</v>
      </c>
    </row>
    <row r="273" spans="1:29" ht="15.75" thickBot="1" x14ac:dyDescent="0.3">
      <c r="A273" s="31" t="s">
        <v>209</v>
      </c>
      <c r="B273" s="64">
        <f>B264+B265+B266+B267+B268+B269+B270+B271+B272</f>
        <v>4055907.3283838029</v>
      </c>
      <c r="C273" s="64">
        <f t="shared" ref="C273:AC273" si="215">C264+C265+C266+C267+C268+C269+C270+C271+C272</f>
        <v>4051087.8647560421</v>
      </c>
      <c r="D273" s="64">
        <f t="shared" si="215"/>
        <v>4044244.9172833511</v>
      </c>
      <c r="E273" s="64">
        <f t="shared" si="215"/>
        <v>4034573.068595971</v>
      </c>
      <c r="F273" s="64">
        <f t="shared" si="215"/>
        <v>4020993.9675334939</v>
      </c>
      <c r="G273" s="64">
        <f t="shared" si="215"/>
        <v>4002114.0876903217</v>
      </c>
      <c r="H273" s="64">
        <f t="shared" si="215"/>
        <v>3976230.4787230426</v>
      </c>
      <c r="I273" s="64">
        <f t="shared" si="215"/>
        <v>3941445.6818464245</v>
      </c>
      <c r="J273" s="64">
        <f t="shared" si="215"/>
        <v>3908366.6559409942</v>
      </c>
      <c r="K273" s="64">
        <f t="shared" si="215"/>
        <v>3863495.7339077336</v>
      </c>
      <c r="L273" s="64">
        <f t="shared" si="215"/>
        <v>3807173.9864755366</v>
      </c>
      <c r="M273" s="64">
        <f t="shared" si="215"/>
        <v>3741866.3665963216</v>
      </c>
      <c r="N273" s="64">
        <f t="shared" si="215"/>
        <v>3672231.2287897617</v>
      </c>
      <c r="O273" s="64">
        <f t="shared" si="215"/>
        <v>3586622.3933229223</v>
      </c>
      <c r="P273" s="64">
        <f t="shared" si="215"/>
        <v>3508224.8978369762</v>
      </c>
      <c r="Q273" s="64">
        <f t="shared" si="215"/>
        <v>3440817.9901968352</v>
      </c>
      <c r="R273" s="64">
        <f t="shared" si="215"/>
        <v>3385802.114166501</v>
      </c>
      <c r="S273" s="64">
        <f t="shared" si="215"/>
        <v>3342591.2419987461</v>
      </c>
      <c r="T273" s="64">
        <f t="shared" si="215"/>
        <v>3309451.1552842506</v>
      </c>
      <c r="U273" s="64">
        <f t="shared" si="215"/>
        <v>3284275.4225604702</v>
      </c>
      <c r="V273" s="64">
        <f t="shared" si="215"/>
        <v>3265076.4598387815</v>
      </c>
      <c r="W273" s="64">
        <f t="shared" si="215"/>
        <v>3250203.4272766467</v>
      </c>
      <c r="X273" s="64">
        <f t="shared" si="215"/>
        <v>3238384.8243296449</v>
      </c>
      <c r="Y273" s="64">
        <f t="shared" si="215"/>
        <v>3228686.7678016466</v>
      </c>
      <c r="Z273" s="64">
        <f t="shared" si="215"/>
        <v>3220444.1458150642</v>
      </c>
      <c r="AA273" s="64">
        <f t="shared" si="215"/>
        <v>3213192.7601696169</v>
      </c>
      <c r="AB273" s="64">
        <f t="shared" si="215"/>
        <v>3206612.9529236136</v>
      </c>
      <c r="AC273" s="64">
        <f t="shared" si="215"/>
        <v>3200486.5568107064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6">A264</f>
        <v>Capex vehicle</v>
      </c>
      <c r="B276" s="65">
        <f>((1+B249)^B256)*B249/(((1+B249)^B256)-1)*(B245)/B261</f>
        <v>4.8601077594228057</v>
      </c>
      <c r="C276" s="65">
        <f t="shared" ref="C276:AC276" si="217">((1+C249)^C256)*C249/(((1+C249)^C256)-1)*(C245)/C261</f>
        <v>4.8497541098356427</v>
      </c>
      <c r="D276" s="65">
        <f t="shared" si="217"/>
        <v>4.8350534116360544</v>
      </c>
      <c r="E276" s="65">
        <f t="shared" si="217"/>
        <v>4.8142753873778386</v>
      </c>
      <c r="F276" s="65">
        <f t="shared" si="217"/>
        <v>4.7851034161859127</v>
      </c>
      <c r="G276" s="65">
        <f t="shared" si="217"/>
        <v>4.7445437864756714</v>
      </c>
      <c r="H276" s="65">
        <f t="shared" si="217"/>
        <v>4.6889380514816965</v>
      </c>
      <c r="I276" s="65">
        <f t="shared" si="217"/>
        <v>4.6142099021194625</v>
      </c>
      <c r="J276" s="65">
        <f t="shared" si="217"/>
        <v>4.5165257744862721</v>
      </c>
      <c r="K276" s="65">
        <f t="shared" si="217"/>
        <v>4.3935091264928241</v>
      </c>
      <c r="L276" s="65">
        <f t="shared" si="217"/>
        <v>4.2458926800941192</v>
      </c>
      <c r="M276" s="65">
        <f t="shared" si="217"/>
        <v>4.0789718916073303</v>
      </c>
      <c r="N276" s="65">
        <f t="shared" si="217"/>
        <v>3.9027543000605887</v>
      </c>
      <c r="O276" s="65">
        <f t="shared" si="217"/>
        <v>3.7300043411097277</v>
      </c>
      <c r="P276" s="65">
        <f t="shared" si="217"/>
        <v>3.5727464976685668</v>
      </c>
      <c r="Q276" s="65">
        <f t="shared" si="217"/>
        <v>3.4390997246911277</v>
      </c>
      <c r="R276" s="65">
        <f t="shared" si="217"/>
        <v>3.3320725943171574</v>
      </c>
      <c r="S276" s="65">
        <f t="shared" si="217"/>
        <v>3.2504061436387905</v>
      </c>
      <c r="T276" s="65">
        <f t="shared" si="217"/>
        <v>3.1903747527313779</v>
      </c>
      <c r="U276" s="65">
        <f t="shared" si="217"/>
        <v>3.147453176686561</v>
      </c>
      <c r="V276" s="65">
        <f t="shared" si="217"/>
        <v>3.1173714905224945</v>
      </c>
      <c r="W276" s="65">
        <f t="shared" si="217"/>
        <v>3.0965831964181936</v>
      </c>
      <c r="X276" s="65">
        <f t="shared" si="217"/>
        <v>3.0823567308421902</v>
      </c>
      <c r="Y276" s="65">
        <f t="shared" si="217"/>
        <v>3.0726858333234324</v>
      </c>
      <c r="Z276" s="65">
        <f t="shared" si="217"/>
        <v>3.0661416445844814</v>
      </c>
      <c r="AA276" s="65">
        <f t="shared" si="217"/>
        <v>3.0617269280289179</v>
      </c>
      <c r="AB276" s="65">
        <f t="shared" si="217"/>
        <v>3.058754962774163</v>
      </c>
      <c r="AC276" s="65">
        <f t="shared" si="217"/>
        <v>3.0567570602686231</v>
      </c>
    </row>
    <row r="277" spans="1:29" x14ac:dyDescent="0.25">
      <c r="A277" s="30" t="str">
        <f t="shared" si="216"/>
        <v>Residual value (vehicle)</v>
      </c>
      <c r="B277" s="66">
        <f>((1+B249)^B256)*B249/(((1+B249)^B256)-1)*(B246)/B261</f>
        <v>-0.24703557911170351</v>
      </c>
      <c r="C277" s="66">
        <f t="shared" ref="C277:AC277" si="218">((1+C249)^C256)*C249/(((1+C249)^C256)-1)*(C246)/C261</f>
        <v>-0.24824350489687252</v>
      </c>
      <c r="D277" s="66">
        <f t="shared" si="218"/>
        <v>-0.24995858635349122</v>
      </c>
      <c r="E277" s="66">
        <f t="shared" si="218"/>
        <v>-0.25238268918361639</v>
      </c>
      <c r="F277" s="66">
        <f t="shared" si="218"/>
        <v>-0.25578608582267437</v>
      </c>
      <c r="G277" s="66">
        <f t="shared" si="218"/>
        <v>-0.26051804262220252</v>
      </c>
      <c r="H277" s="66">
        <f t="shared" si="218"/>
        <v>-0.26700537837149957</v>
      </c>
      <c r="I277" s="66">
        <f t="shared" si="218"/>
        <v>-0.27572366246376023</v>
      </c>
      <c r="J277" s="66">
        <f t="shared" si="218"/>
        <v>-0.28712014402096564</v>
      </c>
      <c r="K277" s="66">
        <f t="shared" si="218"/>
        <v>-0.301472086286868</v>
      </c>
      <c r="L277" s="66">
        <f t="shared" si="218"/>
        <v>-0.31869400503338358</v>
      </c>
      <c r="M277" s="66">
        <f t="shared" si="218"/>
        <v>-0.33816809702350897</v>
      </c>
      <c r="N277" s="66">
        <f t="shared" si="218"/>
        <v>-0.35872681603729545</v>
      </c>
      <c r="O277" s="66">
        <f t="shared" si="218"/>
        <v>-0.378880977914896</v>
      </c>
      <c r="P277" s="66">
        <f t="shared" si="218"/>
        <v>-0.39722772631636477</v>
      </c>
      <c r="Q277" s="66">
        <f t="shared" si="218"/>
        <v>-0.41281984983039921</v>
      </c>
      <c r="R277" s="66">
        <f t="shared" si="218"/>
        <v>-0.42530634837402914</v>
      </c>
      <c r="S277" s="66">
        <f t="shared" si="218"/>
        <v>-0.43483410095317204</v>
      </c>
      <c r="T277" s="66">
        <f t="shared" si="218"/>
        <v>-0.44183776322570334</v>
      </c>
      <c r="U277" s="66">
        <f t="shared" si="218"/>
        <v>-0.44684528043093191</v>
      </c>
      <c r="V277" s="66">
        <f t="shared" si="218"/>
        <v>-0.45035481048340636</v>
      </c>
      <c r="W277" s="66">
        <f t="shared" si="218"/>
        <v>-0.45278011146224156</v>
      </c>
      <c r="X277" s="66">
        <f t="shared" si="218"/>
        <v>-0.45443986577944195</v>
      </c>
      <c r="Y277" s="66">
        <f t="shared" si="218"/>
        <v>-0.45556813715663036</v>
      </c>
      <c r="Z277" s="66">
        <f t="shared" si="218"/>
        <v>-0.45633162584284143</v>
      </c>
      <c r="AA277" s="66">
        <f t="shared" si="218"/>
        <v>-0.45684667610765711</v>
      </c>
      <c r="AB277" s="66">
        <f t="shared" si="218"/>
        <v>-0.45719340538737846</v>
      </c>
      <c r="AC277" s="66">
        <f t="shared" si="218"/>
        <v>-0.45742649401302482</v>
      </c>
    </row>
    <row r="278" spans="1:29" x14ac:dyDescent="0.25">
      <c r="A278" s="30" t="str">
        <f t="shared" si="216"/>
        <v>Capex costumization</v>
      </c>
      <c r="B278" s="66">
        <f>((1+B249)^B257)*B249/(((1+B249)^B257)-1)*(B247)/B261</f>
        <v>1.1395907684713287</v>
      </c>
      <c r="C278" s="66">
        <f t="shared" ref="C278:AC278" si="219">((1+C249)^C257)*C249/(((1+C249)^C257)-1)*(C247)/C261</f>
        <v>1.1395907684713287</v>
      </c>
      <c r="D278" s="66">
        <f t="shared" si="219"/>
        <v>1.1395907684713287</v>
      </c>
      <c r="E278" s="66">
        <f t="shared" si="219"/>
        <v>1.1395907684713287</v>
      </c>
      <c r="F278" s="66">
        <f t="shared" si="219"/>
        <v>1.1395907684713287</v>
      </c>
      <c r="G278" s="66">
        <f t="shared" si="219"/>
        <v>1.1395907684713287</v>
      </c>
      <c r="H278" s="66">
        <f t="shared" si="219"/>
        <v>1.1395907684713287</v>
      </c>
      <c r="I278" s="66">
        <f t="shared" si="219"/>
        <v>1.1395907684713287</v>
      </c>
      <c r="J278" s="66">
        <f t="shared" si="219"/>
        <v>1.1395907684713287</v>
      </c>
      <c r="K278" s="66">
        <f t="shared" si="219"/>
        <v>1.1395907684713287</v>
      </c>
      <c r="L278" s="66">
        <f t="shared" si="219"/>
        <v>1.1395907684713287</v>
      </c>
      <c r="M278" s="66">
        <f t="shared" si="219"/>
        <v>1.1395907684713287</v>
      </c>
      <c r="N278" s="66">
        <f t="shared" si="219"/>
        <v>1.1395907684713287</v>
      </c>
      <c r="O278" s="66">
        <f t="shared" si="219"/>
        <v>1.1395907684713287</v>
      </c>
      <c r="P278" s="66">
        <f t="shared" si="219"/>
        <v>1.1395907684713287</v>
      </c>
      <c r="Q278" s="66">
        <f t="shared" si="219"/>
        <v>1.1395907684713287</v>
      </c>
      <c r="R278" s="66">
        <f t="shared" si="219"/>
        <v>1.1395907684713287</v>
      </c>
      <c r="S278" s="66">
        <f t="shared" si="219"/>
        <v>1.1395907684713287</v>
      </c>
      <c r="T278" s="66">
        <f t="shared" si="219"/>
        <v>1.1395907684713287</v>
      </c>
      <c r="U278" s="66">
        <f t="shared" si="219"/>
        <v>1.1395907684713287</v>
      </c>
      <c r="V278" s="66">
        <f t="shared" si="219"/>
        <v>1.1395907684713287</v>
      </c>
      <c r="W278" s="66">
        <f t="shared" si="219"/>
        <v>1.1395907684713287</v>
      </c>
      <c r="X278" s="66">
        <f t="shared" si="219"/>
        <v>1.1395907684713287</v>
      </c>
      <c r="Y278" s="66">
        <f t="shared" si="219"/>
        <v>1.1395907684713287</v>
      </c>
      <c r="Z278" s="66">
        <f t="shared" si="219"/>
        <v>1.1395907684713287</v>
      </c>
      <c r="AA278" s="66">
        <f t="shared" si="219"/>
        <v>1.1395907684713287</v>
      </c>
      <c r="AB278" s="66">
        <f t="shared" si="219"/>
        <v>1.1395907684713287</v>
      </c>
      <c r="AC278" s="66">
        <f t="shared" si="219"/>
        <v>1.1395907684713287</v>
      </c>
    </row>
    <row r="279" spans="1:29" x14ac:dyDescent="0.25">
      <c r="A279" s="30" t="str">
        <f t="shared" si="216"/>
        <v>Residual value (costumization)</v>
      </c>
      <c r="B279" s="66">
        <f>((1+B249)^B257)*B249/(((1+B249)^B257)-1)*(B248)/B261</f>
        <v>-5.6979538423566428E-2</v>
      </c>
      <c r="C279" s="66">
        <f t="shared" ref="C279:AC279" si="220">((1+C249)^C257)*C249/(((1+C249)^C257)-1)*(C248)/C261</f>
        <v>-5.6979538423566428E-2</v>
      </c>
      <c r="D279" s="66">
        <f t="shared" si="220"/>
        <v>-5.6979538423566428E-2</v>
      </c>
      <c r="E279" s="66">
        <f t="shared" si="220"/>
        <v>-5.6979538423566428E-2</v>
      </c>
      <c r="F279" s="66">
        <f t="shared" si="220"/>
        <v>-5.6979538423566428E-2</v>
      </c>
      <c r="G279" s="66">
        <f t="shared" si="220"/>
        <v>-5.6979538423566428E-2</v>
      </c>
      <c r="H279" s="66">
        <f t="shared" si="220"/>
        <v>-5.6979538423566428E-2</v>
      </c>
      <c r="I279" s="66">
        <f t="shared" si="220"/>
        <v>-5.6979538423566428E-2</v>
      </c>
      <c r="J279" s="66">
        <f t="shared" si="220"/>
        <v>-5.6979538423566428E-2</v>
      </c>
      <c r="K279" s="66">
        <f t="shared" si="220"/>
        <v>-5.6979538423566428E-2</v>
      </c>
      <c r="L279" s="66">
        <f t="shared" si="220"/>
        <v>-5.6979538423566428E-2</v>
      </c>
      <c r="M279" s="66">
        <f t="shared" si="220"/>
        <v>-5.6979538423566428E-2</v>
      </c>
      <c r="N279" s="66">
        <f t="shared" si="220"/>
        <v>-5.6979538423566428E-2</v>
      </c>
      <c r="O279" s="66">
        <f t="shared" si="220"/>
        <v>-5.6979538423566428E-2</v>
      </c>
      <c r="P279" s="66">
        <f t="shared" si="220"/>
        <v>-5.6979538423566428E-2</v>
      </c>
      <c r="Q279" s="66">
        <f t="shared" si="220"/>
        <v>-5.6979538423566428E-2</v>
      </c>
      <c r="R279" s="66">
        <f t="shared" si="220"/>
        <v>-5.6979538423566428E-2</v>
      </c>
      <c r="S279" s="66">
        <f t="shared" si="220"/>
        <v>-5.6979538423566428E-2</v>
      </c>
      <c r="T279" s="66">
        <f t="shared" si="220"/>
        <v>-5.6979538423566428E-2</v>
      </c>
      <c r="U279" s="66">
        <f t="shared" si="220"/>
        <v>-5.6979538423566428E-2</v>
      </c>
      <c r="V279" s="66">
        <f t="shared" si="220"/>
        <v>-5.6979538423566428E-2</v>
      </c>
      <c r="W279" s="66">
        <f t="shared" si="220"/>
        <v>-5.6979538423566428E-2</v>
      </c>
      <c r="X279" s="66">
        <f t="shared" si="220"/>
        <v>-5.6979538423566428E-2</v>
      </c>
      <c r="Y279" s="66">
        <f t="shared" si="220"/>
        <v>-5.6979538423566428E-2</v>
      </c>
      <c r="Z279" s="66">
        <f t="shared" si="220"/>
        <v>-5.6979538423566428E-2</v>
      </c>
      <c r="AA279" s="66">
        <f t="shared" si="220"/>
        <v>-5.6979538423566428E-2</v>
      </c>
      <c r="AB279" s="66">
        <f t="shared" si="220"/>
        <v>-5.6979538423566428E-2</v>
      </c>
      <c r="AC279" s="66">
        <f t="shared" si="220"/>
        <v>-5.6979538423566428E-2</v>
      </c>
    </row>
    <row r="280" spans="1:29" x14ac:dyDescent="0.25">
      <c r="A280" s="30" t="str">
        <f t="shared" si="216"/>
        <v>Opex fix (admin, crew, insurance)</v>
      </c>
      <c r="B280" s="66">
        <f>B250/B261</f>
        <v>3.4173669467787113</v>
      </c>
      <c r="C280" s="66">
        <f t="shared" ref="C280:AC280" si="221">C250/C261</f>
        <v>3.4173669467787113</v>
      </c>
      <c r="D280" s="66">
        <f t="shared" si="221"/>
        <v>3.4173669467787113</v>
      </c>
      <c r="E280" s="66">
        <f t="shared" si="221"/>
        <v>3.4173669467787113</v>
      </c>
      <c r="F280" s="66">
        <f t="shared" si="221"/>
        <v>3.4173669467787113</v>
      </c>
      <c r="G280" s="66">
        <f t="shared" si="221"/>
        <v>3.4173669467787113</v>
      </c>
      <c r="H280" s="66">
        <f t="shared" si="221"/>
        <v>3.4173669467787113</v>
      </c>
      <c r="I280" s="66">
        <f t="shared" si="221"/>
        <v>3.4173669467787113</v>
      </c>
      <c r="J280" s="66">
        <f t="shared" si="221"/>
        <v>3.4173669467787113</v>
      </c>
      <c r="K280" s="66">
        <f t="shared" si="221"/>
        <v>3.4173669467787113</v>
      </c>
      <c r="L280" s="66">
        <f t="shared" si="221"/>
        <v>3.4173669467787113</v>
      </c>
      <c r="M280" s="66">
        <f t="shared" si="221"/>
        <v>3.4173669467787113</v>
      </c>
      <c r="N280" s="66">
        <f t="shared" si="221"/>
        <v>3.4173669467787113</v>
      </c>
      <c r="O280" s="66">
        <f t="shared" si="221"/>
        <v>3.4173669467787113</v>
      </c>
      <c r="P280" s="66">
        <f t="shared" si="221"/>
        <v>3.4173669467787113</v>
      </c>
      <c r="Q280" s="66">
        <f t="shared" si="221"/>
        <v>3.4173669467787113</v>
      </c>
      <c r="R280" s="66">
        <f t="shared" si="221"/>
        <v>3.4173669467787113</v>
      </c>
      <c r="S280" s="66">
        <f t="shared" si="221"/>
        <v>3.4173669467787113</v>
      </c>
      <c r="T280" s="66">
        <f t="shared" si="221"/>
        <v>3.4173669467787113</v>
      </c>
      <c r="U280" s="66">
        <f t="shared" si="221"/>
        <v>3.4173669467787113</v>
      </c>
      <c r="V280" s="66">
        <f t="shared" si="221"/>
        <v>3.4173669467787113</v>
      </c>
      <c r="W280" s="66">
        <f t="shared" si="221"/>
        <v>3.4173669467787113</v>
      </c>
      <c r="X280" s="66">
        <f t="shared" si="221"/>
        <v>3.4173669467787113</v>
      </c>
      <c r="Y280" s="66">
        <f t="shared" si="221"/>
        <v>3.4173669467787113</v>
      </c>
      <c r="Z280" s="66">
        <f t="shared" si="221"/>
        <v>3.4173669467787113</v>
      </c>
      <c r="AA280" s="66">
        <f t="shared" si="221"/>
        <v>3.4173669467787113</v>
      </c>
      <c r="AB280" s="66">
        <f t="shared" si="221"/>
        <v>3.4173669467787113</v>
      </c>
      <c r="AC280" s="66">
        <f t="shared" si="221"/>
        <v>3.4173669467787113</v>
      </c>
    </row>
    <row r="281" spans="1:29" x14ac:dyDescent="0.25">
      <c r="A281" s="30" t="str">
        <f t="shared" si="216"/>
        <v>Opex maintenance &amp; repair</v>
      </c>
      <c r="B281" s="66">
        <f>B251/B261</f>
        <v>7.246856904861251</v>
      </c>
      <c r="C281" s="66">
        <f t="shared" ref="C281:AC281" si="222">C251/C261</f>
        <v>7.2314186839996299</v>
      </c>
      <c r="D281" s="66">
        <f t="shared" si="222"/>
        <v>7.2094986234726957</v>
      </c>
      <c r="E281" s="66">
        <f t="shared" si="222"/>
        <v>7.1785167243012031</v>
      </c>
      <c r="F281" s="66">
        <f t="shared" si="222"/>
        <v>7.1350186968241909</v>
      </c>
      <c r="G281" s="66">
        <f t="shared" si="222"/>
        <v>7.0745406483582061</v>
      </c>
      <c r="H281" s="66">
        <f t="shared" si="222"/>
        <v>6.9916275063996354</v>
      </c>
      <c r="I281" s="66">
        <f t="shared" si="222"/>
        <v>6.8802011282204152</v>
      </c>
      <c r="J281" s="66">
        <f t="shared" si="222"/>
        <v>6.7345453259470114</v>
      </c>
      <c r="K281" s="66">
        <f t="shared" si="222"/>
        <v>6.5511164620096221</v>
      </c>
      <c r="L281" s="66">
        <f t="shared" si="222"/>
        <v>6.3310070906111209</v>
      </c>
      <c r="M281" s="66">
        <f t="shared" si="222"/>
        <v>6.0821132124321657</v>
      </c>
      <c r="N281" s="66">
        <f t="shared" si="222"/>
        <v>5.8193569664245297</v>
      </c>
      <c r="O281" s="66">
        <f t="shared" si="222"/>
        <v>5.56177127186655</v>
      </c>
      <c r="P281" s="66">
        <f t="shared" si="222"/>
        <v>5.3272857120812445</v>
      </c>
      <c r="Q281" s="66">
        <f t="shared" si="222"/>
        <v>5.1280063776495748</v>
      </c>
      <c r="R281" s="66">
        <f t="shared" si="222"/>
        <v>4.9684193196765616</v>
      </c>
      <c r="S281" s="66">
        <f t="shared" si="222"/>
        <v>4.8466473114640678</v>
      </c>
      <c r="T281" s="66">
        <f t="shared" si="222"/>
        <v>4.7571351192987104</v>
      </c>
      <c r="U281" s="66">
        <f t="shared" si="222"/>
        <v>4.6931351968433184</v>
      </c>
      <c r="V281" s="66">
        <f t="shared" si="222"/>
        <v>4.6482807026882691</v>
      </c>
      <c r="W281" s="66">
        <f t="shared" si="222"/>
        <v>4.6172834902544588</v>
      </c>
      <c r="X281" s="66">
        <f t="shared" si="222"/>
        <v>4.5960705531356583</v>
      </c>
      <c r="Y281" s="66">
        <f t="shared" si="222"/>
        <v>4.5816503768907726</v>
      </c>
      <c r="Z281" s="66">
        <f t="shared" si="222"/>
        <v>4.5718924040849966</v>
      </c>
      <c r="AA281" s="66">
        <f t="shared" si="222"/>
        <v>4.5653096654426975</v>
      </c>
      <c r="AB281" s="66">
        <f t="shared" si="222"/>
        <v>4.5608781984889726</v>
      </c>
      <c r="AC281" s="66">
        <f t="shared" si="222"/>
        <v>4.5578991465246528</v>
      </c>
    </row>
    <row r="282" spans="1:29" x14ac:dyDescent="0.25">
      <c r="A282" s="30" t="str">
        <f t="shared" si="216"/>
        <v>Opex var (mode-fees, shunting)</v>
      </c>
      <c r="B282" s="66">
        <f>B252*B261/B261</f>
        <v>3.6414565826330532</v>
      </c>
      <c r="C282" s="66">
        <f t="shared" ref="C282:AC282" si="223">C252*C261/C261</f>
        <v>3.6414565826330532</v>
      </c>
      <c r="D282" s="66">
        <f t="shared" si="223"/>
        <v>3.6414565826330532</v>
      </c>
      <c r="E282" s="66">
        <f t="shared" si="223"/>
        <v>3.6414565826330532</v>
      </c>
      <c r="F282" s="66">
        <f t="shared" si="223"/>
        <v>3.6414565826330532</v>
      </c>
      <c r="G282" s="66">
        <f t="shared" si="223"/>
        <v>3.6414565826330532</v>
      </c>
      <c r="H282" s="66">
        <f t="shared" si="223"/>
        <v>3.6414565826330532</v>
      </c>
      <c r="I282" s="66">
        <f t="shared" si="223"/>
        <v>3.6414565826330532</v>
      </c>
      <c r="J282" s="66">
        <f t="shared" si="223"/>
        <v>3.6414565826330532</v>
      </c>
      <c r="K282" s="66">
        <f t="shared" si="223"/>
        <v>3.6414565826330532</v>
      </c>
      <c r="L282" s="66">
        <f t="shared" si="223"/>
        <v>3.6414565826330532</v>
      </c>
      <c r="M282" s="66">
        <f t="shared" si="223"/>
        <v>3.6414565826330532</v>
      </c>
      <c r="N282" s="66">
        <f t="shared" si="223"/>
        <v>3.6414565826330532</v>
      </c>
      <c r="O282" s="66">
        <f t="shared" si="223"/>
        <v>3.6414565826330532</v>
      </c>
      <c r="P282" s="66">
        <f t="shared" si="223"/>
        <v>3.6414565826330532</v>
      </c>
      <c r="Q282" s="66">
        <f t="shared" si="223"/>
        <v>3.6414565826330532</v>
      </c>
      <c r="R282" s="66">
        <f t="shared" si="223"/>
        <v>3.6414565826330532</v>
      </c>
      <c r="S282" s="66">
        <f t="shared" si="223"/>
        <v>3.6414565826330532</v>
      </c>
      <c r="T282" s="66">
        <f t="shared" si="223"/>
        <v>3.6414565826330532</v>
      </c>
      <c r="U282" s="66">
        <f t="shared" si="223"/>
        <v>3.6414565826330532</v>
      </c>
      <c r="V282" s="66">
        <f t="shared" si="223"/>
        <v>3.6414565826330532</v>
      </c>
      <c r="W282" s="66">
        <f t="shared" si="223"/>
        <v>3.6414565826330532</v>
      </c>
      <c r="X282" s="66">
        <f t="shared" si="223"/>
        <v>3.6414565826330532</v>
      </c>
      <c r="Y282" s="66">
        <f t="shared" si="223"/>
        <v>3.6414565826330532</v>
      </c>
      <c r="Z282" s="66">
        <f t="shared" si="223"/>
        <v>3.6414565826330532</v>
      </c>
      <c r="AA282" s="66">
        <f t="shared" si="223"/>
        <v>3.6414565826330532</v>
      </c>
      <c r="AB282" s="66">
        <f t="shared" si="223"/>
        <v>3.6414565826330532</v>
      </c>
      <c r="AC282" s="66">
        <f t="shared" si="223"/>
        <v>3.6414565826330532</v>
      </c>
    </row>
    <row r="283" spans="1:29" x14ac:dyDescent="0.25">
      <c r="A283" s="30" t="str">
        <f t="shared" si="216"/>
        <v>Fuel Cost</v>
      </c>
      <c r="B283" s="66">
        <f>B253*B254*B261/B261</f>
        <v>2.7208060622801797</v>
      </c>
      <c r="C283" s="66">
        <f t="shared" ref="C283:AC283" si="224">C253*C254*C261/C261</f>
        <v>2.7208060622801797</v>
      </c>
      <c r="D283" s="66">
        <f t="shared" si="224"/>
        <v>2.7208060622801797</v>
      </c>
      <c r="E283" s="66">
        <f t="shared" si="224"/>
        <v>2.7208060622801797</v>
      </c>
      <c r="F283" s="66">
        <f t="shared" si="224"/>
        <v>2.7208060622801797</v>
      </c>
      <c r="G283" s="66">
        <f t="shared" si="224"/>
        <v>2.7208060622801797</v>
      </c>
      <c r="H283" s="66">
        <f t="shared" si="224"/>
        <v>2.7208060622801797</v>
      </c>
      <c r="I283" s="66">
        <f t="shared" si="224"/>
        <v>2.7208060622801797</v>
      </c>
      <c r="J283" s="66">
        <f t="shared" si="224"/>
        <v>2.7902258020048718</v>
      </c>
      <c r="K283" s="66">
        <f t="shared" si="224"/>
        <v>2.8596455417295639</v>
      </c>
      <c r="L283" s="66">
        <f t="shared" si="224"/>
        <v>2.9290652814542559</v>
      </c>
      <c r="M283" s="66">
        <f t="shared" si="224"/>
        <v>2.998485021178948</v>
      </c>
      <c r="N283" s="66">
        <f t="shared" si="224"/>
        <v>3.0679047609036396</v>
      </c>
      <c r="O283" s="66">
        <f t="shared" si="224"/>
        <v>3.0387932571481238</v>
      </c>
      <c r="P283" s="66">
        <f t="shared" si="224"/>
        <v>3.009681753392607</v>
      </c>
      <c r="Q283" s="66">
        <f t="shared" si="224"/>
        <v>2.9805702496370912</v>
      </c>
      <c r="R283" s="66">
        <f t="shared" si="224"/>
        <v>2.9514587458815749</v>
      </c>
      <c r="S283" s="66">
        <f t="shared" si="224"/>
        <v>2.9223472421260595</v>
      </c>
      <c r="T283" s="66">
        <f t="shared" si="224"/>
        <v>2.8932357383705432</v>
      </c>
      <c r="U283" s="66">
        <f t="shared" si="224"/>
        <v>2.8641242346150273</v>
      </c>
      <c r="V283" s="66">
        <f t="shared" si="224"/>
        <v>2.835012730859511</v>
      </c>
      <c r="W283" s="66">
        <f t="shared" si="224"/>
        <v>2.8059012271039947</v>
      </c>
      <c r="X283" s="66">
        <f t="shared" si="224"/>
        <v>2.7767897233484793</v>
      </c>
      <c r="Y283" s="66">
        <f t="shared" si="224"/>
        <v>2.747678219592963</v>
      </c>
      <c r="Z283" s="66">
        <f t="shared" si="224"/>
        <v>2.7185667158374471</v>
      </c>
      <c r="AA283" s="66">
        <f t="shared" si="224"/>
        <v>2.6894552120819313</v>
      </c>
      <c r="AB283" s="66">
        <f t="shared" si="224"/>
        <v>2.6603437083264154</v>
      </c>
      <c r="AC283" s="66">
        <f t="shared" si="224"/>
        <v>2.6312322045708996</v>
      </c>
    </row>
    <row r="284" spans="1:29" ht="15.75" thickBot="1" x14ac:dyDescent="0.3">
      <c r="A284" s="59" t="str">
        <f t="shared" ref="A284" si="225">A272</f>
        <v>Emission Cost</v>
      </c>
      <c r="B284" s="66">
        <f>B255</f>
        <v>0</v>
      </c>
      <c r="C284" s="66">
        <f t="shared" ref="C284:AC284" si="226">C255</f>
        <v>0</v>
      </c>
      <c r="D284" s="66">
        <f t="shared" si="226"/>
        <v>0</v>
      </c>
      <c r="E284" s="66">
        <f t="shared" si="226"/>
        <v>0</v>
      </c>
      <c r="F284" s="66">
        <f t="shared" si="226"/>
        <v>0</v>
      </c>
      <c r="G284" s="66">
        <f t="shared" si="226"/>
        <v>0</v>
      </c>
      <c r="H284" s="66">
        <f t="shared" si="226"/>
        <v>0</v>
      </c>
      <c r="I284" s="66">
        <f t="shared" si="226"/>
        <v>0</v>
      </c>
      <c r="J284" s="66">
        <f t="shared" si="226"/>
        <v>0</v>
      </c>
      <c r="K284" s="66">
        <f t="shared" si="226"/>
        <v>0</v>
      </c>
      <c r="L284" s="66">
        <f t="shared" si="226"/>
        <v>0</v>
      </c>
      <c r="M284" s="66">
        <f t="shared" si="226"/>
        <v>0</v>
      </c>
      <c r="N284" s="66">
        <f t="shared" si="226"/>
        <v>0</v>
      </c>
      <c r="O284" s="66">
        <f t="shared" si="226"/>
        <v>0</v>
      </c>
      <c r="P284" s="66">
        <f t="shared" si="226"/>
        <v>0</v>
      </c>
      <c r="Q284" s="66">
        <f t="shared" si="226"/>
        <v>0</v>
      </c>
      <c r="R284" s="66">
        <f t="shared" si="226"/>
        <v>0</v>
      </c>
      <c r="S284" s="66">
        <f t="shared" si="226"/>
        <v>0</v>
      </c>
      <c r="T284" s="66">
        <f t="shared" si="226"/>
        <v>0</v>
      </c>
      <c r="U284" s="66">
        <f t="shared" si="226"/>
        <v>0</v>
      </c>
      <c r="V284" s="66">
        <f t="shared" si="226"/>
        <v>0</v>
      </c>
      <c r="W284" s="66">
        <f t="shared" si="226"/>
        <v>0</v>
      </c>
      <c r="X284" s="66">
        <f t="shared" si="226"/>
        <v>0</v>
      </c>
      <c r="Y284" s="66">
        <f t="shared" si="226"/>
        <v>0</v>
      </c>
      <c r="Z284" s="66">
        <f t="shared" si="226"/>
        <v>0</v>
      </c>
      <c r="AA284" s="66">
        <f t="shared" si="226"/>
        <v>0</v>
      </c>
      <c r="AB284" s="66">
        <f t="shared" si="226"/>
        <v>0</v>
      </c>
      <c r="AC284" s="66">
        <f t="shared" si="226"/>
        <v>0</v>
      </c>
    </row>
    <row r="285" spans="1:29" ht="15.75" thickBot="1" x14ac:dyDescent="0.3">
      <c r="A285" s="31" t="s">
        <v>63</v>
      </c>
      <c r="B285" s="76">
        <f>B276+B277+B278-B279+B280+B281+B282+B283+B284</f>
        <v>22.836128983759192</v>
      </c>
      <c r="C285" s="76">
        <f t="shared" ref="C285:AC285" si="227">C276+C277+C278-C279+C280+C281+C282+C283+C284</f>
        <v>22.80912918752524</v>
      </c>
      <c r="D285" s="76">
        <f t="shared" si="227"/>
        <v>22.770793347342096</v>
      </c>
      <c r="E285" s="76">
        <f t="shared" si="227"/>
        <v>22.716609321082263</v>
      </c>
      <c r="F285" s="76">
        <f t="shared" si="227"/>
        <v>22.64053592577427</v>
      </c>
      <c r="G285" s="76">
        <f t="shared" si="227"/>
        <v>22.534766290798515</v>
      </c>
      <c r="H285" s="76">
        <f t="shared" si="227"/>
        <v>22.389760078096671</v>
      </c>
      <c r="I285" s="76">
        <f t="shared" si="227"/>
        <v>22.194887266462956</v>
      </c>
      <c r="J285" s="76">
        <f t="shared" si="227"/>
        <v>22.009570594723851</v>
      </c>
      <c r="K285" s="76">
        <f t="shared" si="227"/>
        <v>21.758192880251801</v>
      </c>
      <c r="L285" s="76">
        <f t="shared" si="227"/>
        <v>21.442664883432773</v>
      </c>
      <c r="M285" s="76">
        <f t="shared" si="227"/>
        <v>21.076795864501594</v>
      </c>
      <c r="N285" s="76">
        <f t="shared" si="227"/>
        <v>20.686683047658125</v>
      </c>
      <c r="O285" s="76">
        <f t="shared" si="227"/>
        <v>20.207081728516169</v>
      </c>
      <c r="P285" s="76">
        <f t="shared" si="227"/>
        <v>19.767880073132712</v>
      </c>
      <c r="Q285" s="76">
        <f t="shared" si="227"/>
        <v>19.390250338454052</v>
      </c>
      <c r="R285" s="76">
        <f t="shared" si="227"/>
        <v>19.082038147807925</v>
      </c>
      <c r="S285" s="76">
        <f t="shared" si="227"/>
        <v>18.839960432582405</v>
      </c>
      <c r="T285" s="76">
        <f t="shared" si="227"/>
        <v>18.654301683481588</v>
      </c>
      <c r="U285" s="76">
        <f t="shared" si="227"/>
        <v>18.513261164020633</v>
      </c>
      <c r="V285" s="76">
        <f t="shared" si="227"/>
        <v>18.405703949893528</v>
      </c>
      <c r="W285" s="76">
        <f t="shared" si="227"/>
        <v>18.322381638621067</v>
      </c>
      <c r="X285" s="76">
        <f t="shared" si="227"/>
        <v>18.256170977853547</v>
      </c>
      <c r="Y285" s="76">
        <f t="shared" si="227"/>
        <v>18.201840128957194</v>
      </c>
      <c r="Z285" s="76">
        <f t="shared" si="227"/>
        <v>18.155662974970742</v>
      </c>
      <c r="AA285" s="76">
        <f t="shared" si="227"/>
        <v>18.115038965752547</v>
      </c>
      <c r="AB285" s="76">
        <f t="shared" si="227"/>
        <v>18.078177300508834</v>
      </c>
      <c r="AC285" s="76">
        <f t="shared" si="227"/>
        <v>18.043855753657809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8">A264</f>
        <v>Capex vehicle</v>
      </c>
      <c r="B288" s="65">
        <f>((1+B249)^B256)*B249/(((1+B249)^B256)-1)*(B245)/B261/(B258)</f>
        <v>2.1696909640280381E-3</v>
      </c>
      <c r="C288" s="65">
        <f t="shared" ref="C288:AC288" si="229">((1+C249)^C256)*C249/(((1+C249)^C256)-1)*(C245)/C261/(C258)</f>
        <v>2.1650687990337689E-3</v>
      </c>
      <c r="D288" s="65">
        <f t="shared" si="229"/>
        <v>2.1585059873375245E-3</v>
      </c>
      <c r="E288" s="65">
        <f t="shared" si="229"/>
        <v>2.1492300836508209E-3</v>
      </c>
      <c r="F288" s="65">
        <f t="shared" si="229"/>
        <v>2.1362068822258539E-3</v>
      </c>
      <c r="G288" s="65">
        <f t="shared" si="229"/>
        <v>2.1180999046766392E-3</v>
      </c>
      <c r="H288" s="65">
        <f t="shared" si="229"/>
        <v>2.093275915840043E-3</v>
      </c>
      <c r="I288" s="65">
        <f t="shared" si="229"/>
        <v>2.0599151348747601E-3</v>
      </c>
      <c r="J288" s="65">
        <f t="shared" si="229"/>
        <v>2.0163061493242286E-3</v>
      </c>
      <c r="K288" s="65">
        <f t="shared" si="229"/>
        <v>1.9613880028985821E-3</v>
      </c>
      <c r="L288" s="65">
        <f t="shared" si="229"/>
        <v>1.8954878036134461E-3</v>
      </c>
      <c r="M288" s="65">
        <f t="shared" si="229"/>
        <v>1.8209695944675583E-3</v>
      </c>
      <c r="N288" s="65">
        <f t="shared" si="229"/>
        <v>1.7423010268127629E-3</v>
      </c>
      <c r="O288" s="65">
        <f t="shared" si="229"/>
        <v>1.6651805094239855E-3</v>
      </c>
      <c r="P288" s="65">
        <f t="shared" si="229"/>
        <v>1.5949761150306102E-3</v>
      </c>
      <c r="Q288" s="65">
        <f t="shared" si="229"/>
        <v>1.5353123770942534E-3</v>
      </c>
      <c r="R288" s="65">
        <f t="shared" si="229"/>
        <v>1.4875324081773025E-3</v>
      </c>
      <c r="S288" s="65">
        <f t="shared" si="229"/>
        <v>1.4510741712673173E-3</v>
      </c>
      <c r="T288" s="65">
        <f t="shared" si="229"/>
        <v>1.4242744431836509E-3</v>
      </c>
      <c r="U288" s="65">
        <f t="shared" si="229"/>
        <v>1.4051130253065005E-3</v>
      </c>
      <c r="V288" s="65">
        <f t="shared" si="229"/>
        <v>1.3916837011261137E-3</v>
      </c>
      <c r="W288" s="65">
        <f t="shared" si="229"/>
        <v>1.3824032126866935E-3</v>
      </c>
      <c r="X288" s="65">
        <f t="shared" si="229"/>
        <v>1.3760521119831207E-3</v>
      </c>
      <c r="Y288" s="65">
        <f t="shared" si="229"/>
        <v>1.3717347470193894E-3</v>
      </c>
      <c r="Z288" s="65">
        <f t="shared" si="229"/>
        <v>1.3688132341895007E-3</v>
      </c>
      <c r="AA288" s="65">
        <f t="shared" si="229"/>
        <v>1.3668423785843384E-3</v>
      </c>
      <c r="AB288" s="65">
        <f t="shared" si="229"/>
        <v>1.3655156083813228E-3</v>
      </c>
      <c r="AC288" s="65">
        <f t="shared" si="229"/>
        <v>1.364623687619921E-3</v>
      </c>
    </row>
    <row r="289" spans="1:29" x14ac:dyDescent="0.25">
      <c r="A289" s="30" t="str">
        <f t="shared" si="228"/>
        <v>Residual value (vehicle)</v>
      </c>
      <c r="B289" s="68">
        <f>((1+B249)^B256)*B249/(((1+B249)^B256)-1)*(B246)/B261/(B258)</f>
        <v>-1.1028374067486764E-4</v>
      </c>
      <c r="C289" s="68">
        <f t="shared" ref="C289:AC289" si="230">((1+C249)^C256)*C249/(((1+C249)^C256)-1)*(C246)/C261/(C258)</f>
        <v>-1.1082299325753238E-4</v>
      </c>
      <c r="D289" s="68">
        <f t="shared" si="230"/>
        <v>-1.115886546220943E-4</v>
      </c>
      <c r="E289" s="68">
        <f t="shared" si="230"/>
        <v>-1.1267084338554303E-4</v>
      </c>
      <c r="F289" s="68">
        <f t="shared" si="230"/>
        <v>-1.1419021688512248E-4</v>
      </c>
      <c r="G289" s="68">
        <f t="shared" si="230"/>
        <v>-1.1630269759919755E-4</v>
      </c>
      <c r="H289" s="68">
        <f t="shared" si="230"/>
        <v>-1.1919882963013374E-4</v>
      </c>
      <c r="I289" s="68">
        <f t="shared" si="230"/>
        <v>-1.230909207427501E-4</v>
      </c>
      <c r="J289" s="68">
        <f t="shared" si="230"/>
        <v>-1.2817863572364536E-4</v>
      </c>
      <c r="K289" s="68">
        <f t="shared" si="230"/>
        <v>-1.345857528066375E-4</v>
      </c>
      <c r="L289" s="68">
        <f t="shared" si="230"/>
        <v>-1.4227410938990337E-4</v>
      </c>
      <c r="M289" s="68">
        <f t="shared" si="230"/>
        <v>-1.5096790045692366E-4</v>
      </c>
      <c r="N289" s="68">
        <f t="shared" si="230"/>
        <v>-1.6014590001664974E-4</v>
      </c>
      <c r="O289" s="68">
        <f t="shared" si="230"/>
        <v>-1.6914329371200715E-4</v>
      </c>
      <c r="P289" s="68">
        <f t="shared" si="230"/>
        <v>-1.7733380639123428E-4</v>
      </c>
      <c r="Q289" s="68">
        <f t="shared" si="230"/>
        <v>-1.842945758171425E-4</v>
      </c>
      <c r="R289" s="68">
        <f t="shared" si="230"/>
        <v>-1.8986890552412014E-4</v>
      </c>
      <c r="S289" s="68">
        <f t="shared" si="230"/>
        <v>-1.9412236649695181E-4</v>
      </c>
      <c r="T289" s="68">
        <f t="shared" si="230"/>
        <v>-1.9724900144004614E-4</v>
      </c>
      <c r="U289" s="68">
        <f t="shared" si="230"/>
        <v>-1.9948450019238032E-4</v>
      </c>
      <c r="V289" s="68">
        <f t="shared" si="230"/>
        <v>-2.0105125468009212E-4</v>
      </c>
      <c r="W289" s="68">
        <f t="shared" si="230"/>
        <v>-2.0213397833135783E-4</v>
      </c>
      <c r="X289" s="68">
        <f t="shared" si="230"/>
        <v>-2.0287494008010802E-4</v>
      </c>
      <c r="Y289" s="68">
        <f t="shared" si="230"/>
        <v>-2.0337863265920998E-4</v>
      </c>
      <c r="Z289" s="68">
        <f t="shared" si="230"/>
        <v>-2.0371947582269707E-4</v>
      </c>
      <c r="AA289" s="68">
        <f t="shared" si="230"/>
        <v>-2.0394940897663265E-4</v>
      </c>
      <c r="AB289" s="68">
        <f t="shared" si="230"/>
        <v>-2.0410419883365111E-4</v>
      </c>
      <c r="AC289" s="68">
        <f t="shared" si="230"/>
        <v>-2.0420825625581466E-4</v>
      </c>
    </row>
    <row r="290" spans="1:29" x14ac:dyDescent="0.25">
      <c r="A290" s="30" t="str">
        <f t="shared" si="228"/>
        <v>Capex costumization</v>
      </c>
      <c r="B290" s="66">
        <f>((1+B249)^B257)*B249/(((1+B249)^B257)-1)*(B247)/B261/(B258)</f>
        <v>5.087458787818432E-4</v>
      </c>
      <c r="C290" s="66">
        <f t="shared" ref="C290:AC290" si="231">((1+C249)^C257)*C249/(((1+C249)^C257)-1)*(C247)/C261/(C258)</f>
        <v>5.087458787818432E-4</v>
      </c>
      <c r="D290" s="66">
        <f t="shared" si="231"/>
        <v>5.087458787818432E-4</v>
      </c>
      <c r="E290" s="66">
        <f t="shared" si="231"/>
        <v>5.087458787818432E-4</v>
      </c>
      <c r="F290" s="66">
        <f t="shared" si="231"/>
        <v>5.087458787818432E-4</v>
      </c>
      <c r="G290" s="66">
        <f t="shared" si="231"/>
        <v>5.087458787818432E-4</v>
      </c>
      <c r="H290" s="66">
        <f t="shared" si="231"/>
        <v>5.087458787818432E-4</v>
      </c>
      <c r="I290" s="66">
        <f t="shared" si="231"/>
        <v>5.087458787818432E-4</v>
      </c>
      <c r="J290" s="66">
        <f t="shared" si="231"/>
        <v>5.087458787818432E-4</v>
      </c>
      <c r="K290" s="66">
        <f t="shared" si="231"/>
        <v>5.087458787818432E-4</v>
      </c>
      <c r="L290" s="66">
        <f t="shared" si="231"/>
        <v>5.087458787818432E-4</v>
      </c>
      <c r="M290" s="66">
        <f t="shared" si="231"/>
        <v>5.087458787818432E-4</v>
      </c>
      <c r="N290" s="66">
        <f t="shared" si="231"/>
        <v>5.087458787818432E-4</v>
      </c>
      <c r="O290" s="66">
        <f t="shared" si="231"/>
        <v>5.087458787818432E-4</v>
      </c>
      <c r="P290" s="66">
        <f t="shared" si="231"/>
        <v>5.087458787818432E-4</v>
      </c>
      <c r="Q290" s="66">
        <f t="shared" si="231"/>
        <v>5.087458787818432E-4</v>
      </c>
      <c r="R290" s="66">
        <f t="shared" si="231"/>
        <v>5.087458787818432E-4</v>
      </c>
      <c r="S290" s="66">
        <f t="shared" si="231"/>
        <v>5.087458787818432E-4</v>
      </c>
      <c r="T290" s="66">
        <f t="shared" si="231"/>
        <v>5.087458787818432E-4</v>
      </c>
      <c r="U290" s="66">
        <f t="shared" si="231"/>
        <v>5.087458787818432E-4</v>
      </c>
      <c r="V290" s="66">
        <f t="shared" si="231"/>
        <v>5.087458787818432E-4</v>
      </c>
      <c r="W290" s="66">
        <f t="shared" si="231"/>
        <v>5.087458787818432E-4</v>
      </c>
      <c r="X290" s="66">
        <f t="shared" si="231"/>
        <v>5.087458787818432E-4</v>
      </c>
      <c r="Y290" s="66">
        <f t="shared" si="231"/>
        <v>5.087458787818432E-4</v>
      </c>
      <c r="Z290" s="66">
        <f t="shared" si="231"/>
        <v>5.087458787818432E-4</v>
      </c>
      <c r="AA290" s="66">
        <f t="shared" si="231"/>
        <v>5.087458787818432E-4</v>
      </c>
      <c r="AB290" s="66">
        <f t="shared" si="231"/>
        <v>5.087458787818432E-4</v>
      </c>
      <c r="AC290" s="66">
        <f t="shared" si="231"/>
        <v>5.087458787818432E-4</v>
      </c>
    </row>
    <row r="291" spans="1:29" x14ac:dyDescent="0.25">
      <c r="A291" s="30" t="str">
        <f t="shared" si="228"/>
        <v>Residual value (costumization)</v>
      </c>
      <c r="B291" s="69">
        <f>((1+B249)^B257)*B249/(((1+B249)^B257)-1)*(B248)/B261/(B258)</f>
        <v>-2.5437293939092156E-5</v>
      </c>
      <c r="C291" s="69">
        <f t="shared" ref="C291:AC291" si="232">((1+C249)^C257)*C249/(((1+C249)^C257)-1)*(C248)/C261/(C258)</f>
        <v>-2.5437293939092156E-5</v>
      </c>
      <c r="D291" s="69">
        <f t="shared" si="232"/>
        <v>-2.5437293939092156E-5</v>
      </c>
      <c r="E291" s="69">
        <f t="shared" si="232"/>
        <v>-2.5437293939092156E-5</v>
      </c>
      <c r="F291" s="69">
        <f t="shared" si="232"/>
        <v>-2.5437293939092156E-5</v>
      </c>
      <c r="G291" s="69">
        <f t="shared" si="232"/>
        <v>-2.5437293939092156E-5</v>
      </c>
      <c r="H291" s="69">
        <f t="shared" si="232"/>
        <v>-2.5437293939092156E-5</v>
      </c>
      <c r="I291" s="69">
        <f t="shared" si="232"/>
        <v>-2.5437293939092156E-5</v>
      </c>
      <c r="J291" s="69">
        <f t="shared" si="232"/>
        <v>-2.5437293939092156E-5</v>
      </c>
      <c r="K291" s="69">
        <f t="shared" si="232"/>
        <v>-2.5437293939092156E-5</v>
      </c>
      <c r="L291" s="69">
        <f t="shared" si="232"/>
        <v>-2.5437293939092156E-5</v>
      </c>
      <c r="M291" s="69">
        <f t="shared" si="232"/>
        <v>-2.5437293939092156E-5</v>
      </c>
      <c r="N291" s="69">
        <f t="shared" si="232"/>
        <v>-2.5437293939092156E-5</v>
      </c>
      <c r="O291" s="69">
        <f t="shared" si="232"/>
        <v>-2.5437293939092156E-5</v>
      </c>
      <c r="P291" s="69">
        <f t="shared" si="232"/>
        <v>-2.5437293939092156E-5</v>
      </c>
      <c r="Q291" s="69">
        <f t="shared" si="232"/>
        <v>-2.5437293939092156E-5</v>
      </c>
      <c r="R291" s="69">
        <f t="shared" si="232"/>
        <v>-2.5437293939092156E-5</v>
      </c>
      <c r="S291" s="69">
        <f t="shared" si="232"/>
        <v>-2.5437293939092156E-5</v>
      </c>
      <c r="T291" s="69">
        <f t="shared" si="232"/>
        <v>-2.5437293939092156E-5</v>
      </c>
      <c r="U291" s="69">
        <f t="shared" si="232"/>
        <v>-2.5437293939092156E-5</v>
      </c>
      <c r="V291" s="69">
        <f t="shared" si="232"/>
        <v>-2.5437293939092156E-5</v>
      </c>
      <c r="W291" s="69">
        <f t="shared" si="232"/>
        <v>-2.5437293939092156E-5</v>
      </c>
      <c r="X291" s="69">
        <f t="shared" si="232"/>
        <v>-2.5437293939092156E-5</v>
      </c>
      <c r="Y291" s="69">
        <f t="shared" si="232"/>
        <v>-2.5437293939092156E-5</v>
      </c>
      <c r="Z291" s="69">
        <f t="shared" si="232"/>
        <v>-2.5437293939092156E-5</v>
      </c>
      <c r="AA291" s="69">
        <f t="shared" si="232"/>
        <v>-2.5437293939092156E-5</v>
      </c>
      <c r="AB291" s="69">
        <f t="shared" si="232"/>
        <v>-2.5437293939092156E-5</v>
      </c>
      <c r="AC291" s="69">
        <f t="shared" si="232"/>
        <v>-2.5437293939092156E-5</v>
      </c>
    </row>
    <row r="292" spans="1:29" x14ac:dyDescent="0.25">
      <c r="A292" s="30" t="str">
        <f t="shared" si="228"/>
        <v>Opex fix (admin, crew, insurance)</v>
      </c>
      <c r="B292" s="66">
        <f>B250/B261/(B258)</f>
        <v>1.525610244097639E-3</v>
      </c>
      <c r="C292" s="66">
        <f t="shared" ref="C292:AC292" si="233">C250/C261/(C258)</f>
        <v>1.525610244097639E-3</v>
      </c>
      <c r="D292" s="66">
        <f t="shared" si="233"/>
        <v>1.525610244097639E-3</v>
      </c>
      <c r="E292" s="66">
        <f t="shared" si="233"/>
        <v>1.525610244097639E-3</v>
      </c>
      <c r="F292" s="66">
        <f t="shared" si="233"/>
        <v>1.525610244097639E-3</v>
      </c>
      <c r="G292" s="66">
        <f t="shared" si="233"/>
        <v>1.525610244097639E-3</v>
      </c>
      <c r="H292" s="66">
        <f t="shared" si="233"/>
        <v>1.525610244097639E-3</v>
      </c>
      <c r="I292" s="66">
        <f t="shared" si="233"/>
        <v>1.525610244097639E-3</v>
      </c>
      <c r="J292" s="66">
        <f t="shared" si="233"/>
        <v>1.525610244097639E-3</v>
      </c>
      <c r="K292" s="66">
        <f t="shared" si="233"/>
        <v>1.525610244097639E-3</v>
      </c>
      <c r="L292" s="66">
        <f t="shared" si="233"/>
        <v>1.525610244097639E-3</v>
      </c>
      <c r="M292" s="66">
        <f t="shared" si="233"/>
        <v>1.525610244097639E-3</v>
      </c>
      <c r="N292" s="66">
        <f t="shared" si="233"/>
        <v>1.525610244097639E-3</v>
      </c>
      <c r="O292" s="66">
        <f t="shared" si="233"/>
        <v>1.525610244097639E-3</v>
      </c>
      <c r="P292" s="66">
        <f t="shared" si="233"/>
        <v>1.525610244097639E-3</v>
      </c>
      <c r="Q292" s="66">
        <f t="shared" si="233"/>
        <v>1.525610244097639E-3</v>
      </c>
      <c r="R292" s="66">
        <f t="shared" si="233"/>
        <v>1.525610244097639E-3</v>
      </c>
      <c r="S292" s="66">
        <f t="shared" si="233"/>
        <v>1.525610244097639E-3</v>
      </c>
      <c r="T292" s="66">
        <f t="shared" si="233"/>
        <v>1.525610244097639E-3</v>
      </c>
      <c r="U292" s="66">
        <f t="shared" si="233"/>
        <v>1.525610244097639E-3</v>
      </c>
      <c r="V292" s="66">
        <f t="shared" si="233"/>
        <v>1.525610244097639E-3</v>
      </c>
      <c r="W292" s="66">
        <f t="shared" si="233"/>
        <v>1.525610244097639E-3</v>
      </c>
      <c r="X292" s="66">
        <f t="shared" si="233"/>
        <v>1.525610244097639E-3</v>
      </c>
      <c r="Y292" s="66">
        <f t="shared" si="233"/>
        <v>1.525610244097639E-3</v>
      </c>
      <c r="Z292" s="66">
        <f t="shared" si="233"/>
        <v>1.525610244097639E-3</v>
      </c>
      <c r="AA292" s="66">
        <f t="shared" si="233"/>
        <v>1.525610244097639E-3</v>
      </c>
      <c r="AB292" s="66">
        <f t="shared" si="233"/>
        <v>1.525610244097639E-3</v>
      </c>
      <c r="AC292" s="66">
        <f t="shared" si="233"/>
        <v>1.525610244097639E-3</v>
      </c>
    </row>
    <row r="293" spans="1:29" x14ac:dyDescent="0.25">
      <c r="A293" s="30" t="str">
        <f t="shared" si="228"/>
        <v>Opex maintenance &amp; repair</v>
      </c>
      <c r="B293" s="66">
        <f>B251/B261/(B258)</f>
        <v>3.235203975384487E-3</v>
      </c>
      <c r="C293" s="66">
        <f t="shared" ref="C293:AC293" si="234">C251/C261/(C258)</f>
        <v>3.228311912499835E-3</v>
      </c>
      <c r="D293" s="66">
        <f t="shared" si="234"/>
        <v>3.2185261711931679E-3</v>
      </c>
      <c r="E293" s="66">
        <f t="shared" si="234"/>
        <v>3.2046949662058941E-3</v>
      </c>
      <c r="F293" s="66">
        <f t="shared" si="234"/>
        <v>3.1852762039393709E-3</v>
      </c>
      <c r="G293" s="66">
        <f t="shared" si="234"/>
        <v>3.1582770751599136E-3</v>
      </c>
      <c r="H293" s="66">
        <f t="shared" si="234"/>
        <v>3.1212622796426945E-3</v>
      </c>
      <c r="I293" s="66">
        <f t="shared" si="234"/>
        <v>3.0715183608126854E-3</v>
      </c>
      <c r="J293" s="66">
        <f t="shared" si="234"/>
        <v>3.0064934490834873E-3</v>
      </c>
      <c r="K293" s="66">
        <f t="shared" si="234"/>
        <v>2.9246055633971525E-3</v>
      </c>
      <c r="L293" s="66">
        <f t="shared" si="234"/>
        <v>2.826342451165679E-3</v>
      </c>
      <c r="M293" s="66">
        <f t="shared" si="234"/>
        <v>2.7152291126929309E-3</v>
      </c>
      <c r="N293" s="66">
        <f t="shared" si="234"/>
        <v>2.5979272171538078E-3</v>
      </c>
      <c r="O293" s="66">
        <f t="shared" si="234"/>
        <v>2.4829336035118526E-3</v>
      </c>
      <c r="P293" s="66">
        <f t="shared" si="234"/>
        <v>2.37825255003627E-3</v>
      </c>
      <c r="Q293" s="66">
        <f t="shared" si="234"/>
        <v>2.2892885614507032E-3</v>
      </c>
      <c r="R293" s="66">
        <f t="shared" si="234"/>
        <v>2.218044339141322E-3</v>
      </c>
      <c r="S293" s="66">
        <f t="shared" si="234"/>
        <v>2.1636818354750301E-3</v>
      </c>
      <c r="T293" s="66">
        <f t="shared" si="234"/>
        <v>2.12372103540121E-3</v>
      </c>
      <c r="U293" s="66">
        <f t="shared" si="234"/>
        <v>2.0951496414479101E-3</v>
      </c>
      <c r="V293" s="66">
        <f t="shared" si="234"/>
        <v>2.0751253137001203E-3</v>
      </c>
      <c r="W293" s="66">
        <f t="shared" si="234"/>
        <v>2.0612872724350261E-3</v>
      </c>
      <c r="X293" s="66">
        <f t="shared" si="234"/>
        <v>2.0518172112212762E-3</v>
      </c>
      <c r="Y293" s="66">
        <f t="shared" si="234"/>
        <v>2.0453796325405234E-3</v>
      </c>
      <c r="Z293" s="66">
        <f t="shared" si="234"/>
        <v>2.0410233946808022E-3</v>
      </c>
      <c r="AA293" s="66">
        <f t="shared" si="234"/>
        <v>2.0380846720726327E-3</v>
      </c>
      <c r="AB293" s="66">
        <f t="shared" si="234"/>
        <v>2.0361063386111484E-3</v>
      </c>
      <c r="AC293" s="66">
        <f t="shared" si="234"/>
        <v>2.0347764046985059E-3</v>
      </c>
    </row>
    <row r="294" spans="1:29" x14ac:dyDescent="0.25">
      <c r="A294" s="30" t="str">
        <f t="shared" si="228"/>
        <v>Opex var (mode-fees, shunting)</v>
      </c>
      <c r="B294" s="66">
        <f>B252*B261/B261/(B258)</f>
        <v>1.6256502601040416E-3</v>
      </c>
      <c r="C294" s="66">
        <f t="shared" ref="C294:AC294" si="235">C252*C261/C261/(C258)</f>
        <v>1.6256502601040416E-3</v>
      </c>
      <c r="D294" s="66">
        <f t="shared" si="235"/>
        <v>1.6256502601040416E-3</v>
      </c>
      <c r="E294" s="66">
        <f t="shared" si="235"/>
        <v>1.6256502601040416E-3</v>
      </c>
      <c r="F294" s="66">
        <f t="shared" si="235"/>
        <v>1.6256502601040416E-3</v>
      </c>
      <c r="G294" s="66">
        <f t="shared" si="235"/>
        <v>1.6256502601040416E-3</v>
      </c>
      <c r="H294" s="66">
        <f t="shared" si="235"/>
        <v>1.6256502601040416E-3</v>
      </c>
      <c r="I294" s="66">
        <f t="shared" si="235"/>
        <v>1.6256502601040416E-3</v>
      </c>
      <c r="J294" s="66">
        <f t="shared" si="235"/>
        <v>1.6256502601040416E-3</v>
      </c>
      <c r="K294" s="66">
        <f t="shared" si="235"/>
        <v>1.6256502601040416E-3</v>
      </c>
      <c r="L294" s="66">
        <f t="shared" si="235"/>
        <v>1.6256502601040416E-3</v>
      </c>
      <c r="M294" s="66">
        <f t="shared" si="235"/>
        <v>1.6256502601040416E-3</v>
      </c>
      <c r="N294" s="66">
        <f t="shared" si="235"/>
        <v>1.6256502601040416E-3</v>
      </c>
      <c r="O294" s="66">
        <f t="shared" si="235"/>
        <v>1.6256502601040416E-3</v>
      </c>
      <c r="P294" s="66">
        <f t="shared" si="235"/>
        <v>1.6256502601040416E-3</v>
      </c>
      <c r="Q294" s="66">
        <f t="shared" si="235"/>
        <v>1.6256502601040416E-3</v>
      </c>
      <c r="R294" s="66">
        <f t="shared" si="235"/>
        <v>1.6256502601040416E-3</v>
      </c>
      <c r="S294" s="66">
        <f t="shared" si="235"/>
        <v>1.6256502601040416E-3</v>
      </c>
      <c r="T294" s="66">
        <f t="shared" si="235"/>
        <v>1.6256502601040416E-3</v>
      </c>
      <c r="U294" s="66">
        <f t="shared" si="235"/>
        <v>1.6256502601040416E-3</v>
      </c>
      <c r="V294" s="66">
        <f t="shared" si="235"/>
        <v>1.6256502601040416E-3</v>
      </c>
      <c r="W294" s="66">
        <f t="shared" si="235"/>
        <v>1.6256502601040416E-3</v>
      </c>
      <c r="X294" s="66">
        <f t="shared" si="235"/>
        <v>1.6256502601040416E-3</v>
      </c>
      <c r="Y294" s="66">
        <f t="shared" si="235"/>
        <v>1.6256502601040416E-3</v>
      </c>
      <c r="Z294" s="66">
        <f t="shared" si="235"/>
        <v>1.6256502601040416E-3</v>
      </c>
      <c r="AA294" s="66">
        <f t="shared" si="235"/>
        <v>1.6256502601040416E-3</v>
      </c>
      <c r="AB294" s="66">
        <f t="shared" si="235"/>
        <v>1.6256502601040416E-3</v>
      </c>
      <c r="AC294" s="66">
        <f t="shared" si="235"/>
        <v>1.6256502601040416E-3</v>
      </c>
    </row>
    <row r="295" spans="1:29" x14ac:dyDescent="0.25">
      <c r="A295" s="30" t="str">
        <f t="shared" si="228"/>
        <v>Fuel Cost</v>
      </c>
      <c r="B295" s="66">
        <f>B253*B254*B261/B261/(B258)</f>
        <v>1.2146455635179375E-3</v>
      </c>
      <c r="C295" s="66">
        <f t="shared" ref="C295:AC295" si="236">C253*C254*C261/C261/(C258)</f>
        <v>1.2146455635179375E-3</v>
      </c>
      <c r="D295" s="66">
        <f t="shared" si="236"/>
        <v>1.2146455635179375E-3</v>
      </c>
      <c r="E295" s="66">
        <f t="shared" si="236"/>
        <v>1.2146455635179375E-3</v>
      </c>
      <c r="F295" s="66">
        <f t="shared" si="236"/>
        <v>1.2146455635179375E-3</v>
      </c>
      <c r="G295" s="66">
        <f t="shared" si="236"/>
        <v>1.2146455635179375E-3</v>
      </c>
      <c r="H295" s="66">
        <f t="shared" si="236"/>
        <v>1.2146455635179375E-3</v>
      </c>
      <c r="I295" s="66">
        <f t="shared" si="236"/>
        <v>1.2146455635179375E-3</v>
      </c>
      <c r="J295" s="66">
        <f t="shared" si="236"/>
        <v>1.2456365187521749E-3</v>
      </c>
      <c r="K295" s="66">
        <f t="shared" si="236"/>
        <v>1.2766274739864124E-3</v>
      </c>
      <c r="L295" s="66">
        <f t="shared" si="236"/>
        <v>1.3076184292206499E-3</v>
      </c>
      <c r="M295" s="66">
        <f t="shared" si="236"/>
        <v>1.3386093844548876E-3</v>
      </c>
      <c r="N295" s="66">
        <f t="shared" si="236"/>
        <v>1.3696003396891248E-3</v>
      </c>
      <c r="O295" s="66">
        <f t="shared" si="236"/>
        <v>1.3566041326554124E-3</v>
      </c>
      <c r="P295" s="66">
        <f t="shared" si="236"/>
        <v>1.3436079256216996E-3</v>
      </c>
      <c r="Q295" s="66">
        <f t="shared" si="236"/>
        <v>1.3306117185879871E-3</v>
      </c>
      <c r="R295" s="66">
        <f t="shared" si="236"/>
        <v>1.3176155115542745E-3</v>
      </c>
      <c r="S295" s="66">
        <f t="shared" si="236"/>
        <v>1.3046193045205623E-3</v>
      </c>
      <c r="T295" s="66">
        <f t="shared" si="236"/>
        <v>1.2916230974868495E-3</v>
      </c>
      <c r="U295" s="66">
        <f t="shared" si="236"/>
        <v>1.2786268904531372E-3</v>
      </c>
      <c r="V295" s="66">
        <f t="shared" si="236"/>
        <v>1.2656306834194246E-3</v>
      </c>
      <c r="W295" s="66">
        <f t="shared" si="236"/>
        <v>1.252634476385712E-3</v>
      </c>
      <c r="X295" s="66">
        <f t="shared" si="236"/>
        <v>1.2396382693519996E-3</v>
      </c>
      <c r="Y295" s="66">
        <f t="shared" si="236"/>
        <v>1.226642062318287E-3</v>
      </c>
      <c r="Z295" s="66">
        <f t="shared" si="236"/>
        <v>1.2136458552845747E-3</v>
      </c>
      <c r="AA295" s="66">
        <f t="shared" si="236"/>
        <v>1.2006496482508621E-3</v>
      </c>
      <c r="AB295" s="66">
        <f t="shared" si="236"/>
        <v>1.1876534412171497E-3</v>
      </c>
      <c r="AC295" s="66">
        <f t="shared" si="236"/>
        <v>1.1746572341834374E-3</v>
      </c>
    </row>
    <row r="296" spans="1:29" x14ac:dyDescent="0.25">
      <c r="A296" s="59" t="str">
        <f>A259</f>
        <v>Market failure (av. utilization)</v>
      </c>
      <c r="B296" s="66">
        <f t="shared" ref="B296:AC296" si="237">B285/B259-B285/B258</f>
        <v>1.369912871514572E-2</v>
      </c>
      <c r="C296" s="66">
        <f t="shared" si="237"/>
        <v>1.3682931850775465E-2</v>
      </c>
      <c r="D296" s="66">
        <f t="shared" si="237"/>
        <v>1.365993462521917E-2</v>
      </c>
      <c r="E296" s="66">
        <f t="shared" si="237"/>
        <v>1.362743025678763E-2</v>
      </c>
      <c r="F296" s="66">
        <f t="shared" si="237"/>
        <v>1.3581794709937133E-2</v>
      </c>
      <c r="G296" s="66">
        <f t="shared" si="237"/>
        <v>1.3518344733598441E-2</v>
      </c>
      <c r="H296" s="66">
        <f t="shared" si="237"/>
        <v>1.3431357189706427E-2</v>
      </c>
      <c r="I296" s="66">
        <f t="shared" si="237"/>
        <v>1.3314455251923929E-2</v>
      </c>
      <c r="J296" s="66">
        <f t="shared" si="237"/>
        <v>1.320328593154472E-2</v>
      </c>
      <c r="K296" s="66">
        <f t="shared" si="237"/>
        <v>1.305248735840998E-2</v>
      </c>
      <c r="L296" s="66">
        <f t="shared" si="237"/>
        <v>1.286320577549678E-2</v>
      </c>
      <c r="M296" s="66">
        <f t="shared" si="237"/>
        <v>1.2643725197733935E-2</v>
      </c>
      <c r="N296" s="66">
        <f t="shared" si="237"/>
        <v>1.2409701047004732E-2</v>
      </c>
      <c r="O296" s="66">
        <f t="shared" si="237"/>
        <v>1.2121993782452501E-2</v>
      </c>
      <c r="P296" s="66">
        <f t="shared" si="237"/>
        <v>1.1858521807264323E-2</v>
      </c>
      <c r="Q296" s="66">
        <f t="shared" si="237"/>
        <v>1.163198611263287E-2</v>
      </c>
      <c r="R296" s="66">
        <f t="shared" si="237"/>
        <v>1.1447093196927187E-2</v>
      </c>
      <c r="S296" s="66">
        <f t="shared" si="237"/>
        <v>1.1301873585394018E-2</v>
      </c>
      <c r="T296" s="66">
        <f t="shared" si="237"/>
        <v>1.1190499056776063E-2</v>
      </c>
      <c r="U296" s="66">
        <f t="shared" si="237"/>
        <v>1.1105890486228896E-2</v>
      </c>
      <c r="V296" s="66">
        <f t="shared" si="237"/>
        <v>1.1041368161905995E-2</v>
      </c>
      <c r="W296" s="66">
        <f t="shared" si="237"/>
        <v>1.0991384074507613E-2</v>
      </c>
      <c r="X296" s="66">
        <f t="shared" si="237"/>
        <v>1.0951665067629778E-2</v>
      </c>
      <c r="Y296" s="66">
        <f t="shared" si="237"/>
        <v>1.0919072622002781E-2</v>
      </c>
      <c r="Z296" s="66">
        <f t="shared" si="237"/>
        <v>1.0891371483311129E-2</v>
      </c>
      <c r="AA296" s="66">
        <f t="shared" si="237"/>
        <v>1.0867001611709814E-2</v>
      </c>
      <c r="AB296" s="66">
        <f t="shared" si="237"/>
        <v>1.0844888726588725E-2</v>
      </c>
      <c r="AC296" s="66">
        <f t="shared" si="237"/>
        <v>1.0824299629007892E-2</v>
      </c>
    </row>
    <row r="297" spans="1:29" x14ac:dyDescent="0.25">
      <c r="A297" s="59" t="str">
        <f>A260</f>
        <v>Payload loss (fuel)</v>
      </c>
      <c r="B297" s="66">
        <f>B285/(B258-B260)-B285/B258</f>
        <v>3.749973752721833E-4</v>
      </c>
      <c r="C297" s="66">
        <f t="shared" ref="C297:AC297" si="238">C285/(C258-C260)-C285/C258</f>
        <v>3.734492547019623E-4</v>
      </c>
      <c r="D297" s="66">
        <f t="shared" si="238"/>
        <v>3.7125603503827126E-4</v>
      </c>
      <c r="E297" s="66">
        <f t="shared" si="238"/>
        <v>3.681659117416667E-4</v>
      </c>
      <c r="F297" s="66">
        <f t="shared" si="238"/>
        <v>3.638467572011847E-4</v>
      </c>
      <c r="G297" s="66">
        <f t="shared" si="238"/>
        <v>3.5787903553258053E-4</v>
      </c>
      <c r="H297" s="66">
        <f t="shared" si="238"/>
        <v>3.4976826798080105E-4</v>
      </c>
      <c r="I297" s="66">
        <f t="shared" si="238"/>
        <v>3.3899691709283856E-4</v>
      </c>
      <c r="J297" s="66">
        <f t="shared" si="238"/>
        <v>3.2616739171126459E-4</v>
      </c>
      <c r="K297" s="66">
        <f t="shared" si="238"/>
        <v>3.100214668347312E-4</v>
      </c>
      <c r="L297" s="66">
        <f t="shared" si="238"/>
        <v>2.9087728923691408E-4</v>
      </c>
      <c r="M297" s="66">
        <f t="shared" si="238"/>
        <v>2.6968413108512633E-4</v>
      </c>
      <c r="N297" s="66">
        <f t="shared" si="238"/>
        <v>2.4793345910998493E-4</v>
      </c>
      <c r="O297" s="66">
        <f t="shared" si="238"/>
        <v>2.2619295056423849E-4</v>
      </c>
      <c r="P297" s="66">
        <f t="shared" si="238"/>
        <v>2.0708174383022096E-4</v>
      </c>
      <c r="Q297" s="66">
        <f t="shared" si="238"/>
        <v>1.9132693767607949E-4</v>
      </c>
      <c r="R297" s="66">
        <f t="shared" si="238"/>
        <v>1.7900943071530451E-4</v>
      </c>
      <c r="S297" s="66">
        <f t="shared" si="238"/>
        <v>1.6976315361811288E-4</v>
      </c>
      <c r="T297" s="66">
        <f t="shared" si="238"/>
        <v>1.630204676310431E-4</v>
      </c>
      <c r="U297" s="66">
        <f t="shared" si="238"/>
        <v>1.5819419753558377E-4</v>
      </c>
      <c r="V297" s="66">
        <f t="shared" si="238"/>
        <v>1.547729169935827E-4</v>
      </c>
      <c r="W297" s="66">
        <f t="shared" si="238"/>
        <v>1.5235177684271017E-4</v>
      </c>
      <c r="X297" s="66">
        <f t="shared" si="238"/>
        <v>1.5062847946215215E-4</v>
      </c>
      <c r="Y297" s="66">
        <f t="shared" si="238"/>
        <v>1.4938555069301217E-4</v>
      </c>
      <c r="Z297" s="66">
        <f t="shared" si="238"/>
        <v>1.4847028380235092E-4</v>
      </c>
      <c r="AA297" s="66">
        <f t="shared" si="238"/>
        <v>1.477771472289946E-4</v>
      </c>
      <c r="AB297" s="66">
        <f t="shared" si="238"/>
        <v>1.4723397757455091E-4</v>
      </c>
      <c r="AC297" s="66">
        <f t="shared" si="238"/>
        <v>1.4679177460938386E-4</v>
      </c>
    </row>
    <row r="298" spans="1:29" ht="15.75" thickBot="1" x14ac:dyDescent="0.3">
      <c r="A298" s="59" t="str">
        <f>A235</f>
        <v>Emission Cost</v>
      </c>
      <c r="B298" s="68">
        <f>B255*B261/B261/(B258)</f>
        <v>0</v>
      </c>
      <c r="C298" s="68">
        <f t="shared" ref="C298:AC298" si="239">C255*C261/C261/(C258)</f>
        <v>0</v>
      </c>
      <c r="D298" s="68">
        <f t="shared" si="239"/>
        <v>0</v>
      </c>
      <c r="E298" s="68">
        <f t="shared" si="239"/>
        <v>0</v>
      </c>
      <c r="F298" s="68">
        <f t="shared" si="239"/>
        <v>0</v>
      </c>
      <c r="G298" s="68">
        <f t="shared" si="239"/>
        <v>0</v>
      </c>
      <c r="H298" s="68">
        <f t="shared" si="239"/>
        <v>0</v>
      </c>
      <c r="I298" s="68">
        <f t="shared" si="239"/>
        <v>0</v>
      </c>
      <c r="J298" s="68">
        <f t="shared" si="239"/>
        <v>0</v>
      </c>
      <c r="K298" s="68">
        <f t="shared" si="239"/>
        <v>0</v>
      </c>
      <c r="L298" s="68">
        <f t="shared" si="239"/>
        <v>0</v>
      </c>
      <c r="M298" s="68">
        <f t="shared" si="239"/>
        <v>0</v>
      </c>
      <c r="N298" s="68">
        <f t="shared" si="239"/>
        <v>0</v>
      </c>
      <c r="O298" s="68">
        <f t="shared" si="239"/>
        <v>0</v>
      </c>
      <c r="P298" s="68">
        <f t="shared" si="239"/>
        <v>0</v>
      </c>
      <c r="Q298" s="68">
        <f t="shared" si="239"/>
        <v>0</v>
      </c>
      <c r="R298" s="68">
        <f t="shared" si="239"/>
        <v>0</v>
      </c>
      <c r="S298" s="68">
        <f t="shared" si="239"/>
        <v>0</v>
      </c>
      <c r="T298" s="68">
        <f t="shared" si="239"/>
        <v>0</v>
      </c>
      <c r="U298" s="68">
        <f t="shared" si="239"/>
        <v>0</v>
      </c>
      <c r="V298" s="68">
        <f t="shared" si="239"/>
        <v>0</v>
      </c>
      <c r="W298" s="68">
        <f t="shared" si="239"/>
        <v>0</v>
      </c>
      <c r="X298" s="68">
        <f t="shared" si="239"/>
        <v>0</v>
      </c>
      <c r="Y298" s="68">
        <f t="shared" si="239"/>
        <v>0</v>
      </c>
      <c r="Z298" s="68">
        <f t="shared" si="239"/>
        <v>0</v>
      </c>
      <c r="AA298" s="68">
        <f t="shared" si="239"/>
        <v>0</v>
      </c>
      <c r="AB298" s="68">
        <f t="shared" si="239"/>
        <v>0</v>
      </c>
      <c r="AC298" s="68">
        <f t="shared" si="239"/>
        <v>0</v>
      </c>
    </row>
    <row r="299" spans="1:29" ht="15.75" thickBot="1" x14ac:dyDescent="0.3">
      <c r="A299" s="31" t="s">
        <v>210</v>
      </c>
      <c r="B299" s="67">
        <f>B288+B289+B290+B291+B292+B293+B294+B295+B296+B297+B298</f>
        <v>2.4217951941717931E-2</v>
      </c>
      <c r="C299" s="67">
        <f t="shared" ref="C299:AC299" si="240">C288+C289+C290+C291+C292+C293+C294+C295+C296+C297+C298</f>
        <v>2.4188153476315869E-2</v>
      </c>
      <c r="D299" s="67">
        <f t="shared" si="240"/>
        <v>2.4145848816728408E-2</v>
      </c>
      <c r="E299" s="67">
        <f t="shared" si="240"/>
        <v>2.4086065027562838E-2</v>
      </c>
      <c r="F299" s="67">
        <f t="shared" si="240"/>
        <v>2.4002148988980787E-2</v>
      </c>
      <c r="G299" s="67">
        <f t="shared" si="240"/>
        <v>2.3885512703930745E-2</v>
      </c>
      <c r="H299" s="67">
        <f t="shared" si="240"/>
        <v>2.3725679476102202E-2</v>
      </c>
      <c r="I299" s="67">
        <f t="shared" si="240"/>
        <v>2.3511009396523834E-2</v>
      </c>
      <c r="J299" s="67">
        <f t="shared" si="240"/>
        <v>2.3304279893736658E-2</v>
      </c>
      <c r="K299" s="67">
        <f t="shared" si="240"/>
        <v>2.3025113201764653E-2</v>
      </c>
      <c r="L299" s="67">
        <f t="shared" si="240"/>
        <v>2.2675826728387999E-2</v>
      </c>
      <c r="M299" s="67">
        <f t="shared" si="240"/>
        <v>2.2271818609021943E-2</v>
      </c>
      <c r="N299" s="67">
        <f t="shared" si="240"/>
        <v>2.1841886278798194E-2</v>
      </c>
      <c r="O299" s="67">
        <f t="shared" si="240"/>
        <v>2.1318330773940415E-2</v>
      </c>
      <c r="P299" s="67">
        <f t="shared" si="240"/>
        <v>2.0839675424436321E-2</v>
      </c>
      <c r="Q299" s="67">
        <f t="shared" si="240"/>
        <v>2.0428800220669181E-2</v>
      </c>
      <c r="R299" s="67">
        <f t="shared" si="240"/>
        <v>2.0093995070035703E-2</v>
      </c>
      <c r="S299" s="67">
        <f t="shared" si="240"/>
        <v>1.9831458772822524E-2</v>
      </c>
      <c r="T299" s="67">
        <f t="shared" si="240"/>
        <v>1.9630458188083205E-2</v>
      </c>
      <c r="U299" s="67">
        <f t="shared" si="240"/>
        <v>1.9478058829824084E-2</v>
      </c>
      <c r="V299" s="67">
        <f t="shared" si="240"/>
        <v>1.9362098611509577E-2</v>
      </c>
      <c r="W299" s="67">
        <f t="shared" si="240"/>
        <v>1.9272495923570832E-2</v>
      </c>
      <c r="X299" s="67">
        <f t="shared" si="240"/>
        <v>1.9201495288612647E-2</v>
      </c>
      <c r="Y299" s="67">
        <f t="shared" si="240"/>
        <v>1.9143405070959213E-2</v>
      </c>
      <c r="Z299" s="67">
        <f t="shared" si="240"/>
        <v>1.9094173864490093E-2</v>
      </c>
      <c r="AA299" s="67">
        <f t="shared" si="240"/>
        <v>1.9050975137914442E-2</v>
      </c>
      <c r="AB299" s="67">
        <f t="shared" si="240"/>
        <v>1.9011862982583679E-2</v>
      </c>
      <c r="AC299" s="67">
        <f t="shared" si="240"/>
        <v>1.8975509562907757E-2</v>
      </c>
    </row>
    <row r="301" spans="1:29" x14ac:dyDescent="0.25">
      <c r="B301" s="40"/>
    </row>
    <row r="324" spans="1:44" s="3" customFormat="1" ht="21" x14ac:dyDescent="0.35">
      <c r="A324" s="2" t="str">
        <f>'Parameter Input'!A182</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Input'!$L$171</f>
        <v>10000000</v>
      </c>
      <c r="C334" s="42">
        <f>'Parameter Input'!$M$171</f>
        <v>6250000</v>
      </c>
      <c r="D334" s="1" t="s">
        <v>15</v>
      </c>
      <c r="L334" s="51">
        <f>'Parameter Input'!$O$171</f>
        <v>12</v>
      </c>
      <c r="M334" s="52">
        <v>0</v>
      </c>
      <c r="N334" s="52">
        <v>1</v>
      </c>
      <c r="O334" s="52">
        <f>'Parameter Input'!$P$171</f>
        <v>0.9</v>
      </c>
      <c r="P334" s="53">
        <f>'Parameter Input'!$Q$171</f>
        <v>0.4</v>
      </c>
      <c r="Q334" s="4">
        <f t="shared" ref="Q334:AR343" si="241">$N334+($M334-$N334)*((1/(1+EXP(-$P334*(Q$9-$L334)))^$O334))</f>
        <v>0.9867978615748374</v>
      </c>
      <c r="R334" s="4">
        <f t="shared" si="241"/>
        <v>0.98114509762858249</v>
      </c>
      <c r="S334" s="4">
        <f t="shared" si="241"/>
        <v>0.97311898315872036</v>
      </c>
      <c r="T334" s="4">
        <f t="shared" si="241"/>
        <v>0.96177484161592774</v>
      </c>
      <c r="U334" s="4">
        <f t="shared" si="241"/>
        <v>0.94584787155511363</v>
      </c>
      <c r="V334" s="4">
        <f t="shared" si="241"/>
        <v>0.92370360150141495</v>
      </c>
      <c r="W334" s="4">
        <f t="shared" si="241"/>
        <v>0.89334463567658451</v>
      </c>
      <c r="X334" s="4">
        <f t="shared" si="241"/>
        <v>0.85254543874327005</v>
      </c>
      <c r="Y334" s="4">
        <f t="shared" si="241"/>
        <v>0.79921300652623883</v>
      </c>
      <c r="Z334" s="4">
        <f t="shared" si="241"/>
        <v>0.73204982249993378</v>
      </c>
      <c r="AA334" s="4">
        <f t="shared" si="241"/>
        <v>0.65145592958786691</v>
      </c>
      <c r="AB334" s="4">
        <f t="shared" si="241"/>
        <v>0.56032247880849573</v>
      </c>
      <c r="AC334" s="4">
        <f t="shared" si="241"/>
        <v>0.46411326873185343</v>
      </c>
      <c r="AD334" s="4">
        <f t="shared" si="241"/>
        <v>0.36979727595523937</v>
      </c>
      <c r="AE334" s="4">
        <f t="shared" si="241"/>
        <v>0.28393948637231203</v>
      </c>
      <c r="AF334" s="4">
        <f t="shared" si="241"/>
        <v>0.21097259161117732</v>
      </c>
      <c r="AG334" s="4">
        <f t="shared" si="241"/>
        <v>0.15253917653798199</v>
      </c>
      <c r="AH334" s="4">
        <f t="shared" si="241"/>
        <v>0.10795188737709993</v>
      </c>
      <c r="AI334" s="4">
        <f t="shared" si="241"/>
        <v>7.5176653938091809E-2</v>
      </c>
      <c r="AJ334" s="4">
        <f t="shared" si="241"/>
        <v>5.1742836177502194E-2</v>
      </c>
      <c r="AK334" s="4">
        <f t="shared" si="241"/>
        <v>3.5319190625345942E-2</v>
      </c>
      <c r="AL334" s="4">
        <f t="shared" si="241"/>
        <v>2.3969442072658165E-2</v>
      </c>
      <c r="AM334" s="4">
        <f t="shared" si="241"/>
        <v>1.6202243558389728E-2</v>
      </c>
      <c r="AN334" s="4">
        <f t="shared" si="241"/>
        <v>1.0922240564108399E-2</v>
      </c>
      <c r="AO334" s="4">
        <f t="shared" si="241"/>
        <v>7.3493212906090566E-3</v>
      </c>
      <c r="AP334" s="4">
        <f t="shared" si="241"/>
        <v>4.9390262185057265E-3</v>
      </c>
      <c r="AQ334" s="4">
        <f t="shared" si="241"/>
        <v>3.3164275492956197E-3</v>
      </c>
      <c r="AR334" s="4">
        <f t="shared" si="241"/>
        <v>2.2256362146679809E-3</v>
      </c>
    </row>
    <row r="335" spans="1:44" x14ac:dyDescent="0.25">
      <c r="A335" s="24" t="s">
        <v>28</v>
      </c>
      <c r="B335" s="60">
        <f>'Parameter Input'!$L$172</f>
        <v>-500000</v>
      </c>
      <c r="C335" s="61">
        <f>'Parameter Input'!$M$172</f>
        <v>-937500</v>
      </c>
      <c r="D335" s="1" t="s">
        <v>15</v>
      </c>
      <c r="L335" s="54">
        <f>'Parameter Input'!$O$172</f>
        <v>12</v>
      </c>
      <c r="M335" s="37">
        <v>0</v>
      </c>
      <c r="N335" s="37">
        <v>1</v>
      </c>
      <c r="O335" s="37">
        <f>'Parameter Input'!$P$172</f>
        <v>0.9</v>
      </c>
      <c r="P335" s="55">
        <f>'Parameter Input'!$Q$172</f>
        <v>0.4</v>
      </c>
      <c r="Q335" s="4">
        <f t="shared" si="241"/>
        <v>0.9867978615748374</v>
      </c>
      <c r="R335" s="4">
        <f t="shared" si="241"/>
        <v>0.98114509762858249</v>
      </c>
      <c r="S335" s="4">
        <f t="shared" si="241"/>
        <v>0.97311898315872036</v>
      </c>
      <c r="T335" s="4">
        <f t="shared" si="241"/>
        <v>0.96177484161592774</v>
      </c>
      <c r="U335" s="4">
        <f t="shared" si="241"/>
        <v>0.94584787155511363</v>
      </c>
      <c r="V335" s="4">
        <f t="shared" si="241"/>
        <v>0.92370360150141495</v>
      </c>
      <c r="W335" s="4">
        <f t="shared" si="241"/>
        <v>0.89334463567658451</v>
      </c>
      <c r="X335" s="4">
        <f t="shared" si="241"/>
        <v>0.85254543874327005</v>
      </c>
      <c r="Y335" s="4">
        <f t="shared" si="241"/>
        <v>0.79921300652623883</v>
      </c>
      <c r="Z335" s="4">
        <f t="shared" si="241"/>
        <v>0.73204982249993378</v>
      </c>
      <c r="AA335" s="4">
        <f t="shared" si="241"/>
        <v>0.65145592958786691</v>
      </c>
      <c r="AB335" s="4">
        <f t="shared" si="241"/>
        <v>0.56032247880849573</v>
      </c>
      <c r="AC335" s="4">
        <f t="shared" si="241"/>
        <v>0.46411326873185343</v>
      </c>
      <c r="AD335" s="4">
        <f t="shared" si="241"/>
        <v>0.36979727595523937</v>
      </c>
      <c r="AE335" s="4">
        <f t="shared" si="241"/>
        <v>0.28393948637231203</v>
      </c>
      <c r="AF335" s="4">
        <f t="shared" si="241"/>
        <v>0.21097259161117732</v>
      </c>
      <c r="AG335" s="4">
        <f t="shared" si="241"/>
        <v>0.15253917653798199</v>
      </c>
      <c r="AH335" s="4">
        <f t="shared" si="241"/>
        <v>0.10795188737709993</v>
      </c>
      <c r="AI335" s="4">
        <f t="shared" si="241"/>
        <v>7.5176653938091809E-2</v>
      </c>
      <c r="AJ335" s="4">
        <f t="shared" si="241"/>
        <v>5.1742836177502194E-2</v>
      </c>
      <c r="AK335" s="4">
        <f t="shared" si="241"/>
        <v>3.5319190625345942E-2</v>
      </c>
      <c r="AL335" s="4">
        <f t="shared" si="241"/>
        <v>2.3969442072658165E-2</v>
      </c>
      <c r="AM335" s="4">
        <f t="shared" si="241"/>
        <v>1.6202243558389728E-2</v>
      </c>
      <c r="AN335" s="4">
        <f t="shared" si="241"/>
        <v>1.0922240564108399E-2</v>
      </c>
      <c r="AO335" s="4">
        <f t="shared" si="241"/>
        <v>7.3493212906090566E-3</v>
      </c>
      <c r="AP335" s="4">
        <f t="shared" si="241"/>
        <v>4.9390262185057265E-3</v>
      </c>
      <c r="AQ335" s="4">
        <f t="shared" si="241"/>
        <v>3.3164275492956197E-3</v>
      </c>
      <c r="AR335" s="4">
        <f t="shared" si="241"/>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41"/>
        <v>0.9867978615748374</v>
      </c>
      <c r="R336" s="4">
        <f t="shared" si="241"/>
        <v>0.98114509762858249</v>
      </c>
      <c r="S336" s="4">
        <f t="shared" si="241"/>
        <v>0.97311898315872036</v>
      </c>
      <c r="T336" s="4">
        <f t="shared" si="241"/>
        <v>0.96177484161592774</v>
      </c>
      <c r="U336" s="4">
        <f t="shared" si="241"/>
        <v>0.94584787155511363</v>
      </c>
      <c r="V336" s="4">
        <f t="shared" si="241"/>
        <v>0.92370360150141495</v>
      </c>
      <c r="W336" s="4">
        <f t="shared" si="241"/>
        <v>0.89334463567658451</v>
      </c>
      <c r="X336" s="4">
        <f t="shared" si="241"/>
        <v>0.85254543874327005</v>
      </c>
      <c r="Y336" s="4">
        <f t="shared" si="241"/>
        <v>0.79921300652623883</v>
      </c>
      <c r="Z336" s="4">
        <f t="shared" si="241"/>
        <v>0.73204982249993378</v>
      </c>
      <c r="AA336" s="4">
        <f t="shared" si="241"/>
        <v>0.65145592958786691</v>
      </c>
      <c r="AB336" s="4">
        <f t="shared" si="241"/>
        <v>0.56032247880849573</v>
      </c>
      <c r="AC336" s="4">
        <f t="shared" si="241"/>
        <v>0.46411326873185343</v>
      </c>
      <c r="AD336" s="4">
        <f t="shared" si="241"/>
        <v>0.36979727595523937</v>
      </c>
      <c r="AE336" s="4">
        <f t="shared" si="241"/>
        <v>0.28393948637231203</v>
      </c>
      <c r="AF336" s="4">
        <f t="shared" si="241"/>
        <v>0.21097259161117732</v>
      </c>
      <c r="AG336" s="4">
        <f t="shared" si="241"/>
        <v>0.15253917653798199</v>
      </c>
      <c r="AH336" s="4">
        <f t="shared" si="241"/>
        <v>0.10795188737709993</v>
      </c>
      <c r="AI336" s="4">
        <f t="shared" si="241"/>
        <v>7.5176653938091809E-2</v>
      </c>
      <c r="AJ336" s="4">
        <f t="shared" si="241"/>
        <v>5.1742836177502194E-2</v>
      </c>
      <c r="AK336" s="4">
        <f t="shared" si="241"/>
        <v>3.5319190625345942E-2</v>
      </c>
      <c r="AL336" s="4">
        <f t="shared" si="241"/>
        <v>2.3969442072658165E-2</v>
      </c>
      <c r="AM336" s="4">
        <f t="shared" si="241"/>
        <v>1.6202243558389728E-2</v>
      </c>
      <c r="AN336" s="4">
        <f t="shared" si="241"/>
        <v>1.0922240564108399E-2</v>
      </c>
      <c r="AO336" s="4">
        <f t="shared" si="241"/>
        <v>7.3493212906090566E-3</v>
      </c>
      <c r="AP336" s="4">
        <f t="shared" si="241"/>
        <v>4.9390262185057265E-3</v>
      </c>
      <c r="AQ336" s="4">
        <f t="shared" si="241"/>
        <v>3.3164275492956197E-3</v>
      </c>
      <c r="AR336" s="4">
        <f t="shared" si="241"/>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41"/>
        <v>0.9867978615748374</v>
      </c>
      <c r="R337" s="4">
        <f t="shared" si="241"/>
        <v>0.98114509762858249</v>
      </c>
      <c r="S337" s="4">
        <f t="shared" si="241"/>
        <v>0.97311898315872036</v>
      </c>
      <c r="T337" s="4">
        <f t="shared" si="241"/>
        <v>0.96177484161592774</v>
      </c>
      <c r="U337" s="4">
        <f t="shared" si="241"/>
        <v>0.94584787155511363</v>
      </c>
      <c r="V337" s="4">
        <f t="shared" si="241"/>
        <v>0.92370360150141495</v>
      </c>
      <c r="W337" s="4">
        <f t="shared" si="241"/>
        <v>0.89334463567658451</v>
      </c>
      <c r="X337" s="4">
        <f t="shared" si="241"/>
        <v>0.85254543874327005</v>
      </c>
      <c r="Y337" s="4">
        <f t="shared" si="241"/>
        <v>0.79921300652623883</v>
      </c>
      <c r="Z337" s="4">
        <f t="shared" si="241"/>
        <v>0.73204982249993378</v>
      </c>
      <c r="AA337" s="4">
        <f t="shared" si="241"/>
        <v>0.65145592958786691</v>
      </c>
      <c r="AB337" s="4">
        <f t="shared" si="241"/>
        <v>0.56032247880849573</v>
      </c>
      <c r="AC337" s="4">
        <f t="shared" si="241"/>
        <v>0.46411326873185343</v>
      </c>
      <c r="AD337" s="4">
        <f t="shared" si="241"/>
        <v>0.36979727595523937</v>
      </c>
      <c r="AE337" s="4">
        <f t="shared" si="241"/>
        <v>0.28393948637231203</v>
      </c>
      <c r="AF337" s="4">
        <f t="shared" si="241"/>
        <v>0.21097259161117732</v>
      </c>
      <c r="AG337" s="4">
        <f t="shared" si="241"/>
        <v>0.15253917653798199</v>
      </c>
      <c r="AH337" s="4">
        <f t="shared" si="241"/>
        <v>0.10795188737709993</v>
      </c>
      <c r="AI337" s="4">
        <f t="shared" si="241"/>
        <v>7.5176653938091809E-2</v>
      </c>
      <c r="AJ337" s="4">
        <f t="shared" si="241"/>
        <v>5.1742836177502194E-2</v>
      </c>
      <c r="AK337" s="4">
        <f t="shared" si="241"/>
        <v>3.5319190625345942E-2</v>
      </c>
      <c r="AL337" s="4">
        <f t="shared" si="241"/>
        <v>2.3969442072658165E-2</v>
      </c>
      <c r="AM337" s="4">
        <f t="shared" si="241"/>
        <v>1.6202243558389728E-2</v>
      </c>
      <c r="AN337" s="4">
        <f t="shared" si="241"/>
        <v>1.0922240564108399E-2</v>
      </c>
      <c r="AO337" s="4">
        <f t="shared" si="241"/>
        <v>7.3493212906090566E-3</v>
      </c>
      <c r="AP337" s="4">
        <f t="shared" si="241"/>
        <v>4.9390262185057265E-3</v>
      </c>
      <c r="AQ337" s="4">
        <f t="shared" si="241"/>
        <v>3.3164275492956197E-3</v>
      </c>
      <c r="AR337" s="4">
        <f t="shared" si="241"/>
        <v>2.2256362146679809E-3</v>
      </c>
    </row>
    <row r="338" spans="1:44" x14ac:dyDescent="0.25">
      <c r="A338" s="24" t="s">
        <v>79</v>
      </c>
      <c r="B338" s="45">
        <f>'Parameter Input'!$L$178</f>
        <v>0.06</v>
      </c>
      <c r="C338" s="46">
        <f>'Parameter Input'!$M$178</f>
        <v>0.06</v>
      </c>
      <c r="D338" s="1" t="s">
        <v>57</v>
      </c>
      <c r="L338" s="54">
        <f>'Parameter Input'!$O$178</f>
        <v>12</v>
      </c>
      <c r="M338" s="37">
        <v>0</v>
      </c>
      <c r="N338" s="37">
        <v>1</v>
      </c>
      <c r="O338" s="37">
        <f>'Parameter Input'!$P$178</f>
        <v>0.9</v>
      </c>
      <c r="P338" s="55">
        <f>'Parameter Input'!$Q$178</f>
        <v>0.4</v>
      </c>
      <c r="Q338" s="4">
        <f t="shared" si="241"/>
        <v>0.9867978615748374</v>
      </c>
      <c r="R338" s="4">
        <f t="shared" si="241"/>
        <v>0.98114509762858249</v>
      </c>
      <c r="S338" s="4">
        <f t="shared" si="241"/>
        <v>0.97311898315872036</v>
      </c>
      <c r="T338" s="4">
        <f t="shared" si="241"/>
        <v>0.96177484161592774</v>
      </c>
      <c r="U338" s="4">
        <f t="shared" si="241"/>
        <v>0.94584787155511363</v>
      </c>
      <c r="V338" s="4">
        <f t="shared" si="241"/>
        <v>0.92370360150141495</v>
      </c>
      <c r="W338" s="4">
        <f t="shared" si="241"/>
        <v>0.89334463567658451</v>
      </c>
      <c r="X338" s="4">
        <f t="shared" si="241"/>
        <v>0.85254543874327005</v>
      </c>
      <c r="Y338" s="4">
        <f t="shared" si="241"/>
        <v>0.79921300652623883</v>
      </c>
      <c r="Z338" s="4">
        <f t="shared" si="241"/>
        <v>0.73204982249993378</v>
      </c>
      <c r="AA338" s="4">
        <f t="shared" si="241"/>
        <v>0.65145592958786691</v>
      </c>
      <c r="AB338" s="4">
        <f t="shared" si="241"/>
        <v>0.56032247880849573</v>
      </c>
      <c r="AC338" s="4">
        <f t="shared" si="241"/>
        <v>0.46411326873185343</v>
      </c>
      <c r="AD338" s="4">
        <f t="shared" si="241"/>
        <v>0.36979727595523937</v>
      </c>
      <c r="AE338" s="4">
        <f t="shared" si="241"/>
        <v>0.28393948637231203</v>
      </c>
      <c r="AF338" s="4">
        <f t="shared" si="241"/>
        <v>0.21097259161117732</v>
      </c>
      <c r="AG338" s="4">
        <f t="shared" si="241"/>
        <v>0.15253917653798199</v>
      </c>
      <c r="AH338" s="4">
        <f t="shared" si="241"/>
        <v>0.10795188737709993</v>
      </c>
      <c r="AI338" s="4">
        <f t="shared" si="241"/>
        <v>7.5176653938091809E-2</v>
      </c>
      <c r="AJ338" s="4">
        <f t="shared" si="241"/>
        <v>5.1742836177502194E-2</v>
      </c>
      <c r="AK338" s="4">
        <f t="shared" si="241"/>
        <v>3.5319190625345942E-2</v>
      </c>
      <c r="AL338" s="4">
        <f t="shared" si="241"/>
        <v>2.3969442072658165E-2</v>
      </c>
      <c r="AM338" s="4">
        <f t="shared" si="241"/>
        <v>1.6202243558389728E-2</v>
      </c>
      <c r="AN338" s="4">
        <f t="shared" si="241"/>
        <v>1.0922240564108399E-2</v>
      </c>
      <c r="AO338" s="4">
        <f t="shared" si="241"/>
        <v>7.3493212906090566E-3</v>
      </c>
      <c r="AP338" s="4">
        <f t="shared" si="241"/>
        <v>4.9390262185057265E-3</v>
      </c>
      <c r="AQ338" s="4">
        <f t="shared" si="241"/>
        <v>3.3164275492956197E-3</v>
      </c>
      <c r="AR338" s="4">
        <f t="shared" si="241"/>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41"/>
        <v>0.9867978615748374</v>
      </c>
      <c r="R339" s="4">
        <f t="shared" si="241"/>
        <v>0.98114509762858249</v>
      </c>
      <c r="S339" s="4">
        <f t="shared" si="241"/>
        <v>0.97311898315872036</v>
      </c>
      <c r="T339" s="4">
        <f t="shared" si="241"/>
        <v>0.96177484161592774</v>
      </c>
      <c r="U339" s="4">
        <f t="shared" si="241"/>
        <v>0.94584787155511363</v>
      </c>
      <c r="V339" s="4">
        <f t="shared" si="241"/>
        <v>0.92370360150141495</v>
      </c>
      <c r="W339" s="4">
        <f t="shared" si="241"/>
        <v>0.89334463567658451</v>
      </c>
      <c r="X339" s="4">
        <f t="shared" si="241"/>
        <v>0.85254543874327005</v>
      </c>
      <c r="Y339" s="4">
        <f t="shared" si="241"/>
        <v>0.79921300652623883</v>
      </c>
      <c r="Z339" s="4">
        <f t="shared" si="241"/>
        <v>0.73204982249993378</v>
      </c>
      <c r="AA339" s="4">
        <f t="shared" si="241"/>
        <v>0.65145592958786691</v>
      </c>
      <c r="AB339" s="4">
        <f t="shared" si="241"/>
        <v>0.56032247880849573</v>
      </c>
      <c r="AC339" s="4">
        <f t="shared" si="241"/>
        <v>0.46411326873185343</v>
      </c>
      <c r="AD339" s="4">
        <f t="shared" si="241"/>
        <v>0.36979727595523937</v>
      </c>
      <c r="AE339" s="4">
        <f t="shared" si="241"/>
        <v>0.28393948637231203</v>
      </c>
      <c r="AF339" s="4">
        <f t="shared" si="241"/>
        <v>0.21097259161117732</v>
      </c>
      <c r="AG339" s="4">
        <f t="shared" si="241"/>
        <v>0.15253917653798199</v>
      </c>
      <c r="AH339" s="4">
        <f t="shared" si="241"/>
        <v>0.10795188737709993</v>
      </c>
      <c r="AI339" s="4">
        <f t="shared" si="241"/>
        <v>7.5176653938091809E-2</v>
      </c>
      <c r="AJ339" s="4">
        <f t="shared" si="241"/>
        <v>5.1742836177502194E-2</v>
      </c>
      <c r="AK339" s="4">
        <f t="shared" si="241"/>
        <v>3.5319190625345942E-2</v>
      </c>
      <c r="AL339" s="4">
        <f t="shared" si="241"/>
        <v>2.3969442072658165E-2</v>
      </c>
      <c r="AM339" s="4">
        <f t="shared" si="241"/>
        <v>1.6202243558389728E-2</v>
      </c>
      <c r="AN339" s="4">
        <f t="shared" si="241"/>
        <v>1.0922240564108399E-2</v>
      </c>
      <c r="AO339" s="4">
        <f t="shared" si="241"/>
        <v>7.3493212906090566E-3</v>
      </c>
      <c r="AP339" s="4">
        <f t="shared" si="241"/>
        <v>4.9390262185057265E-3</v>
      </c>
      <c r="AQ339" s="4">
        <f t="shared" si="241"/>
        <v>3.3164275492956197E-3</v>
      </c>
      <c r="AR339" s="4">
        <f t="shared" si="241"/>
        <v>2.2256362146679809E-3</v>
      </c>
    </row>
    <row r="340" spans="1:44" x14ac:dyDescent="0.25">
      <c r="A340" s="24" t="s">
        <v>52</v>
      </c>
      <c r="B340" s="43">
        <f>'Parameter Input'!$L$174</f>
        <v>1300000</v>
      </c>
      <c r="C340" s="44">
        <f>'Parameter Input'!$M$174</f>
        <v>812500</v>
      </c>
      <c r="D340" s="1" t="s">
        <v>38</v>
      </c>
      <c r="L340" s="54">
        <f>'Parameter Input'!$O$174</f>
        <v>12</v>
      </c>
      <c r="M340" s="37">
        <v>0</v>
      </c>
      <c r="N340" s="37">
        <v>1</v>
      </c>
      <c r="O340" s="37">
        <f>'Parameter Input'!$P$174</f>
        <v>0.9</v>
      </c>
      <c r="P340" s="55">
        <f>'Parameter Input'!$Q$174</f>
        <v>0.4</v>
      </c>
      <c r="Q340" s="4">
        <f t="shared" si="241"/>
        <v>0.9867978615748374</v>
      </c>
      <c r="R340" s="4">
        <f t="shared" si="241"/>
        <v>0.98114509762858249</v>
      </c>
      <c r="S340" s="4">
        <f t="shared" si="241"/>
        <v>0.97311898315872036</v>
      </c>
      <c r="T340" s="4">
        <f t="shared" si="241"/>
        <v>0.96177484161592774</v>
      </c>
      <c r="U340" s="4">
        <f t="shared" si="241"/>
        <v>0.94584787155511363</v>
      </c>
      <c r="V340" s="4">
        <f t="shared" si="241"/>
        <v>0.92370360150141495</v>
      </c>
      <c r="W340" s="4">
        <f t="shared" si="241"/>
        <v>0.89334463567658451</v>
      </c>
      <c r="X340" s="4">
        <f t="shared" si="241"/>
        <v>0.85254543874327005</v>
      </c>
      <c r="Y340" s="4">
        <f t="shared" si="241"/>
        <v>0.79921300652623883</v>
      </c>
      <c r="Z340" s="4">
        <f t="shared" si="241"/>
        <v>0.73204982249993378</v>
      </c>
      <c r="AA340" s="4">
        <f t="shared" si="241"/>
        <v>0.65145592958786691</v>
      </c>
      <c r="AB340" s="4">
        <f t="shared" si="241"/>
        <v>0.56032247880849573</v>
      </c>
      <c r="AC340" s="4">
        <f t="shared" si="241"/>
        <v>0.46411326873185343</v>
      </c>
      <c r="AD340" s="4">
        <f t="shared" si="241"/>
        <v>0.36979727595523937</v>
      </c>
      <c r="AE340" s="4">
        <f t="shared" si="241"/>
        <v>0.28393948637231203</v>
      </c>
      <c r="AF340" s="4">
        <f t="shared" si="241"/>
        <v>0.21097259161117732</v>
      </c>
      <c r="AG340" s="4">
        <f t="shared" si="241"/>
        <v>0.15253917653798199</v>
      </c>
      <c r="AH340" s="4">
        <f t="shared" si="241"/>
        <v>0.10795188737709993</v>
      </c>
      <c r="AI340" s="4">
        <f t="shared" si="241"/>
        <v>7.5176653938091809E-2</v>
      </c>
      <c r="AJ340" s="4">
        <f t="shared" si="241"/>
        <v>5.1742836177502194E-2</v>
      </c>
      <c r="AK340" s="4">
        <f t="shared" si="241"/>
        <v>3.5319190625345942E-2</v>
      </c>
      <c r="AL340" s="4">
        <f t="shared" si="241"/>
        <v>2.3969442072658165E-2</v>
      </c>
      <c r="AM340" s="4">
        <f t="shared" si="241"/>
        <v>1.6202243558389728E-2</v>
      </c>
      <c r="AN340" s="4">
        <f t="shared" si="241"/>
        <v>1.0922240564108399E-2</v>
      </c>
      <c r="AO340" s="4">
        <f t="shared" si="241"/>
        <v>7.3493212906090566E-3</v>
      </c>
      <c r="AP340" s="4">
        <f t="shared" si="241"/>
        <v>4.9390262185057265E-3</v>
      </c>
      <c r="AQ340" s="4">
        <f t="shared" si="241"/>
        <v>3.3164275492956197E-3</v>
      </c>
      <c r="AR340" s="4">
        <f t="shared" si="241"/>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41"/>
        <v>0.9867978615748374</v>
      </c>
      <c r="R341" s="4">
        <f t="shared" si="241"/>
        <v>0.98114509762858249</v>
      </c>
      <c r="S341" s="4">
        <f t="shared" si="241"/>
        <v>0.97311898315872036</v>
      </c>
      <c r="T341" s="4">
        <f t="shared" si="241"/>
        <v>0.96177484161592774</v>
      </c>
      <c r="U341" s="4">
        <f t="shared" si="241"/>
        <v>0.94584787155511363</v>
      </c>
      <c r="V341" s="4">
        <f t="shared" si="241"/>
        <v>0.92370360150141495</v>
      </c>
      <c r="W341" s="4">
        <f t="shared" si="241"/>
        <v>0.89334463567658451</v>
      </c>
      <c r="X341" s="4">
        <f t="shared" si="241"/>
        <v>0.85254543874327005</v>
      </c>
      <c r="Y341" s="4">
        <f t="shared" si="241"/>
        <v>0.79921300652623883</v>
      </c>
      <c r="Z341" s="4">
        <f t="shared" si="241"/>
        <v>0.73204982249993378</v>
      </c>
      <c r="AA341" s="4">
        <f t="shared" si="241"/>
        <v>0.65145592958786691</v>
      </c>
      <c r="AB341" s="4">
        <f t="shared" si="241"/>
        <v>0.56032247880849573</v>
      </c>
      <c r="AC341" s="4">
        <f t="shared" si="241"/>
        <v>0.46411326873185343</v>
      </c>
      <c r="AD341" s="4">
        <f t="shared" si="241"/>
        <v>0.36979727595523937</v>
      </c>
      <c r="AE341" s="4">
        <f t="shared" si="241"/>
        <v>0.28393948637231203</v>
      </c>
      <c r="AF341" s="4">
        <f t="shared" si="241"/>
        <v>0.21097259161117732</v>
      </c>
      <c r="AG341" s="4">
        <f t="shared" si="241"/>
        <v>0.15253917653798199</v>
      </c>
      <c r="AH341" s="4">
        <f t="shared" si="241"/>
        <v>0.10795188737709993</v>
      </c>
      <c r="AI341" s="4">
        <f t="shared" si="241"/>
        <v>7.5176653938091809E-2</v>
      </c>
      <c r="AJ341" s="4">
        <f t="shared" si="241"/>
        <v>5.1742836177502194E-2</v>
      </c>
      <c r="AK341" s="4">
        <f t="shared" si="241"/>
        <v>3.5319190625345942E-2</v>
      </c>
      <c r="AL341" s="4">
        <f t="shared" si="241"/>
        <v>2.3969442072658165E-2</v>
      </c>
      <c r="AM341" s="4">
        <f t="shared" si="241"/>
        <v>1.6202243558389728E-2</v>
      </c>
      <c r="AN341" s="4">
        <f t="shared" si="241"/>
        <v>1.0922240564108399E-2</v>
      </c>
      <c r="AO341" s="4">
        <f t="shared" si="241"/>
        <v>7.3493212906090566E-3</v>
      </c>
      <c r="AP341" s="4">
        <f t="shared" si="241"/>
        <v>4.9390262185057265E-3</v>
      </c>
      <c r="AQ341" s="4">
        <f t="shared" si="241"/>
        <v>3.3164275492956197E-3</v>
      </c>
      <c r="AR341" s="4">
        <f t="shared" si="241"/>
        <v>2.2256362146679809E-3</v>
      </c>
    </row>
    <row r="342" spans="1:44" x14ac:dyDescent="0.25">
      <c r="A342" s="24" t="s">
        <v>59</v>
      </c>
      <c r="B342" s="47">
        <f>'Parameter Input'!$L$175</f>
        <v>33.590199999999996</v>
      </c>
      <c r="C342" s="48">
        <f>'Parameter Input'!$M$175</f>
        <v>33.590199999999996</v>
      </c>
      <c r="D342" s="1" t="s">
        <v>60</v>
      </c>
      <c r="L342" s="54">
        <f>'Parameter Input'!$O$175</f>
        <v>12</v>
      </c>
      <c r="M342" s="37">
        <v>0</v>
      </c>
      <c r="N342" s="37">
        <v>1</v>
      </c>
      <c r="O342" s="37">
        <f>'Parameter Input'!$P$175</f>
        <v>0.9</v>
      </c>
      <c r="P342" s="55">
        <f>'Parameter Input'!$Q$175</f>
        <v>0.4</v>
      </c>
      <c r="Q342" s="4">
        <f t="shared" si="241"/>
        <v>0.9867978615748374</v>
      </c>
      <c r="R342" s="4">
        <f t="shared" si="241"/>
        <v>0.98114509762858249</v>
      </c>
      <c r="S342" s="4">
        <f t="shared" si="241"/>
        <v>0.97311898315872036</v>
      </c>
      <c r="T342" s="4">
        <f t="shared" si="241"/>
        <v>0.96177484161592774</v>
      </c>
      <c r="U342" s="4">
        <f t="shared" si="241"/>
        <v>0.94584787155511363</v>
      </c>
      <c r="V342" s="4">
        <f t="shared" si="241"/>
        <v>0.92370360150141495</v>
      </c>
      <c r="W342" s="4">
        <f t="shared" si="241"/>
        <v>0.89334463567658451</v>
      </c>
      <c r="X342" s="4">
        <f t="shared" si="241"/>
        <v>0.85254543874327005</v>
      </c>
      <c r="Y342" s="4">
        <f t="shared" si="241"/>
        <v>0.79921300652623883</v>
      </c>
      <c r="Z342" s="4">
        <f t="shared" si="241"/>
        <v>0.73204982249993378</v>
      </c>
      <c r="AA342" s="4">
        <f t="shared" si="241"/>
        <v>0.65145592958786691</v>
      </c>
      <c r="AB342" s="4">
        <f t="shared" si="241"/>
        <v>0.56032247880849573</v>
      </c>
      <c r="AC342" s="4">
        <f t="shared" si="241"/>
        <v>0.46411326873185343</v>
      </c>
      <c r="AD342" s="4">
        <f t="shared" si="241"/>
        <v>0.36979727595523937</v>
      </c>
      <c r="AE342" s="4">
        <f t="shared" si="241"/>
        <v>0.28393948637231203</v>
      </c>
      <c r="AF342" s="4">
        <f t="shared" si="241"/>
        <v>0.21097259161117732</v>
      </c>
      <c r="AG342" s="4">
        <f t="shared" si="241"/>
        <v>0.15253917653798199</v>
      </c>
      <c r="AH342" s="4">
        <f t="shared" si="241"/>
        <v>0.10795188737709993</v>
      </c>
      <c r="AI342" s="4">
        <f t="shared" si="241"/>
        <v>7.5176653938091809E-2</v>
      </c>
      <c r="AJ342" s="4">
        <f t="shared" si="241"/>
        <v>5.1742836177502194E-2</v>
      </c>
      <c r="AK342" s="4">
        <f t="shared" si="241"/>
        <v>3.5319190625345942E-2</v>
      </c>
      <c r="AL342" s="4">
        <f t="shared" si="241"/>
        <v>2.3969442072658165E-2</v>
      </c>
      <c r="AM342" s="4">
        <f t="shared" si="241"/>
        <v>1.6202243558389728E-2</v>
      </c>
      <c r="AN342" s="4">
        <f t="shared" si="241"/>
        <v>1.0922240564108399E-2</v>
      </c>
      <c r="AO342" s="4">
        <f t="shared" si="241"/>
        <v>7.3493212906090566E-3</v>
      </c>
      <c r="AP342" s="4">
        <f t="shared" si="241"/>
        <v>4.9390262185057265E-3</v>
      </c>
      <c r="AQ342" s="4">
        <f t="shared" si="241"/>
        <v>3.3164275492956197E-3</v>
      </c>
      <c r="AR342" s="4">
        <f t="shared" si="241"/>
        <v>2.2256362146679809E-3</v>
      </c>
    </row>
    <row r="343" spans="1:44" x14ac:dyDescent="0.25">
      <c r="A343" s="24" t="s">
        <v>67</v>
      </c>
      <c r="B343" s="45">
        <f>'Parameter Input'!$L$176</f>
        <v>0.13371034051801745</v>
      </c>
      <c r="C343" s="46">
        <f>'Parameter Input'!$M$176</f>
        <v>8.7585019329602734E-2</v>
      </c>
      <c r="D343" s="1" t="s">
        <v>68</v>
      </c>
      <c r="L343" s="54">
        <f>'Parameter Input'!$O$176</f>
        <v>12</v>
      </c>
      <c r="M343" s="37">
        <v>0</v>
      </c>
      <c r="N343" s="37">
        <v>1</v>
      </c>
      <c r="O343" s="37">
        <f>'Parameter Input'!$P$176</f>
        <v>0.9</v>
      </c>
      <c r="P343" s="55">
        <f>'Parameter Input'!$Q$176</f>
        <v>0.4</v>
      </c>
      <c r="Q343" s="4">
        <f t="shared" si="241"/>
        <v>0.9867978615748374</v>
      </c>
      <c r="R343" s="4">
        <f t="shared" si="241"/>
        <v>0.98114509762858249</v>
      </c>
      <c r="S343" s="4">
        <f t="shared" si="241"/>
        <v>0.97311898315872036</v>
      </c>
      <c r="T343" s="4">
        <f t="shared" ref="T343:AI350" si="242">$N343+($M343-$N343)*((1/(1+EXP(-$P343*(T$9-$L343)))^$O343))</f>
        <v>0.96177484161592774</v>
      </c>
      <c r="U343" s="4">
        <f t="shared" si="242"/>
        <v>0.94584787155511363</v>
      </c>
      <c r="V343" s="4">
        <f t="shared" si="242"/>
        <v>0.92370360150141495</v>
      </c>
      <c r="W343" s="4">
        <f t="shared" si="242"/>
        <v>0.89334463567658451</v>
      </c>
      <c r="X343" s="4">
        <f t="shared" si="242"/>
        <v>0.85254543874327005</v>
      </c>
      <c r="Y343" s="4">
        <f t="shared" si="242"/>
        <v>0.79921300652623883</v>
      </c>
      <c r="Z343" s="4">
        <f t="shared" si="242"/>
        <v>0.73204982249993378</v>
      </c>
      <c r="AA343" s="4">
        <f t="shared" si="242"/>
        <v>0.65145592958786691</v>
      </c>
      <c r="AB343" s="4">
        <f t="shared" si="242"/>
        <v>0.56032247880849573</v>
      </c>
      <c r="AC343" s="4">
        <f t="shared" si="242"/>
        <v>0.46411326873185343</v>
      </c>
      <c r="AD343" s="4">
        <f t="shared" si="242"/>
        <v>0.36979727595523937</v>
      </c>
      <c r="AE343" s="4">
        <f t="shared" si="242"/>
        <v>0.28393948637231203</v>
      </c>
      <c r="AF343" s="4">
        <f t="shared" si="242"/>
        <v>0.21097259161117732</v>
      </c>
      <c r="AG343" s="4">
        <f t="shared" si="242"/>
        <v>0.15253917653798199</v>
      </c>
      <c r="AH343" s="4">
        <f t="shared" si="242"/>
        <v>0.10795188737709993</v>
      </c>
      <c r="AI343" s="4">
        <f t="shared" si="242"/>
        <v>7.5176653938091809E-2</v>
      </c>
      <c r="AJ343" s="4">
        <f t="shared" ref="AJ343:AR350" si="243">$N343+($M343-$N343)*((1/(1+EXP(-$P343*(AJ$9-$L343)))^$O343))</f>
        <v>5.1742836177502194E-2</v>
      </c>
      <c r="AK343" s="4">
        <f t="shared" si="243"/>
        <v>3.5319190625345942E-2</v>
      </c>
      <c r="AL343" s="4">
        <f t="shared" si="243"/>
        <v>2.3969442072658165E-2</v>
      </c>
      <c r="AM343" s="4">
        <f t="shared" si="243"/>
        <v>1.6202243558389728E-2</v>
      </c>
      <c r="AN343" s="4">
        <f t="shared" si="243"/>
        <v>1.0922240564108399E-2</v>
      </c>
      <c r="AO343" s="4">
        <f t="shared" si="243"/>
        <v>7.3493212906090566E-3</v>
      </c>
      <c r="AP343" s="4">
        <f t="shared" si="243"/>
        <v>4.9390262185057265E-3</v>
      </c>
      <c r="AQ343" s="4">
        <f t="shared" si="243"/>
        <v>3.3164275492956197E-3</v>
      </c>
      <c r="AR343" s="4">
        <f t="shared" si="243"/>
        <v>2.2256362146679809E-3</v>
      </c>
    </row>
    <row r="344" spans="1:44" x14ac:dyDescent="0.25">
      <c r="A344" s="24" t="s">
        <v>206</v>
      </c>
      <c r="B344" s="115">
        <f>'Parameter Input'!$L$179</f>
        <v>0</v>
      </c>
      <c r="C344" s="116">
        <f>'Parameter Input'!$M$179</f>
        <v>0</v>
      </c>
      <c r="D344" s="1" t="s">
        <v>76</v>
      </c>
      <c r="L344" s="54">
        <f>'Parameter Input'!$O$179</f>
        <v>17</v>
      </c>
      <c r="M344" s="37">
        <v>0</v>
      </c>
      <c r="N344" s="37">
        <v>1</v>
      </c>
      <c r="O344" s="37">
        <f>'Parameter Input'!$P$179</f>
        <v>0.9</v>
      </c>
      <c r="P344" s="55">
        <f>'Parameter Input'!$Q$179</f>
        <v>0.4</v>
      </c>
      <c r="Q344" s="4">
        <f t="shared" ref="Q344:AR344" si="244">$N344+($M344-$N344)*((1/(1+EXP(-$P344*(Q$9-$L344)))^$O344))</f>
        <v>0.99780374543478534</v>
      </c>
      <c r="R344" s="4">
        <f t="shared" si="244"/>
        <v>0.99685359315256394</v>
      </c>
      <c r="S344" s="4">
        <f t="shared" si="244"/>
        <v>0.99549347132349975</v>
      </c>
      <c r="T344" s="4">
        <f t="shared" si="244"/>
        <v>0.99354772139898062</v>
      </c>
      <c r="U344" s="4">
        <f t="shared" si="244"/>
        <v>0.99076681540580536</v>
      </c>
      <c r="V344" s="4">
        <f t="shared" si="244"/>
        <v>0.9867978615748374</v>
      </c>
      <c r="W344" s="4">
        <f t="shared" si="244"/>
        <v>0.98114509762858249</v>
      </c>
      <c r="X344" s="4">
        <f t="shared" si="244"/>
        <v>0.97311898315872036</v>
      </c>
      <c r="Y344" s="4">
        <f t="shared" si="244"/>
        <v>0.96177484161592774</v>
      </c>
      <c r="Z344" s="4">
        <f t="shared" si="244"/>
        <v>0.94584787155511363</v>
      </c>
      <c r="AA344" s="4">
        <f t="shared" si="244"/>
        <v>0.92370360150141495</v>
      </c>
      <c r="AB344" s="4">
        <f t="shared" si="244"/>
        <v>0.89334463567658451</v>
      </c>
      <c r="AC344" s="4">
        <f t="shared" si="244"/>
        <v>0.85254543874327005</v>
      </c>
      <c r="AD344" s="4">
        <f t="shared" si="244"/>
        <v>0.79921300652623883</v>
      </c>
      <c r="AE344" s="4">
        <f t="shared" si="244"/>
        <v>0.73204982249993378</v>
      </c>
      <c r="AF344" s="4">
        <f t="shared" si="244"/>
        <v>0.65145592958786691</v>
      </c>
      <c r="AG344" s="4">
        <f t="shared" si="244"/>
        <v>0.56032247880849573</v>
      </c>
      <c r="AH344" s="4">
        <f t="shared" si="244"/>
        <v>0.46411326873185343</v>
      </c>
      <c r="AI344" s="4">
        <f t="shared" si="244"/>
        <v>0.36979727595523937</v>
      </c>
      <c r="AJ344" s="4">
        <f t="shared" si="244"/>
        <v>0.28393948637231203</v>
      </c>
      <c r="AK344" s="4">
        <f t="shared" si="244"/>
        <v>0.21097259161117732</v>
      </c>
      <c r="AL344" s="4">
        <f t="shared" si="244"/>
        <v>0.15253917653798199</v>
      </c>
      <c r="AM344" s="4">
        <f t="shared" si="244"/>
        <v>0.10795188737709993</v>
      </c>
      <c r="AN344" s="4">
        <f t="shared" si="244"/>
        <v>7.5176653938091809E-2</v>
      </c>
      <c r="AO344" s="4">
        <f t="shared" si="244"/>
        <v>5.1742836177502194E-2</v>
      </c>
      <c r="AP344" s="4">
        <f t="shared" si="244"/>
        <v>3.5319190625345942E-2</v>
      </c>
      <c r="AQ344" s="4">
        <f t="shared" si="244"/>
        <v>2.3969442072658165E-2</v>
      </c>
      <c r="AR344" s="4">
        <f t="shared" si="244"/>
        <v>1.6202243558389728E-2</v>
      </c>
    </row>
    <row r="345" spans="1:44" x14ac:dyDescent="0.25">
      <c r="A345" s="24" t="s">
        <v>41</v>
      </c>
      <c r="B345" s="43">
        <f>'Parameter Input'!$L$173</f>
        <v>20</v>
      </c>
      <c r="C345" s="44">
        <f>'Parameter Input'!$M$173</f>
        <v>20</v>
      </c>
      <c r="D345" s="1" t="s">
        <v>42</v>
      </c>
      <c r="L345" s="54">
        <f>'Parameter Input'!$O$173</f>
        <v>12</v>
      </c>
      <c r="M345" s="37">
        <v>0</v>
      </c>
      <c r="N345" s="37">
        <v>1</v>
      </c>
      <c r="O345" s="37">
        <f>'Parameter Input'!$P$173</f>
        <v>0.9</v>
      </c>
      <c r="P345" s="55">
        <f>'Parameter Input'!$Q$173</f>
        <v>0.4</v>
      </c>
      <c r="Q345" s="4">
        <f t="shared" ref="Q345:AF350" si="245">$N345+($M345-$N345)*((1/(1+EXP(-$P345*(Q$9-$L345)))^$O345))</f>
        <v>0.9867978615748374</v>
      </c>
      <c r="R345" s="4">
        <f t="shared" si="245"/>
        <v>0.98114509762858249</v>
      </c>
      <c r="S345" s="4">
        <f t="shared" si="245"/>
        <v>0.97311898315872036</v>
      </c>
      <c r="T345" s="4">
        <f t="shared" si="245"/>
        <v>0.96177484161592774</v>
      </c>
      <c r="U345" s="4">
        <f t="shared" si="245"/>
        <v>0.94584787155511363</v>
      </c>
      <c r="V345" s="4">
        <f t="shared" si="245"/>
        <v>0.92370360150141495</v>
      </c>
      <c r="W345" s="4">
        <f t="shared" si="245"/>
        <v>0.89334463567658451</v>
      </c>
      <c r="X345" s="4">
        <f t="shared" si="245"/>
        <v>0.85254543874327005</v>
      </c>
      <c r="Y345" s="4">
        <f t="shared" si="245"/>
        <v>0.79921300652623883</v>
      </c>
      <c r="Z345" s="4">
        <f t="shared" si="245"/>
        <v>0.73204982249993378</v>
      </c>
      <c r="AA345" s="4">
        <f t="shared" si="245"/>
        <v>0.65145592958786691</v>
      </c>
      <c r="AB345" s="4">
        <f t="shared" si="245"/>
        <v>0.56032247880849573</v>
      </c>
      <c r="AC345" s="4">
        <f t="shared" si="245"/>
        <v>0.46411326873185343</v>
      </c>
      <c r="AD345" s="4">
        <f t="shared" si="245"/>
        <v>0.36979727595523937</v>
      </c>
      <c r="AE345" s="4">
        <f t="shared" si="245"/>
        <v>0.28393948637231203</v>
      </c>
      <c r="AF345" s="4">
        <f t="shared" si="245"/>
        <v>0.21097259161117732</v>
      </c>
      <c r="AG345" s="4">
        <f t="shared" si="242"/>
        <v>0.15253917653798199</v>
      </c>
      <c r="AH345" s="4">
        <f t="shared" si="242"/>
        <v>0.10795188737709993</v>
      </c>
      <c r="AI345" s="4">
        <f t="shared" si="242"/>
        <v>7.5176653938091809E-2</v>
      </c>
      <c r="AJ345" s="4">
        <f t="shared" si="243"/>
        <v>5.1742836177502194E-2</v>
      </c>
      <c r="AK345" s="4">
        <f t="shared" si="243"/>
        <v>3.5319190625345942E-2</v>
      </c>
      <c r="AL345" s="4">
        <f t="shared" si="243"/>
        <v>2.3969442072658165E-2</v>
      </c>
      <c r="AM345" s="4">
        <f t="shared" si="243"/>
        <v>1.6202243558389728E-2</v>
      </c>
      <c r="AN345" s="4">
        <f t="shared" si="243"/>
        <v>1.0922240564108399E-2</v>
      </c>
      <c r="AO345" s="4">
        <f t="shared" si="243"/>
        <v>7.3493212906090566E-3</v>
      </c>
      <c r="AP345" s="4">
        <f t="shared" si="243"/>
        <v>4.9390262185057265E-3</v>
      </c>
      <c r="AQ345" s="4">
        <f t="shared" si="243"/>
        <v>3.3164275492956197E-3</v>
      </c>
      <c r="AR345" s="4">
        <f t="shared" si="243"/>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45"/>
        <v>0.9867978615748374</v>
      </c>
      <c r="R346" s="4">
        <f t="shared" si="245"/>
        <v>0.98114509762858249</v>
      </c>
      <c r="S346" s="4">
        <f t="shared" si="245"/>
        <v>0.97311898315872036</v>
      </c>
      <c r="T346" s="4">
        <f t="shared" si="245"/>
        <v>0.96177484161592774</v>
      </c>
      <c r="U346" s="4">
        <f t="shared" si="245"/>
        <v>0.94584787155511363</v>
      </c>
      <c r="V346" s="4">
        <f t="shared" si="245"/>
        <v>0.92370360150141495</v>
      </c>
      <c r="W346" s="4">
        <f t="shared" si="245"/>
        <v>0.89334463567658451</v>
      </c>
      <c r="X346" s="4">
        <f t="shared" si="245"/>
        <v>0.85254543874327005</v>
      </c>
      <c r="Y346" s="4">
        <f t="shared" si="245"/>
        <v>0.79921300652623883</v>
      </c>
      <c r="Z346" s="4">
        <f t="shared" si="245"/>
        <v>0.73204982249993378</v>
      </c>
      <c r="AA346" s="4">
        <f t="shared" si="245"/>
        <v>0.65145592958786691</v>
      </c>
      <c r="AB346" s="4">
        <f t="shared" si="245"/>
        <v>0.56032247880849573</v>
      </c>
      <c r="AC346" s="4">
        <f t="shared" si="245"/>
        <v>0.46411326873185343</v>
      </c>
      <c r="AD346" s="4">
        <f t="shared" si="245"/>
        <v>0.36979727595523937</v>
      </c>
      <c r="AE346" s="4">
        <f t="shared" si="245"/>
        <v>0.28393948637231203</v>
      </c>
      <c r="AF346" s="4">
        <f t="shared" si="245"/>
        <v>0.21097259161117732</v>
      </c>
      <c r="AG346" s="4">
        <f t="shared" si="242"/>
        <v>0.15253917653798199</v>
      </c>
      <c r="AH346" s="4">
        <f t="shared" si="242"/>
        <v>0.10795188737709993</v>
      </c>
      <c r="AI346" s="4">
        <f t="shared" si="242"/>
        <v>7.5176653938091809E-2</v>
      </c>
      <c r="AJ346" s="4">
        <f t="shared" si="243"/>
        <v>5.1742836177502194E-2</v>
      </c>
      <c r="AK346" s="4">
        <f t="shared" si="243"/>
        <v>3.5319190625345942E-2</v>
      </c>
      <c r="AL346" s="4">
        <f t="shared" si="243"/>
        <v>2.3969442072658165E-2</v>
      </c>
      <c r="AM346" s="4">
        <f t="shared" si="243"/>
        <v>1.6202243558389728E-2</v>
      </c>
      <c r="AN346" s="4">
        <f t="shared" si="243"/>
        <v>1.0922240564108399E-2</v>
      </c>
      <c r="AO346" s="4">
        <f t="shared" si="243"/>
        <v>7.3493212906090566E-3</v>
      </c>
      <c r="AP346" s="4">
        <f t="shared" si="243"/>
        <v>4.9390262185057265E-3</v>
      </c>
      <c r="AQ346" s="4">
        <f t="shared" si="243"/>
        <v>3.3164275492956197E-3</v>
      </c>
      <c r="AR346" s="4">
        <f t="shared" si="243"/>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45"/>
        <v>0.9867978615748374</v>
      </c>
      <c r="R347" s="4">
        <f t="shared" si="245"/>
        <v>0.98114509762858249</v>
      </c>
      <c r="S347" s="4">
        <f t="shared" si="245"/>
        <v>0.97311898315872036</v>
      </c>
      <c r="T347" s="4">
        <f t="shared" si="245"/>
        <v>0.96177484161592774</v>
      </c>
      <c r="U347" s="4">
        <f t="shared" si="245"/>
        <v>0.94584787155511363</v>
      </c>
      <c r="V347" s="4">
        <f t="shared" si="245"/>
        <v>0.92370360150141495</v>
      </c>
      <c r="W347" s="4">
        <f t="shared" si="245"/>
        <v>0.89334463567658451</v>
      </c>
      <c r="X347" s="4">
        <f t="shared" si="245"/>
        <v>0.85254543874327005</v>
      </c>
      <c r="Y347" s="4">
        <f t="shared" si="245"/>
        <v>0.79921300652623883</v>
      </c>
      <c r="Z347" s="4">
        <f t="shared" si="245"/>
        <v>0.73204982249993378</v>
      </c>
      <c r="AA347" s="4">
        <f t="shared" si="245"/>
        <v>0.65145592958786691</v>
      </c>
      <c r="AB347" s="4">
        <f t="shared" si="245"/>
        <v>0.56032247880849573</v>
      </c>
      <c r="AC347" s="4">
        <f t="shared" si="245"/>
        <v>0.46411326873185343</v>
      </c>
      <c r="AD347" s="4">
        <f t="shared" si="245"/>
        <v>0.36979727595523937</v>
      </c>
      <c r="AE347" s="4">
        <f t="shared" si="245"/>
        <v>0.28393948637231203</v>
      </c>
      <c r="AF347" s="4">
        <f t="shared" si="245"/>
        <v>0.21097259161117732</v>
      </c>
      <c r="AG347" s="4">
        <f t="shared" si="242"/>
        <v>0.15253917653798199</v>
      </c>
      <c r="AH347" s="4">
        <f t="shared" si="242"/>
        <v>0.10795188737709993</v>
      </c>
      <c r="AI347" s="4">
        <f t="shared" si="242"/>
        <v>7.5176653938091809E-2</v>
      </c>
      <c r="AJ347" s="4">
        <f t="shared" si="243"/>
        <v>5.1742836177502194E-2</v>
      </c>
      <c r="AK347" s="4">
        <f t="shared" si="243"/>
        <v>3.5319190625345942E-2</v>
      </c>
      <c r="AL347" s="4">
        <f t="shared" si="243"/>
        <v>2.3969442072658165E-2</v>
      </c>
      <c r="AM347" s="4">
        <f t="shared" si="243"/>
        <v>1.6202243558389728E-2</v>
      </c>
      <c r="AN347" s="4">
        <f t="shared" si="243"/>
        <v>1.0922240564108399E-2</v>
      </c>
      <c r="AO347" s="4">
        <f t="shared" si="243"/>
        <v>7.3493212906090566E-3</v>
      </c>
      <c r="AP347" s="4">
        <f t="shared" si="243"/>
        <v>4.9390262185057265E-3</v>
      </c>
      <c r="AQ347" s="4">
        <f t="shared" si="243"/>
        <v>3.3164275492956197E-3</v>
      </c>
      <c r="AR347" s="4">
        <f t="shared" si="243"/>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45"/>
        <v>0.9867978615748374</v>
      </c>
      <c r="R348" s="4">
        <f t="shared" si="245"/>
        <v>0.98114509762858249</v>
      </c>
      <c r="S348" s="4">
        <f t="shared" si="245"/>
        <v>0.97311898315872036</v>
      </c>
      <c r="T348" s="4">
        <f t="shared" si="245"/>
        <v>0.96177484161592774</v>
      </c>
      <c r="U348" s="4">
        <f t="shared" si="245"/>
        <v>0.94584787155511363</v>
      </c>
      <c r="V348" s="4">
        <f t="shared" si="245"/>
        <v>0.92370360150141495</v>
      </c>
      <c r="W348" s="4">
        <f t="shared" si="245"/>
        <v>0.89334463567658451</v>
      </c>
      <c r="X348" s="4">
        <f t="shared" si="245"/>
        <v>0.85254543874327005</v>
      </c>
      <c r="Y348" s="4">
        <f t="shared" si="245"/>
        <v>0.79921300652623883</v>
      </c>
      <c r="Z348" s="4">
        <f t="shared" si="245"/>
        <v>0.73204982249993378</v>
      </c>
      <c r="AA348" s="4">
        <f t="shared" si="245"/>
        <v>0.65145592958786691</v>
      </c>
      <c r="AB348" s="4">
        <f t="shared" si="245"/>
        <v>0.56032247880849573</v>
      </c>
      <c r="AC348" s="4">
        <f t="shared" si="245"/>
        <v>0.46411326873185343</v>
      </c>
      <c r="AD348" s="4">
        <f t="shared" si="245"/>
        <v>0.36979727595523937</v>
      </c>
      <c r="AE348" s="4">
        <f t="shared" si="245"/>
        <v>0.28393948637231203</v>
      </c>
      <c r="AF348" s="4">
        <f t="shared" si="245"/>
        <v>0.21097259161117732</v>
      </c>
      <c r="AG348" s="4">
        <f t="shared" si="242"/>
        <v>0.15253917653798199</v>
      </c>
      <c r="AH348" s="4">
        <f t="shared" si="242"/>
        <v>0.10795188737709993</v>
      </c>
      <c r="AI348" s="4">
        <f t="shared" si="242"/>
        <v>7.5176653938091809E-2</v>
      </c>
      <c r="AJ348" s="4">
        <f t="shared" si="243"/>
        <v>5.1742836177502194E-2</v>
      </c>
      <c r="AK348" s="4">
        <f t="shared" si="243"/>
        <v>3.5319190625345942E-2</v>
      </c>
      <c r="AL348" s="4">
        <f t="shared" si="243"/>
        <v>2.3969442072658165E-2</v>
      </c>
      <c r="AM348" s="4">
        <f t="shared" si="243"/>
        <v>1.6202243558389728E-2</v>
      </c>
      <c r="AN348" s="4">
        <f t="shared" si="243"/>
        <v>1.0922240564108399E-2</v>
      </c>
      <c r="AO348" s="4">
        <f t="shared" si="243"/>
        <v>7.3493212906090566E-3</v>
      </c>
      <c r="AP348" s="4">
        <f t="shared" si="243"/>
        <v>4.9390262185057265E-3</v>
      </c>
      <c r="AQ348" s="4">
        <f t="shared" si="243"/>
        <v>3.3164275492956197E-3</v>
      </c>
      <c r="AR348" s="4">
        <f t="shared" si="243"/>
        <v>2.2256362146679809E-3</v>
      </c>
    </row>
    <row r="349" spans="1:44" x14ac:dyDescent="0.25">
      <c r="A349" s="24" t="s">
        <v>73</v>
      </c>
      <c r="B349" s="72">
        <f>'Parameter Input'!$L$177</f>
        <v>3.5714285714285712E-2</v>
      </c>
      <c r="C349" s="73">
        <f>'Parameter Input'!$M$177</f>
        <v>1.7857142857142856E-2</v>
      </c>
      <c r="D349" s="1" t="s">
        <v>57</v>
      </c>
      <c r="L349" s="54">
        <f>'Parameter Input'!$O$177</f>
        <v>12</v>
      </c>
      <c r="M349" s="37">
        <v>0</v>
      </c>
      <c r="N349" s="37">
        <v>1</v>
      </c>
      <c r="O349" s="37">
        <f>'Parameter Input'!$P$177</f>
        <v>0.9</v>
      </c>
      <c r="P349" s="55">
        <f>'Parameter Input'!$Q$177</f>
        <v>0.4</v>
      </c>
      <c r="Q349" s="4">
        <f t="shared" si="245"/>
        <v>0.9867978615748374</v>
      </c>
      <c r="R349" s="4">
        <f t="shared" si="245"/>
        <v>0.98114509762858249</v>
      </c>
      <c r="S349" s="4">
        <f t="shared" si="245"/>
        <v>0.97311898315872036</v>
      </c>
      <c r="T349" s="4">
        <f t="shared" si="245"/>
        <v>0.96177484161592774</v>
      </c>
      <c r="U349" s="4">
        <f t="shared" si="245"/>
        <v>0.94584787155511363</v>
      </c>
      <c r="V349" s="4">
        <f t="shared" si="245"/>
        <v>0.92370360150141495</v>
      </c>
      <c r="W349" s="4">
        <f t="shared" si="245"/>
        <v>0.89334463567658451</v>
      </c>
      <c r="X349" s="4">
        <f t="shared" si="245"/>
        <v>0.85254543874327005</v>
      </c>
      <c r="Y349" s="4">
        <f t="shared" si="245"/>
        <v>0.79921300652623883</v>
      </c>
      <c r="Z349" s="4">
        <f t="shared" si="245"/>
        <v>0.73204982249993378</v>
      </c>
      <c r="AA349" s="4">
        <f t="shared" si="245"/>
        <v>0.65145592958786691</v>
      </c>
      <c r="AB349" s="4">
        <f t="shared" si="245"/>
        <v>0.56032247880849573</v>
      </c>
      <c r="AC349" s="4">
        <f t="shared" si="245"/>
        <v>0.46411326873185343</v>
      </c>
      <c r="AD349" s="4">
        <f t="shared" si="245"/>
        <v>0.36979727595523937</v>
      </c>
      <c r="AE349" s="4">
        <f t="shared" si="245"/>
        <v>0.28393948637231203</v>
      </c>
      <c r="AF349" s="4">
        <f t="shared" si="245"/>
        <v>0.21097259161117732</v>
      </c>
      <c r="AG349" s="4">
        <f t="shared" si="242"/>
        <v>0.15253917653798199</v>
      </c>
      <c r="AH349" s="4">
        <f t="shared" si="242"/>
        <v>0.10795188737709993</v>
      </c>
      <c r="AI349" s="4">
        <f t="shared" si="242"/>
        <v>7.5176653938091809E-2</v>
      </c>
      <c r="AJ349" s="4">
        <f t="shared" si="243"/>
        <v>5.1742836177502194E-2</v>
      </c>
      <c r="AK349" s="4">
        <f t="shared" si="243"/>
        <v>3.5319190625345942E-2</v>
      </c>
      <c r="AL349" s="4">
        <f t="shared" si="243"/>
        <v>2.3969442072658165E-2</v>
      </c>
      <c r="AM349" s="4">
        <f t="shared" si="243"/>
        <v>1.6202243558389728E-2</v>
      </c>
      <c r="AN349" s="4">
        <f t="shared" si="243"/>
        <v>1.0922240564108399E-2</v>
      </c>
      <c r="AO349" s="4">
        <f t="shared" si="243"/>
        <v>7.3493212906090566E-3</v>
      </c>
      <c r="AP349" s="4">
        <f t="shared" si="243"/>
        <v>4.9390262185057265E-3</v>
      </c>
      <c r="AQ349" s="4">
        <f t="shared" si="243"/>
        <v>3.3164275492956197E-3</v>
      </c>
      <c r="AR349" s="4">
        <f t="shared" si="243"/>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45"/>
        <v>0.9867978615748374</v>
      </c>
      <c r="R350" s="4">
        <f t="shared" si="245"/>
        <v>0.98114509762858249</v>
      </c>
      <c r="S350" s="4">
        <f t="shared" si="245"/>
        <v>0.97311898315872036</v>
      </c>
      <c r="T350" s="4">
        <f t="shared" si="245"/>
        <v>0.96177484161592774</v>
      </c>
      <c r="U350" s="4">
        <f t="shared" si="245"/>
        <v>0.94584787155511363</v>
      </c>
      <c r="V350" s="4">
        <f t="shared" si="245"/>
        <v>0.92370360150141495</v>
      </c>
      <c r="W350" s="4">
        <f t="shared" si="245"/>
        <v>0.89334463567658451</v>
      </c>
      <c r="X350" s="4">
        <f t="shared" si="245"/>
        <v>0.85254543874327005</v>
      </c>
      <c r="Y350" s="4">
        <f t="shared" si="245"/>
        <v>0.79921300652623883</v>
      </c>
      <c r="Z350" s="4">
        <f t="shared" si="245"/>
        <v>0.73204982249993378</v>
      </c>
      <c r="AA350" s="4">
        <f t="shared" si="245"/>
        <v>0.65145592958786691</v>
      </c>
      <c r="AB350" s="4">
        <f t="shared" si="245"/>
        <v>0.56032247880849573</v>
      </c>
      <c r="AC350" s="4">
        <f t="shared" si="245"/>
        <v>0.46411326873185343</v>
      </c>
      <c r="AD350" s="4">
        <f t="shared" si="245"/>
        <v>0.36979727595523937</v>
      </c>
      <c r="AE350" s="4">
        <f t="shared" si="245"/>
        <v>0.28393948637231203</v>
      </c>
      <c r="AF350" s="4">
        <f t="shared" si="245"/>
        <v>0.21097259161117732</v>
      </c>
      <c r="AG350" s="4">
        <f t="shared" si="242"/>
        <v>0.15253917653798199</v>
      </c>
      <c r="AH350" s="4">
        <f t="shared" si="242"/>
        <v>0.10795188737709993</v>
      </c>
      <c r="AI350" s="4">
        <f t="shared" si="242"/>
        <v>7.5176653938091809E-2</v>
      </c>
      <c r="AJ350" s="4">
        <f t="shared" si="243"/>
        <v>5.1742836177502194E-2</v>
      </c>
      <c r="AK350" s="4">
        <f t="shared" si="243"/>
        <v>3.5319190625345942E-2</v>
      </c>
      <c r="AL350" s="4">
        <f t="shared" si="243"/>
        <v>2.3969442072658165E-2</v>
      </c>
      <c r="AM350" s="4">
        <f t="shared" si="243"/>
        <v>1.6202243558389728E-2</v>
      </c>
      <c r="AN350" s="4">
        <f t="shared" si="243"/>
        <v>1.0922240564108399E-2</v>
      </c>
      <c r="AO350" s="4">
        <f t="shared" si="243"/>
        <v>7.3493212906090566E-3</v>
      </c>
      <c r="AP350" s="4">
        <f t="shared" si="243"/>
        <v>4.9390262185057265E-3</v>
      </c>
      <c r="AQ350" s="4">
        <f t="shared" si="243"/>
        <v>3.3164275492956197E-3</v>
      </c>
      <c r="AR350" s="4">
        <f t="shared" si="243"/>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6">A334</f>
        <v>Capex vehicle</v>
      </c>
      <c r="B354" s="62">
        <f t="shared" ref="B354:B362" si="247">$B334+($C334-$B334)*(1-Q334)</f>
        <v>9950491.9809056409</v>
      </c>
      <c r="C354" s="62">
        <f t="shared" ref="C354:C362" si="248">$B334+($C334-$B334)*(1-R334)</f>
        <v>9929294.1161071844</v>
      </c>
      <c r="D354" s="62">
        <f t="shared" ref="D354:D362" si="249">$B334+($C334-$B334)*(1-S334)</f>
        <v>9899196.186845202</v>
      </c>
      <c r="E354" s="62">
        <f t="shared" ref="E354:E362" si="250">$B334+($C334-$B334)*(1-T334)</f>
        <v>9856655.6560597289</v>
      </c>
      <c r="F354" s="62">
        <f t="shared" ref="F354:F362" si="251">$B334+($C334-$B334)*(1-U334)</f>
        <v>9796929.5183316767</v>
      </c>
      <c r="G354" s="62">
        <f t="shared" ref="G354:G362" si="252">$B334+($C334-$B334)*(1-V334)</f>
        <v>9713888.5056303069</v>
      </c>
      <c r="H354" s="62">
        <f t="shared" ref="H354:H362" si="253">$B334+($C334-$B334)*(1-W334)</f>
        <v>9600042.3837871924</v>
      </c>
      <c r="I354" s="62">
        <f t="shared" ref="I354:I362" si="254">$B334+($C334-$B334)*(1-X334)</f>
        <v>9447045.3952872623</v>
      </c>
      <c r="J354" s="62">
        <f t="shared" ref="J354:J362" si="255">$B334+($C334-$B334)*(1-Y334)</f>
        <v>9247048.7744733952</v>
      </c>
      <c r="K354" s="62">
        <f t="shared" ref="K354:K362" si="256">$B334+($C334-$B334)*(1-Z334)</f>
        <v>8995186.8343747519</v>
      </c>
      <c r="L354" s="62">
        <f t="shared" ref="L354:L362" si="257">$B334+($C334-$B334)*(1-AA334)</f>
        <v>8692959.7359545007</v>
      </c>
      <c r="M354" s="62">
        <f t="shared" ref="M354:M362" si="258">$B334+($C334-$B334)*(1-AB334)</f>
        <v>8351209.2955318587</v>
      </c>
      <c r="N354" s="62">
        <f t="shared" ref="N354:N362" si="259">$B334+($C334-$B334)*(1-AC334)</f>
        <v>7990424.7577444501</v>
      </c>
      <c r="O354" s="62">
        <f t="shared" ref="O354:O362" si="260">$B334+($C334-$B334)*(1-AD334)</f>
        <v>7636739.7848321479</v>
      </c>
      <c r="P354" s="62">
        <f t="shared" ref="P354:P362" si="261">$B334+($C334-$B334)*(1-AE334)</f>
        <v>7314773.0738961697</v>
      </c>
      <c r="Q354" s="62">
        <f t="shared" ref="Q354:Q362" si="262">$B334+($C334-$B334)*(1-AF334)</f>
        <v>7041147.2185419146</v>
      </c>
      <c r="R354" s="62">
        <f t="shared" ref="R354:R362" si="263">$B334+($C334-$B334)*(1-AG334)</f>
        <v>6822021.912017433</v>
      </c>
      <c r="S354" s="62">
        <f t="shared" ref="S354:S362" si="264">$B334+($C334-$B334)*(1-AH334)</f>
        <v>6654819.5776641248</v>
      </c>
      <c r="T354" s="62">
        <f t="shared" ref="T354:T362" si="265">$B334+($C334-$B334)*(1-AI334)</f>
        <v>6531912.4522678442</v>
      </c>
      <c r="U354" s="62">
        <f t="shared" ref="U354:U362" si="266">$B334+($C334-$B334)*(1-AJ334)</f>
        <v>6444035.6356656328</v>
      </c>
      <c r="V354" s="62">
        <f t="shared" ref="V354:V362" si="267">$B334+($C334-$B334)*(1-AK334)</f>
        <v>6382446.9648450473</v>
      </c>
      <c r="W354" s="62">
        <f t="shared" ref="W354:W362" si="268">$B334+($C334-$B334)*(1-AL334)</f>
        <v>6339885.4077724684</v>
      </c>
      <c r="X354" s="62">
        <f t="shared" ref="X354:X362" si="269">$B334+($C334-$B334)*(1-AM334)</f>
        <v>6310758.4133439614</v>
      </c>
      <c r="Y354" s="62">
        <f t="shared" ref="Y354:Y362" si="270">$B334+($C334-$B334)*(1-AN334)</f>
        <v>6290958.4021154065</v>
      </c>
      <c r="Z354" s="62">
        <f t="shared" ref="Z354:Z362" si="271">$B334+($C334-$B334)*(1-AO334)</f>
        <v>6277559.9548397847</v>
      </c>
      <c r="AA354" s="62">
        <f t="shared" ref="AA354:AA362" si="272">$B334+($C334-$B334)*(1-AP334)</f>
        <v>6268521.3483193964</v>
      </c>
      <c r="AB354" s="62">
        <f t="shared" ref="AB354:AB362" si="273">$B334+($C334-$B334)*(1-AQ334)</f>
        <v>6262436.6033098586</v>
      </c>
      <c r="AC354" s="62">
        <f t="shared" ref="AC354:AC362" si="274">$B334+($C334-$B334)*(1-AR334)</f>
        <v>6258346.1358050052</v>
      </c>
    </row>
    <row r="355" spans="1:29" x14ac:dyDescent="0.25">
      <c r="A355" s="30" t="str">
        <f t="shared" si="246"/>
        <v>Residual value (vehicle)</v>
      </c>
      <c r="B355" s="62">
        <f t="shared" si="247"/>
        <v>-505775.93556100863</v>
      </c>
      <c r="C355" s="62">
        <f t="shared" si="248"/>
        <v>-508249.01978749514</v>
      </c>
      <c r="D355" s="62">
        <f t="shared" si="249"/>
        <v>-511760.44486805983</v>
      </c>
      <c r="E355" s="62">
        <f t="shared" si="250"/>
        <v>-516723.50679303159</v>
      </c>
      <c r="F355" s="62">
        <f t="shared" si="251"/>
        <v>-523691.55619463779</v>
      </c>
      <c r="G355" s="62">
        <f t="shared" si="252"/>
        <v>-533379.67434313102</v>
      </c>
      <c r="H355" s="62">
        <f t="shared" si="253"/>
        <v>-546661.72189149424</v>
      </c>
      <c r="I355" s="62">
        <f t="shared" si="254"/>
        <v>-564511.37054981932</v>
      </c>
      <c r="J355" s="62">
        <f t="shared" si="255"/>
        <v>-587844.30964477046</v>
      </c>
      <c r="K355" s="62">
        <f t="shared" si="256"/>
        <v>-617228.20265627897</v>
      </c>
      <c r="L355" s="62">
        <f t="shared" si="257"/>
        <v>-652488.03080530826</v>
      </c>
      <c r="M355" s="62">
        <f t="shared" si="258"/>
        <v>-692358.91552128317</v>
      </c>
      <c r="N355" s="62">
        <f t="shared" si="259"/>
        <v>-734450.44492981408</v>
      </c>
      <c r="O355" s="62">
        <f t="shared" si="260"/>
        <v>-775713.6917695828</v>
      </c>
      <c r="P355" s="62">
        <f t="shared" si="261"/>
        <v>-813276.4747121135</v>
      </c>
      <c r="Q355" s="62">
        <f t="shared" si="262"/>
        <v>-845199.49117010995</v>
      </c>
      <c r="R355" s="62">
        <f t="shared" si="263"/>
        <v>-870764.11026463285</v>
      </c>
      <c r="S355" s="62">
        <f t="shared" si="264"/>
        <v>-890271.04927251884</v>
      </c>
      <c r="T355" s="62">
        <f t="shared" si="265"/>
        <v>-904610.21390208486</v>
      </c>
      <c r="U355" s="62">
        <f t="shared" si="266"/>
        <v>-914862.50917234272</v>
      </c>
      <c r="V355" s="62">
        <f t="shared" si="267"/>
        <v>-922047.85410141107</v>
      </c>
      <c r="W355" s="62">
        <f t="shared" si="268"/>
        <v>-927013.36909321207</v>
      </c>
      <c r="X355" s="62">
        <f t="shared" si="269"/>
        <v>-930411.51844320446</v>
      </c>
      <c r="Y355" s="62">
        <f t="shared" si="270"/>
        <v>-932721.51975320256</v>
      </c>
      <c r="Z355" s="62">
        <f t="shared" si="271"/>
        <v>-934284.67193535855</v>
      </c>
      <c r="AA355" s="62">
        <f t="shared" si="272"/>
        <v>-935339.17602940369</v>
      </c>
      <c r="AB355" s="62">
        <f t="shared" si="273"/>
        <v>-936049.06294718315</v>
      </c>
      <c r="AC355" s="62">
        <f t="shared" si="274"/>
        <v>-936526.28415608278</v>
      </c>
    </row>
    <row r="356" spans="1:29" x14ac:dyDescent="0.25">
      <c r="A356" s="30" t="str">
        <f t="shared" si="246"/>
        <v>Capex costumization</v>
      </c>
      <c r="B356" s="62">
        <f t="shared" si="247"/>
        <v>4200000</v>
      </c>
      <c r="C356" s="62">
        <f t="shared" si="248"/>
        <v>4200000</v>
      </c>
      <c r="D356" s="62">
        <f t="shared" si="249"/>
        <v>4200000</v>
      </c>
      <c r="E356" s="62">
        <f t="shared" si="250"/>
        <v>4200000</v>
      </c>
      <c r="F356" s="62">
        <f t="shared" si="251"/>
        <v>4200000</v>
      </c>
      <c r="G356" s="62">
        <f t="shared" si="252"/>
        <v>4200000</v>
      </c>
      <c r="H356" s="62">
        <f t="shared" si="253"/>
        <v>4200000</v>
      </c>
      <c r="I356" s="62">
        <f t="shared" si="254"/>
        <v>4200000</v>
      </c>
      <c r="J356" s="62">
        <f t="shared" si="255"/>
        <v>4200000</v>
      </c>
      <c r="K356" s="62">
        <f t="shared" si="256"/>
        <v>4200000</v>
      </c>
      <c r="L356" s="62">
        <f t="shared" si="257"/>
        <v>4200000</v>
      </c>
      <c r="M356" s="62">
        <f t="shared" si="258"/>
        <v>4200000</v>
      </c>
      <c r="N356" s="62">
        <f t="shared" si="259"/>
        <v>4200000</v>
      </c>
      <c r="O356" s="62">
        <f t="shared" si="260"/>
        <v>4200000</v>
      </c>
      <c r="P356" s="62">
        <f t="shared" si="261"/>
        <v>4200000</v>
      </c>
      <c r="Q356" s="62">
        <f t="shared" si="262"/>
        <v>4200000</v>
      </c>
      <c r="R356" s="62">
        <f t="shared" si="263"/>
        <v>4200000</v>
      </c>
      <c r="S356" s="62">
        <f t="shared" si="264"/>
        <v>4200000</v>
      </c>
      <c r="T356" s="62">
        <f t="shared" si="265"/>
        <v>4200000</v>
      </c>
      <c r="U356" s="62">
        <f t="shared" si="266"/>
        <v>4200000</v>
      </c>
      <c r="V356" s="62">
        <f t="shared" si="267"/>
        <v>4200000</v>
      </c>
      <c r="W356" s="62">
        <f t="shared" si="268"/>
        <v>4200000</v>
      </c>
      <c r="X356" s="62">
        <f t="shared" si="269"/>
        <v>4200000</v>
      </c>
      <c r="Y356" s="62">
        <f t="shared" si="270"/>
        <v>4200000</v>
      </c>
      <c r="Z356" s="62">
        <f t="shared" si="271"/>
        <v>4200000</v>
      </c>
      <c r="AA356" s="62">
        <f t="shared" si="272"/>
        <v>4200000</v>
      </c>
      <c r="AB356" s="62">
        <f t="shared" si="273"/>
        <v>4200000</v>
      </c>
      <c r="AC356" s="62">
        <f t="shared" si="274"/>
        <v>4200000</v>
      </c>
    </row>
    <row r="357" spans="1:29" x14ac:dyDescent="0.25">
      <c r="A357" s="30" t="str">
        <f t="shared" si="246"/>
        <v>Residual value (costumization)</v>
      </c>
      <c r="B357" s="62">
        <f t="shared" si="247"/>
        <v>-210000</v>
      </c>
      <c r="C357" s="62">
        <f t="shared" si="248"/>
        <v>-210000</v>
      </c>
      <c r="D357" s="62">
        <f t="shared" si="249"/>
        <v>-210000</v>
      </c>
      <c r="E357" s="62">
        <f t="shared" si="250"/>
        <v>-210000</v>
      </c>
      <c r="F357" s="62">
        <f t="shared" si="251"/>
        <v>-210000</v>
      </c>
      <c r="G357" s="62">
        <f t="shared" si="252"/>
        <v>-210000</v>
      </c>
      <c r="H357" s="62">
        <f t="shared" si="253"/>
        <v>-210000</v>
      </c>
      <c r="I357" s="62">
        <f t="shared" si="254"/>
        <v>-210000</v>
      </c>
      <c r="J357" s="62">
        <f t="shared" si="255"/>
        <v>-210000</v>
      </c>
      <c r="K357" s="62">
        <f t="shared" si="256"/>
        <v>-210000</v>
      </c>
      <c r="L357" s="62">
        <f t="shared" si="257"/>
        <v>-210000</v>
      </c>
      <c r="M357" s="62">
        <f t="shared" si="258"/>
        <v>-210000</v>
      </c>
      <c r="N357" s="62">
        <f t="shared" si="259"/>
        <v>-210000</v>
      </c>
      <c r="O357" s="62">
        <f t="shared" si="260"/>
        <v>-210000</v>
      </c>
      <c r="P357" s="62">
        <f t="shared" si="261"/>
        <v>-210000</v>
      </c>
      <c r="Q357" s="62">
        <f t="shared" si="262"/>
        <v>-210000</v>
      </c>
      <c r="R357" s="62">
        <f t="shared" si="263"/>
        <v>-210000</v>
      </c>
      <c r="S357" s="62">
        <f t="shared" si="264"/>
        <v>-210000</v>
      </c>
      <c r="T357" s="62">
        <f t="shared" si="265"/>
        <v>-210000</v>
      </c>
      <c r="U357" s="62">
        <f t="shared" si="266"/>
        <v>-210000</v>
      </c>
      <c r="V357" s="62">
        <f t="shared" si="267"/>
        <v>-210000</v>
      </c>
      <c r="W357" s="62">
        <f t="shared" si="268"/>
        <v>-210000</v>
      </c>
      <c r="X357" s="62">
        <f t="shared" si="269"/>
        <v>-210000</v>
      </c>
      <c r="Y357" s="62">
        <f t="shared" si="270"/>
        <v>-210000</v>
      </c>
      <c r="Z357" s="62">
        <f t="shared" si="271"/>
        <v>-210000</v>
      </c>
      <c r="AA357" s="62">
        <f t="shared" si="272"/>
        <v>-210000</v>
      </c>
      <c r="AB357" s="62">
        <f t="shared" si="273"/>
        <v>-210000</v>
      </c>
      <c r="AC357" s="62">
        <f t="shared" si="274"/>
        <v>-210000</v>
      </c>
    </row>
    <row r="358" spans="1:29" x14ac:dyDescent="0.25">
      <c r="A358" s="30" t="str">
        <f t="shared" si="246"/>
        <v>WACC</v>
      </c>
      <c r="B358" s="62">
        <f t="shared" si="247"/>
        <v>0.06</v>
      </c>
      <c r="C358" s="62">
        <f t="shared" si="248"/>
        <v>0.06</v>
      </c>
      <c r="D358" s="62">
        <f t="shared" si="249"/>
        <v>0.06</v>
      </c>
      <c r="E358" s="62">
        <f t="shared" si="250"/>
        <v>0.06</v>
      </c>
      <c r="F358" s="62">
        <f t="shared" si="251"/>
        <v>0.06</v>
      </c>
      <c r="G358" s="62">
        <f t="shared" si="252"/>
        <v>0.06</v>
      </c>
      <c r="H358" s="62">
        <f t="shared" si="253"/>
        <v>0.06</v>
      </c>
      <c r="I358" s="62">
        <f t="shared" si="254"/>
        <v>0.06</v>
      </c>
      <c r="J358" s="62">
        <f t="shared" si="255"/>
        <v>0.06</v>
      </c>
      <c r="K358" s="62">
        <f t="shared" si="256"/>
        <v>0.06</v>
      </c>
      <c r="L358" s="62">
        <f t="shared" si="257"/>
        <v>0.06</v>
      </c>
      <c r="M358" s="62">
        <f t="shared" si="258"/>
        <v>0.06</v>
      </c>
      <c r="N358" s="62">
        <f t="shared" si="259"/>
        <v>0.06</v>
      </c>
      <c r="O358" s="62">
        <f t="shared" si="260"/>
        <v>0.06</v>
      </c>
      <c r="P358" s="62">
        <f t="shared" si="261"/>
        <v>0.06</v>
      </c>
      <c r="Q358" s="62">
        <f t="shared" si="262"/>
        <v>0.06</v>
      </c>
      <c r="R358" s="62">
        <f t="shared" si="263"/>
        <v>0.06</v>
      </c>
      <c r="S358" s="62">
        <f t="shared" si="264"/>
        <v>0.06</v>
      </c>
      <c r="T358" s="62">
        <f t="shared" si="265"/>
        <v>0.06</v>
      </c>
      <c r="U358" s="62">
        <f t="shared" si="266"/>
        <v>0.06</v>
      </c>
      <c r="V358" s="62">
        <f t="shared" si="267"/>
        <v>0.06</v>
      </c>
      <c r="W358" s="62">
        <f t="shared" si="268"/>
        <v>0.06</v>
      </c>
      <c r="X358" s="62">
        <f t="shared" si="269"/>
        <v>0.06</v>
      </c>
      <c r="Y358" s="62">
        <f t="shared" si="270"/>
        <v>0.06</v>
      </c>
      <c r="Z358" s="62">
        <f t="shared" si="271"/>
        <v>0.06</v>
      </c>
      <c r="AA358" s="62">
        <f t="shared" si="272"/>
        <v>0.06</v>
      </c>
      <c r="AB358" s="62">
        <f t="shared" si="273"/>
        <v>0.06</v>
      </c>
      <c r="AC358" s="62">
        <f t="shared" si="274"/>
        <v>0.06</v>
      </c>
    </row>
    <row r="359" spans="1:29" x14ac:dyDescent="0.25">
      <c r="A359" s="30" t="str">
        <f t="shared" si="246"/>
        <v>Opex fix (admin, crew, insurance)</v>
      </c>
      <c r="B359" s="62">
        <f t="shared" si="247"/>
        <v>1450000</v>
      </c>
      <c r="C359" s="62">
        <f t="shared" si="248"/>
        <v>1450000</v>
      </c>
      <c r="D359" s="62">
        <f t="shared" si="249"/>
        <v>1450000</v>
      </c>
      <c r="E359" s="62">
        <f t="shared" si="250"/>
        <v>1450000</v>
      </c>
      <c r="F359" s="62">
        <f t="shared" si="251"/>
        <v>1450000</v>
      </c>
      <c r="G359" s="62">
        <f t="shared" si="252"/>
        <v>1450000</v>
      </c>
      <c r="H359" s="62">
        <f t="shared" si="253"/>
        <v>1450000</v>
      </c>
      <c r="I359" s="62">
        <f t="shared" si="254"/>
        <v>1450000</v>
      </c>
      <c r="J359" s="62">
        <f t="shared" si="255"/>
        <v>1450000</v>
      </c>
      <c r="K359" s="62">
        <f t="shared" si="256"/>
        <v>1450000</v>
      </c>
      <c r="L359" s="62">
        <f t="shared" si="257"/>
        <v>1450000</v>
      </c>
      <c r="M359" s="62">
        <f t="shared" si="258"/>
        <v>1450000</v>
      </c>
      <c r="N359" s="62">
        <f t="shared" si="259"/>
        <v>1450000</v>
      </c>
      <c r="O359" s="62">
        <f t="shared" si="260"/>
        <v>1450000</v>
      </c>
      <c r="P359" s="62">
        <f t="shared" si="261"/>
        <v>1450000</v>
      </c>
      <c r="Q359" s="62">
        <f t="shared" si="262"/>
        <v>1450000</v>
      </c>
      <c r="R359" s="62">
        <f t="shared" si="263"/>
        <v>1450000</v>
      </c>
      <c r="S359" s="62">
        <f t="shared" si="264"/>
        <v>1450000</v>
      </c>
      <c r="T359" s="62">
        <f t="shared" si="265"/>
        <v>1450000</v>
      </c>
      <c r="U359" s="62">
        <f t="shared" si="266"/>
        <v>1450000</v>
      </c>
      <c r="V359" s="62">
        <f t="shared" si="267"/>
        <v>1450000</v>
      </c>
      <c r="W359" s="62">
        <f t="shared" si="268"/>
        <v>1450000</v>
      </c>
      <c r="X359" s="62">
        <f t="shared" si="269"/>
        <v>1450000</v>
      </c>
      <c r="Y359" s="62">
        <f t="shared" si="270"/>
        <v>1450000</v>
      </c>
      <c r="Z359" s="62">
        <f t="shared" si="271"/>
        <v>1450000</v>
      </c>
      <c r="AA359" s="62">
        <f t="shared" si="272"/>
        <v>1450000</v>
      </c>
      <c r="AB359" s="62">
        <f t="shared" si="273"/>
        <v>1450000</v>
      </c>
      <c r="AC359" s="62">
        <f t="shared" si="274"/>
        <v>1450000</v>
      </c>
    </row>
    <row r="360" spans="1:29" x14ac:dyDescent="0.25">
      <c r="A360" s="30" t="str">
        <f t="shared" si="246"/>
        <v>Opex maintenance &amp; repair</v>
      </c>
      <c r="B360" s="62">
        <f t="shared" si="247"/>
        <v>1293563.9575177333</v>
      </c>
      <c r="C360" s="62">
        <f t="shared" si="248"/>
        <v>1290808.235093934</v>
      </c>
      <c r="D360" s="62">
        <f t="shared" si="249"/>
        <v>1286895.5042898762</v>
      </c>
      <c r="E360" s="62">
        <f t="shared" si="250"/>
        <v>1281365.2352877648</v>
      </c>
      <c r="F360" s="62">
        <f t="shared" si="251"/>
        <v>1273600.837383118</v>
      </c>
      <c r="G360" s="62">
        <f t="shared" si="252"/>
        <v>1262805.5057319398</v>
      </c>
      <c r="H360" s="62">
        <f t="shared" si="253"/>
        <v>1248005.5098923349</v>
      </c>
      <c r="I360" s="62">
        <f t="shared" si="254"/>
        <v>1228115.9013873441</v>
      </c>
      <c r="J360" s="62">
        <f t="shared" si="255"/>
        <v>1202116.3406815415</v>
      </c>
      <c r="K360" s="62">
        <f t="shared" si="256"/>
        <v>1169374.2884687176</v>
      </c>
      <c r="L360" s="62">
        <f t="shared" si="257"/>
        <v>1130084.7656740851</v>
      </c>
      <c r="M360" s="62">
        <f t="shared" si="258"/>
        <v>1085657.2084191416</v>
      </c>
      <c r="N360" s="62">
        <f t="shared" si="259"/>
        <v>1038755.2185067786</v>
      </c>
      <c r="O360" s="62">
        <f t="shared" si="260"/>
        <v>992776.17202817916</v>
      </c>
      <c r="P360" s="62">
        <f t="shared" si="261"/>
        <v>950920.49960650213</v>
      </c>
      <c r="Q360" s="62">
        <f t="shared" si="262"/>
        <v>915349.13841044903</v>
      </c>
      <c r="R360" s="62">
        <f t="shared" si="263"/>
        <v>886862.84856226621</v>
      </c>
      <c r="S360" s="62">
        <f t="shared" si="264"/>
        <v>865126.54509633617</v>
      </c>
      <c r="T360" s="62">
        <f t="shared" si="265"/>
        <v>849148.61879481981</v>
      </c>
      <c r="U360" s="62">
        <f t="shared" si="266"/>
        <v>837724.6326365323</v>
      </c>
      <c r="V360" s="62">
        <f t="shared" si="267"/>
        <v>829718.10542985611</v>
      </c>
      <c r="W360" s="62">
        <f t="shared" si="268"/>
        <v>824185.10301042092</v>
      </c>
      <c r="X360" s="62">
        <f t="shared" si="269"/>
        <v>820398.59373471502</v>
      </c>
      <c r="Y360" s="62">
        <f t="shared" si="270"/>
        <v>817824.59227500285</v>
      </c>
      <c r="Z360" s="62">
        <f t="shared" si="271"/>
        <v>816082.79412917187</v>
      </c>
      <c r="AA360" s="62">
        <f t="shared" si="272"/>
        <v>814907.77528152149</v>
      </c>
      <c r="AB360" s="62">
        <f t="shared" si="273"/>
        <v>814116.75843028165</v>
      </c>
      <c r="AC360" s="62">
        <f t="shared" si="274"/>
        <v>813584.99765465059</v>
      </c>
    </row>
    <row r="361" spans="1:29" x14ac:dyDescent="0.25">
      <c r="A361" s="30" t="str">
        <f t="shared" si="246"/>
        <v>Opex var (mode-fees, shunting)</v>
      </c>
      <c r="B361" s="62">
        <f t="shared" si="247"/>
        <v>8.9635854341736696</v>
      </c>
      <c r="C361" s="62">
        <f t="shared" si="248"/>
        <v>8.9635854341736696</v>
      </c>
      <c r="D361" s="62">
        <f t="shared" si="249"/>
        <v>8.9635854341736696</v>
      </c>
      <c r="E361" s="62">
        <f t="shared" si="250"/>
        <v>8.9635854341736696</v>
      </c>
      <c r="F361" s="62">
        <f t="shared" si="251"/>
        <v>8.9635854341736696</v>
      </c>
      <c r="G361" s="62">
        <f t="shared" si="252"/>
        <v>8.9635854341736696</v>
      </c>
      <c r="H361" s="62">
        <f t="shared" si="253"/>
        <v>8.9635854341736696</v>
      </c>
      <c r="I361" s="62">
        <f t="shared" si="254"/>
        <v>8.9635854341736696</v>
      </c>
      <c r="J361" s="62">
        <f t="shared" si="255"/>
        <v>8.9635854341736696</v>
      </c>
      <c r="K361" s="62">
        <f t="shared" si="256"/>
        <v>8.9635854341736696</v>
      </c>
      <c r="L361" s="62">
        <f t="shared" si="257"/>
        <v>8.9635854341736696</v>
      </c>
      <c r="M361" s="62">
        <f t="shared" si="258"/>
        <v>8.9635854341736696</v>
      </c>
      <c r="N361" s="62">
        <f t="shared" si="259"/>
        <v>8.9635854341736696</v>
      </c>
      <c r="O361" s="62">
        <f t="shared" si="260"/>
        <v>8.9635854341736696</v>
      </c>
      <c r="P361" s="62">
        <f t="shared" si="261"/>
        <v>8.9635854341736696</v>
      </c>
      <c r="Q361" s="62">
        <f t="shared" si="262"/>
        <v>8.9635854341736696</v>
      </c>
      <c r="R361" s="62">
        <f t="shared" si="263"/>
        <v>8.9635854341736696</v>
      </c>
      <c r="S361" s="62">
        <f t="shared" si="264"/>
        <v>8.9635854341736696</v>
      </c>
      <c r="T361" s="62">
        <f t="shared" si="265"/>
        <v>8.9635854341736696</v>
      </c>
      <c r="U361" s="62">
        <f t="shared" si="266"/>
        <v>8.9635854341736696</v>
      </c>
      <c r="V361" s="62">
        <f t="shared" si="267"/>
        <v>8.9635854341736696</v>
      </c>
      <c r="W361" s="62">
        <f t="shared" si="268"/>
        <v>8.9635854341736696</v>
      </c>
      <c r="X361" s="62">
        <f t="shared" si="269"/>
        <v>8.9635854341736696</v>
      </c>
      <c r="Y361" s="62">
        <f t="shared" si="270"/>
        <v>8.9635854341736696</v>
      </c>
      <c r="Z361" s="62">
        <f t="shared" si="271"/>
        <v>8.9635854341736696</v>
      </c>
      <c r="AA361" s="62">
        <f t="shared" si="272"/>
        <v>8.9635854341736696</v>
      </c>
      <c r="AB361" s="62">
        <f t="shared" si="273"/>
        <v>8.9635854341736696</v>
      </c>
      <c r="AC361" s="62">
        <f t="shared" si="274"/>
        <v>8.9635854341736696</v>
      </c>
    </row>
    <row r="362" spans="1:29" x14ac:dyDescent="0.25">
      <c r="A362" s="30" t="str">
        <f t="shared" si="246"/>
        <v>Fuel Economy</v>
      </c>
      <c r="B362" s="62">
        <f t="shared" si="247"/>
        <v>33.590199999999996</v>
      </c>
      <c r="C362" s="62">
        <f t="shared" si="248"/>
        <v>33.590199999999996</v>
      </c>
      <c r="D362" s="62">
        <f t="shared" si="249"/>
        <v>33.590199999999996</v>
      </c>
      <c r="E362" s="62">
        <f t="shared" si="250"/>
        <v>33.590199999999996</v>
      </c>
      <c r="F362" s="62">
        <f t="shared" si="251"/>
        <v>33.590199999999996</v>
      </c>
      <c r="G362" s="62">
        <f t="shared" si="252"/>
        <v>33.590199999999996</v>
      </c>
      <c r="H362" s="62">
        <f t="shared" si="253"/>
        <v>33.590199999999996</v>
      </c>
      <c r="I362" s="62">
        <f t="shared" si="254"/>
        <v>33.590199999999996</v>
      </c>
      <c r="J362" s="62">
        <f t="shared" si="255"/>
        <v>33.590199999999996</v>
      </c>
      <c r="K362" s="62">
        <f t="shared" si="256"/>
        <v>33.590199999999996</v>
      </c>
      <c r="L362" s="62">
        <f t="shared" si="257"/>
        <v>33.590199999999996</v>
      </c>
      <c r="M362" s="62">
        <f t="shared" si="258"/>
        <v>33.590199999999996</v>
      </c>
      <c r="N362" s="62">
        <f t="shared" si="259"/>
        <v>33.590199999999996</v>
      </c>
      <c r="O362" s="62">
        <f t="shared" si="260"/>
        <v>33.590199999999996</v>
      </c>
      <c r="P362" s="62">
        <f t="shared" si="261"/>
        <v>33.590199999999996</v>
      </c>
      <c r="Q362" s="62">
        <f t="shared" si="262"/>
        <v>33.590199999999996</v>
      </c>
      <c r="R362" s="62">
        <f t="shared" si="263"/>
        <v>33.590199999999996</v>
      </c>
      <c r="S362" s="62">
        <f t="shared" si="264"/>
        <v>33.590199999999996</v>
      </c>
      <c r="T362" s="62">
        <f t="shared" si="265"/>
        <v>33.590199999999996</v>
      </c>
      <c r="U362" s="62">
        <f t="shared" si="266"/>
        <v>33.590199999999996</v>
      </c>
      <c r="V362" s="62">
        <f t="shared" si="267"/>
        <v>33.590199999999996</v>
      </c>
      <c r="W362" s="62">
        <f t="shared" si="268"/>
        <v>33.590199999999996</v>
      </c>
      <c r="X362" s="62">
        <f t="shared" si="269"/>
        <v>33.590199999999996</v>
      </c>
      <c r="Y362" s="62">
        <f t="shared" si="270"/>
        <v>33.590199999999996</v>
      </c>
      <c r="Z362" s="62">
        <f t="shared" si="271"/>
        <v>33.590199999999996</v>
      </c>
      <c r="AA362" s="62">
        <f t="shared" si="272"/>
        <v>33.590199999999996</v>
      </c>
      <c r="AB362" s="62">
        <f t="shared" si="273"/>
        <v>33.590199999999996</v>
      </c>
      <c r="AC362" s="62">
        <f t="shared" si="274"/>
        <v>33.590199999999996</v>
      </c>
    </row>
    <row r="363" spans="1:29" x14ac:dyDescent="0.25">
      <c r="A363" s="30" t="str">
        <f t="shared" si="246"/>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275">A344</f>
        <v>Emission Cost</v>
      </c>
      <c r="B364" s="66">
        <f>$B344+($C344-$B344)*(1-Q344)</f>
        <v>0</v>
      </c>
      <c r="C364" s="66">
        <f t="shared" ref="C364:AC364" si="276">$B344+($C344-$B344)*(1-R344)</f>
        <v>0</v>
      </c>
      <c r="D364" s="66">
        <f t="shared" si="276"/>
        <v>0</v>
      </c>
      <c r="E364" s="66">
        <f t="shared" si="276"/>
        <v>0</v>
      </c>
      <c r="F364" s="66">
        <f t="shared" si="276"/>
        <v>0</v>
      </c>
      <c r="G364" s="66">
        <f t="shared" si="276"/>
        <v>0</v>
      </c>
      <c r="H364" s="66">
        <f t="shared" si="276"/>
        <v>0</v>
      </c>
      <c r="I364" s="66">
        <f t="shared" si="276"/>
        <v>0</v>
      </c>
      <c r="J364" s="66">
        <f t="shared" si="276"/>
        <v>0</v>
      </c>
      <c r="K364" s="66">
        <f t="shared" si="276"/>
        <v>0</v>
      </c>
      <c r="L364" s="66">
        <f t="shared" si="276"/>
        <v>0</v>
      </c>
      <c r="M364" s="66">
        <f t="shared" si="276"/>
        <v>0</v>
      </c>
      <c r="N364" s="66">
        <f t="shared" si="276"/>
        <v>0</v>
      </c>
      <c r="O364" s="66">
        <f t="shared" si="276"/>
        <v>0</v>
      </c>
      <c r="P364" s="66">
        <f t="shared" si="276"/>
        <v>0</v>
      </c>
      <c r="Q364" s="66">
        <f t="shared" si="276"/>
        <v>0</v>
      </c>
      <c r="R364" s="66">
        <f t="shared" si="276"/>
        <v>0</v>
      </c>
      <c r="S364" s="66">
        <f t="shared" si="276"/>
        <v>0</v>
      </c>
      <c r="T364" s="66">
        <f t="shared" si="276"/>
        <v>0</v>
      </c>
      <c r="U364" s="66">
        <f t="shared" si="276"/>
        <v>0</v>
      </c>
      <c r="V364" s="66">
        <f t="shared" si="276"/>
        <v>0</v>
      </c>
      <c r="W364" s="66">
        <f t="shared" si="276"/>
        <v>0</v>
      </c>
      <c r="X364" s="66">
        <f t="shared" si="276"/>
        <v>0</v>
      </c>
      <c r="Y364" s="66">
        <f t="shared" si="276"/>
        <v>0</v>
      </c>
      <c r="Z364" s="66">
        <f t="shared" si="276"/>
        <v>0</v>
      </c>
      <c r="AA364" s="66">
        <f t="shared" si="276"/>
        <v>0</v>
      </c>
      <c r="AB364" s="66">
        <f t="shared" si="276"/>
        <v>0</v>
      </c>
      <c r="AC364" s="66">
        <f t="shared" si="276"/>
        <v>0</v>
      </c>
    </row>
    <row r="365" spans="1:29" x14ac:dyDescent="0.25">
      <c r="A365" s="30" t="str">
        <f>A345</f>
        <v>Lifetime vehicle</v>
      </c>
      <c r="B365" s="62">
        <f>$B345+($C345-$B345)*(1-Q345)</f>
        <v>20</v>
      </c>
      <c r="C365" s="62">
        <f t="shared" ref="C365:L367" si="277">$B345+($C345-$B345)*(1-R345)</f>
        <v>20</v>
      </c>
      <c r="D365" s="62">
        <f t="shared" si="277"/>
        <v>20</v>
      </c>
      <c r="E365" s="62">
        <f t="shared" si="277"/>
        <v>20</v>
      </c>
      <c r="F365" s="62">
        <f t="shared" si="277"/>
        <v>20</v>
      </c>
      <c r="G365" s="62">
        <f t="shared" si="277"/>
        <v>20</v>
      </c>
      <c r="H365" s="62">
        <f t="shared" si="277"/>
        <v>20</v>
      </c>
      <c r="I365" s="62">
        <f t="shared" si="277"/>
        <v>20</v>
      </c>
      <c r="J365" s="62">
        <f t="shared" si="277"/>
        <v>20</v>
      </c>
      <c r="K365" s="62">
        <f t="shared" si="277"/>
        <v>20</v>
      </c>
      <c r="L365" s="62">
        <f t="shared" si="277"/>
        <v>20</v>
      </c>
      <c r="M365" s="62">
        <f t="shared" ref="M365:V367" si="278">$B345+($C345-$B345)*(1-AB345)</f>
        <v>20</v>
      </c>
      <c r="N365" s="62">
        <f t="shared" si="278"/>
        <v>20</v>
      </c>
      <c r="O365" s="62">
        <f t="shared" si="278"/>
        <v>20</v>
      </c>
      <c r="P365" s="62">
        <f t="shared" si="278"/>
        <v>20</v>
      </c>
      <c r="Q365" s="62">
        <f t="shared" si="278"/>
        <v>20</v>
      </c>
      <c r="R365" s="62">
        <f t="shared" si="278"/>
        <v>20</v>
      </c>
      <c r="S365" s="62">
        <f t="shared" si="278"/>
        <v>20</v>
      </c>
      <c r="T365" s="62">
        <f t="shared" si="278"/>
        <v>20</v>
      </c>
      <c r="U365" s="62">
        <f t="shared" si="278"/>
        <v>20</v>
      </c>
      <c r="V365" s="62">
        <f t="shared" si="278"/>
        <v>20</v>
      </c>
      <c r="W365" s="62">
        <f t="shared" ref="W365:AC367" si="279">$B345+($C345-$B345)*(1-AL345)</f>
        <v>20</v>
      </c>
      <c r="X365" s="62">
        <f t="shared" si="279"/>
        <v>20</v>
      </c>
      <c r="Y365" s="62">
        <f t="shared" si="279"/>
        <v>20</v>
      </c>
      <c r="Z365" s="62">
        <f t="shared" si="279"/>
        <v>20</v>
      </c>
      <c r="AA365" s="62">
        <f t="shared" si="279"/>
        <v>20</v>
      </c>
      <c r="AB365" s="62">
        <f t="shared" si="279"/>
        <v>20</v>
      </c>
      <c r="AC365" s="62">
        <f t="shared" si="279"/>
        <v>20</v>
      </c>
    </row>
    <row r="366" spans="1:29" x14ac:dyDescent="0.25">
      <c r="A366" s="30" t="str">
        <f>A346</f>
        <v>Lifetime costumization</v>
      </c>
      <c r="B366" s="62">
        <f>$B346+($C346-$B346)*(1-Q346)</f>
        <v>30</v>
      </c>
      <c r="C366" s="62">
        <f t="shared" si="277"/>
        <v>30</v>
      </c>
      <c r="D366" s="62">
        <f t="shared" si="277"/>
        <v>30</v>
      </c>
      <c r="E366" s="62">
        <f t="shared" si="277"/>
        <v>30</v>
      </c>
      <c r="F366" s="62">
        <f t="shared" si="277"/>
        <v>30</v>
      </c>
      <c r="G366" s="62">
        <f t="shared" si="277"/>
        <v>30</v>
      </c>
      <c r="H366" s="62">
        <f t="shared" si="277"/>
        <v>30</v>
      </c>
      <c r="I366" s="62">
        <f t="shared" si="277"/>
        <v>30</v>
      </c>
      <c r="J366" s="62">
        <f t="shared" si="277"/>
        <v>30</v>
      </c>
      <c r="K366" s="62">
        <f t="shared" si="277"/>
        <v>30</v>
      </c>
      <c r="L366" s="62">
        <f t="shared" si="277"/>
        <v>30</v>
      </c>
      <c r="M366" s="62">
        <f t="shared" si="278"/>
        <v>30</v>
      </c>
      <c r="N366" s="62">
        <f t="shared" si="278"/>
        <v>30</v>
      </c>
      <c r="O366" s="62">
        <f t="shared" si="278"/>
        <v>30</v>
      </c>
      <c r="P366" s="62">
        <f t="shared" si="278"/>
        <v>30</v>
      </c>
      <c r="Q366" s="62">
        <f t="shared" si="278"/>
        <v>30</v>
      </c>
      <c r="R366" s="62">
        <f t="shared" si="278"/>
        <v>30</v>
      </c>
      <c r="S366" s="62">
        <f t="shared" si="278"/>
        <v>30</v>
      </c>
      <c r="T366" s="62">
        <f t="shared" si="278"/>
        <v>30</v>
      </c>
      <c r="U366" s="62">
        <f t="shared" si="278"/>
        <v>30</v>
      </c>
      <c r="V366" s="62">
        <f t="shared" si="278"/>
        <v>30</v>
      </c>
      <c r="W366" s="62">
        <f t="shared" si="279"/>
        <v>30</v>
      </c>
      <c r="X366" s="62">
        <f t="shared" si="279"/>
        <v>30</v>
      </c>
      <c r="Y366" s="62">
        <f t="shared" si="279"/>
        <v>30</v>
      </c>
      <c r="Z366" s="62">
        <f t="shared" si="279"/>
        <v>30</v>
      </c>
      <c r="AA366" s="62">
        <f t="shared" si="279"/>
        <v>30</v>
      </c>
      <c r="AB366" s="62">
        <f t="shared" si="279"/>
        <v>30</v>
      </c>
      <c r="AC366" s="62">
        <f t="shared" si="279"/>
        <v>30</v>
      </c>
    </row>
    <row r="367" spans="1:29" x14ac:dyDescent="0.25">
      <c r="A367" s="30" t="str">
        <f>A347</f>
        <v>Tonnage .</v>
      </c>
      <c r="B367" s="62">
        <f>$B347+($C347-$B347)*(1-Q347)</f>
        <v>2240</v>
      </c>
      <c r="C367" s="62">
        <f t="shared" si="277"/>
        <v>2240</v>
      </c>
      <c r="D367" s="62">
        <f t="shared" si="277"/>
        <v>2240</v>
      </c>
      <c r="E367" s="62">
        <f t="shared" si="277"/>
        <v>2240</v>
      </c>
      <c r="F367" s="62">
        <f t="shared" si="277"/>
        <v>2240</v>
      </c>
      <c r="G367" s="62">
        <f t="shared" si="277"/>
        <v>2240</v>
      </c>
      <c r="H367" s="62">
        <f t="shared" si="277"/>
        <v>2240</v>
      </c>
      <c r="I367" s="62">
        <f t="shared" si="277"/>
        <v>2240</v>
      </c>
      <c r="J367" s="62">
        <f t="shared" si="277"/>
        <v>2240</v>
      </c>
      <c r="K367" s="62">
        <f t="shared" si="277"/>
        <v>2240</v>
      </c>
      <c r="L367" s="62">
        <f t="shared" si="277"/>
        <v>2240</v>
      </c>
      <c r="M367" s="62">
        <f t="shared" si="278"/>
        <v>2240</v>
      </c>
      <c r="N367" s="62">
        <f t="shared" si="278"/>
        <v>2240</v>
      </c>
      <c r="O367" s="62">
        <f t="shared" si="278"/>
        <v>2240</v>
      </c>
      <c r="P367" s="62">
        <f t="shared" si="278"/>
        <v>2240</v>
      </c>
      <c r="Q367" s="62">
        <f t="shared" si="278"/>
        <v>2240</v>
      </c>
      <c r="R367" s="62">
        <f t="shared" si="278"/>
        <v>2240</v>
      </c>
      <c r="S367" s="62">
        <f t="shared" si="278"/>
        <v>2240</v>
      </c>
      <c r="T367" s="62">
        <f t="shared" si="278"/>
        <v>2240</v>
      </c>
      <c r="U367" s="62">
        <f t="shared" si="278"/>
        <v>2240</v>
      </c>
      <c r="V367" s="62">
        <f t="shared" si="278"/>
        <v>2240</v>
      </c>
      <c r="W367" s="62">
        <f t="shared" si="279"/>
        <v>2240</v>
      </c>
      <c r="X367" s="62">
        <f t="shared" si="279"/>
        <v>2240</v>
      </c>
      <c r="Y367" s="62">
        <f t="shared" si="279"/>
        <v>2240</v>
      </c>
      <c r="Z367" s="62">
        <f t="shared" si="279"/>
        <v>2240</v>
      </c>
      <c r="AA367" s="62">
        <f t="shared" si="279"/>
        <v>2240</v>
      </c>
      <c r="AB367" s="62">
        <f t="shared" si="279"/>
        <v>2240</v>
      </c>
      <c r="AC367" s="62">
        <f t="shared" si="279"/>
        <v>2240</v>
      </c>
    </row>
    <row r="368" spans="1:29" x14ac:dyDescent="0.25">
      <c r="A368" s="30" t="str">
        <f>A348</f>
        <v>Market failure (av. utilization)</v>
      </c>
      <c r="B368" s="62">
        <f t="shared" ref="B368:K369" si="280">($B348+($C348-$B348)*(1-Q348))*B$44</f>
        <v>1612.8000000000002</v>
      </c>
      <c r="C368" s="62">
        <f t="shared" si="280"/>
        <v>1612.8000000000002</v>
      </c>
      <c r="D368" s="62">
        <f t="shared" si="280"/>
        <v>1612.8000000000002</v>
      </c>
      <c r="E368" s="62">
        <f t="shared" si="280"/>
        <v>1612.8000000000002</v>
      </c>
      <c r="F368" s="62">
        <f t="shared" si="280"/>
        <v>1612.8000000000002</v>
      </c>
      <c r="G368" s="62">
        <f t="shared" si="280"/>
        <v>1612.8000000000002</v>
      </c>
      <c r="H368" s="62">
        <f t="shared" si="280"/>
        <v>1612.8000000000002</v>
      </c>
      <c r="I368" s="62">
        <f t="shared" si="280"/>
        <v>1612.8000000000002</v>
      </c>
      <c r="J368" s="62">
        <f t="shared" si="280"/>
        <v>1612.8000000000002</v>
      </c>
      <c r="K368" s="62">
        <f t="shared" si="280"/>
        <v>1612.8000000000002</v>
      </c>
      <c r="L368" s="62">
        <f t="shared" ref="L368:U369" si="281">($B348+($C348-$B348)*(1-AA348))*L$44</f>
        <v>1612.8000000000002</v>
      </c>
      <c r="M368" s="62">
        <f t="shared" si="281"/>
        <v>1612.8000000000002</v>
      </c>
      <c r="N368" s="62">
        <f t="shared" si="281"/>
        <v>1612.8000000000002</v>
      </c>
      <c r="O368" s="62">
        <f t="shared" si="281"/>
        <v>1612.8000000000002</v>
      </c>
      <c r="P368" s="62">
        <f t="shared" si="281"/>
        <v>1612.8000000000002</v>
      </c>
      <c r="Q368" s="62">
        <f t="shared" si="281"/>
        <v>1612.8000000000002</v>
      </c>
      <c r="R368" s="62">
        <f t="shared" si="281"/>
        <v>1612.8000000000002</v>
      </c>
      <c r="S368" s="62">
        <f t="shared" si="281"/>
        <v>1612.8000000000002</v>
      </c>
      <c r="T368" s="62">
        <f t="shared" si="281"/>
        <v>1612.8000000000002</v>
      </c>
      <c r="U368" s="62">
        <f t="shared" si="281"/>
        <v>1612.8000000000002</v>
      </c>
      <c r="V368" s="62">
        <f t="shared" ref="V368:AC369" si="282">($B348+($C348-$B348)*(1-AK348))*V$44</f>
        <v>1612.8000000000002</v>
      </c>
      <c r="W368" s="62">
        <f t="shared" si="282"/>
        <v>1612.8000000000002</v>
      </c>
      <c r="X368" s="62">
        <f t="shared" si="282"/>
        <v>1612.8000000000002</v>
      </c>
      <c r="Y368" s="62">
        <f t="shared" si="282"/>
        <v>1612.8000000000002</v>
      </c>
      <c r="Z368" s="62">
        <f t="shared" si="282"/>
        <v>1612.8000000000002</v>
      </c>
      <c r="AA368" s="62">
        <f t="shared" si="282"/>
        <v>1612.8000000000002</v>
      </c>
      <c r="AB368" s="62">
        <f t="shared" si="282"/>
        <v>1612.8000000000002</v>
      </c>
      <c r="AC368" s="62">
        <f t="shared" si="282"/>
        <v>1612.8000000000002</v>
      </c>
    </row>
    <row r="369" spans="1:29" x14ac:dyDescent="0.25">
      <c r="A369" s="30" t="s">
        <v>73</v>
      </c>
      <c r="B369" s="62">
        <f t="shared" si="280"/>
        <v>79.471914462993496</v>
      </c>
      <c r="C369" s="62">
        <f t="shared" si="280"/>
        <v>79.245803905143291</v>
      </c>
      <c r="D369" s="62">
        <f t="shared" si="280"/>
        <v>78.924759326348806</v>
      </c>
      <c r="E369" s="62">
        <f t="shared" si="280"/>
        <v>78.470993664637106</v>
      </c>
      <c r="F369" s="62">
        <f t="shared" si="280"/>
        <v>77.833914862204551</v>
      </c>
      <c r="G369" s="62">
        <f t="shared" si="280"/>
        <v>76.948144060056592</v>
      </c>
      <c r="H369" s="62">
        <f t="shared" si="280"/>
        <v>75.733785427063381</v>
      </c>
      <c r="I369" s="62">
        <f t="shared" si="280"/>
        <v>74.101817549730796</v>
      </c>
      <c r="J369" s="62">
        <f t="shared" si="280"/>
        <v>71.968520261049548</v>
      </c>
      <c r="K369" s="62">
        <f t="shared" si="280"/>
        <v>69.281992899997348</v>
      </c>
      <c r="L369" s="62">
        <f t="shared" si="281"/>
        <v>66.058237183514677</v>
      </c>
      <c r="M369" s="62">
        <f t="shared" si="281"/>
        <v>62.412899152339826</v>
      </c>
      <c r="N369" s="62">
        <f t="shared" si="281"/>
        <v>58.564530749274141</v>
      </c>
      <c r="O369" s="62">
        <f t="shared" si="281"/>
        <v>54.79189103820957</v>
      </c>
      <c r="P369" s="62">
        <f t="shared" si="281"/>
        <v>51.357579454892473</v>
      </c>
      <c r="Q369" s="62">
        <f t="shared" si="281"/>
        <v>48.438903664447089</v>
      </c>
      <c r="R369" s="62">
        <f t="shared" si="281"/>
        <v>46.101567061519283</v>
      </c>
      <c r="S369" s="62">
        <f t="shared" si="281"/>
        <v>44.318075495083995</v>
      </c>
      <c r="T369" s="62">
        <f t="shared" si="281"/>
        <v>43.007066157523667</v>
      </c>
      <c r="U369" s="62">
        <f t="shared" si="281"/>
        <v>42.069713447100085</v>
      </c>
      <c r="V369" s="62">
        <f t="shared" si="282"/>
        <v>41.412767625013835</v>
      </c>
      <c r="W369" s="62">
        <f t="shared" si="282"/>
        <v>40.958777682906323</v>
      </c>
      <c r="X369" s="62">
        <f t="shared" si="282"/>
        <v>40.648089742335586</v>
      </c>
      <c r="Y369" s="62">
        <f t="shared" si="282"/>
        <v>40.43688962256433</v>
      </c>
      <c r="Z369" s="62">
        <f t="shared" si="282"/>
        <v>40.29397285162436</v>
      </c>
      <c r="AA369" s="62">
        <f t="shared" si="282"/>
        <v>40.197561048740226</v>
      </c>
      <c r="AB369" s="62">
        <f t="shared" si="282"/>
        <v>40.132657101971823</v>
      </c>
      <c r="AC369" s="62">
        <f t="shared" si="282"/>
        <v>40.08902544858671</v>
      </c>
    </row>
    <row r="370" spans="1:29" x14ac:dyDescent="0.25">
      <c r="A370" s="30" t="str">
        <f>A350</f>
        <v>Annual Mileage</v>
      </c>
      <c r="B370" s="62">
        <f t="shared" ref="B370:AC370" si="283">$B350+($C350-$B350)*(1-Q350)</f>
        <v>178500</v>
      </c>
      <c r="C370" s="62">
        <f t="shared" si="283"/>
        <v>178500</v>
      </c>
      <c r="D370" s="62">
        <f t="shared" si="283"/>
        <v>178500</v>
      </c>
      <c r="E370" s="62">
        <f t="shared" si="283"/>
        <v>178500</v>
      </c>
      <c r="F370" s="62">
        <f t="shared" si="283"/>
        <v>178500</v>
      </c>
      <c r="G370" s="62">
        <f t="shared" si="283"/>
        <v>178500</v>
      </c>
      <c r="H370" s="62">
        <f t="shared" si="283"/>
        <v>178500</v>
      </c>
      <c r="I370" s="62">
        <f t="shared" si="283"/>
        <v>178500</v>
      </c>
      <c r="J370" s="62">
        <f t="shared" si="283"/>
        <v>178500</v>
      </c>
      <c r="K370" s="62">
        <f t="shared" si="283"/>
        <v>178500</v>
      </c>
      <c r="L370" s="62">
        <f t="shared" si="283"/>
        <v>178500</v>
      </c>
      <c r="M370" s="62">
        <f t="shared" si="283"/>
        <v>178500</v>
      </c>
      <c r="N370" s="62">
        <f t="shared" si="283"/>
        <v>178500</v>
      </c>
      <c r="O370" s="62">
        <f t="shared" si="283"/>
        <v>178500</v>
      </c>
      <c r="P370" s="62">
        <f t="shared" si="283"/>
        <v>178500</v>
      </c>
      <c r="Q370" s="62">
        <f t="shared" si="283"/>
        <v>178500</v>
      </c>
      <c r="R370" s="62">
        <f t="shared" si="283"/>
        <v>178500</v>
      </c>
      <c r="S370" s="62">
        <f t="shared" si="283"/>
        <v>178500</v>
      </c>
      <c r="T370" s="62">
        <f t="shared" si="283"/>
        <v>178500</v>
      </c>
      <c r="U370" s="62">
        <f t="shared" si="283"/>
        <v>178500</v>
      </c>
      <c r="V370" s="62">
        <f t="shared" si="283"/>
        <v>178500</v>
      </c>
      <c r="W370" s="62">
        <f t="shared" si="283"/>
        <v>178500</v>
      </c>
      <c r="X370" s="62">
        <f t="shared" si="283"/>
        <v>178500</v>
      </c>
      <c r="Y370" s="62">
        <f t="shared" si="283"/>
        <v>178500</v>
      </c>
      <c r="Z370" s="62">
        <f t="shared" si="283"/>
        <v>178500</v>
      </c>
      <c r="AA370" s="62">
        <f t="shared" si="283"/>
        <v>178500</v>
      </c>
      <c r="AB370" s="62">
        <f t="shared" si="283"/>
        <v>178500</v>
      </c>
      <c r="AC370" s="62">
        <f t="shared" si="283"/>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4">((1+C358)^C365)*C358/(((1+C358)^C365)-1)*(C354)</f>
        <v>865681.10860566224</v>
      </c>
      <c r="D373" s="63">
        <f t="shared" si="284"/>
        <v>863057.03397703567</v>
      </c>
      <c r="E373" s="63">
        <f t="shared" si="284"/>
        <v>859348.15664694412</v>
      </c>
      <c r="F373" s="63">
        <f t="shared" si="284"/>
        <v>854140.95978918544</v>
      </c>
      <c r="G373" s="63">
        <f t="shared" si="284"/>
        <v>846901.06588590739</v>
      </c>
      <c r="H373" s="63">
        <f t="shared" si="284"/>
        <v>836975.44218948286</v>
      </c>
      <c r="I373" s="63">
        <f t="shared" si="284"/>
        <v>823636.46752832399</v>
      </c>
      <c r="J373" s="63">
        <f t="shared" si="284"/>
        <v>806199.8507457996</v>
      </c>
      <c r="K373" s="63">
        <f t="shared" si="284"/>
        <v>784241.37907896913</v>
      </c>
      <c r="L373" s="63">
        <f t="shared" si="284"/>
        <v>757891.84339680034</v>
      </c>
      <c r="M373" s="63">
        <f t="shared" si="284"/>
        <v>728096.48265190842</v>
      </c>
      <c r="N373" s="63">
        <f t="shared" si="284"/>
        <v>696641.64256081509</v>
      </c>
      <c r="O373" s="63">
        <f t="shared" si="284"/>
        <v>665805.77488808637</v>
      </c>
      <c r="P373" s="63">
        <f t="shared" si="284"/>
        <v>637735.24983383913</v>
      </c>
      <c r="Q373" s="63">
        <f t="shared" si="284"/>
        <v>613879.3008573663</v>
      </c>
      <c r="R373" s="63">
        <f t="shared" si="284"/>
        <v>594774.95808561263</v>
      </c>
      <c r="S373" s="63">
        <f t="shared" si="284"/>
        <v>580197.49663952412</v>
      </c>
      <c r="T373" s="63">
        <f t="shared" si="284"/>
        <v>569481.893362551</v>
      </c>
      <c r="U373" s="63">
        <f t="shared" si="284"/>
        <v>561820.39203855116</v>
      </c>
      <c r="V373" s="63">
        <f t="shared" si="284"/>
        <v>556450.81105826527</v>
      </c>
      <c r="W373" s="63">
        <f t="shared" si="284"/>
        <v>552740.10056064755</v>
      </c>
      <c r="X373" s="63">
        <f t="shared" si="284"/>
        <v>550200.67645533092</v>
      </c>
      <c r="Y373" s="63">
        <f t="shared" si="284"/>
        <v>548474.42124823271</v>
      </c>
      <c r="Z373" s="63">
        <f t="shared" si="284"/>
        <v>547306.28355832992</v>
      </c>
      <c r="AA373" s="63">
        <f t="shared" si="284"/>
        <v>546518.25665316184</v>
      </c>
      <c r="AB373" s="63">
        <f t="shared" si="284"/>
        <v>545987.76085518813</v>
      </c>
      <c r="AC373" s="63">
        <f t="shared" si="284"/>
        <v>545631.13525794924</v>
      </c>
    </row>
    <row r="374" spans="1:29" x14ac:dyDescent="0.25">
      <c r="A374" s="30" t="str">
        <f>A355</f>
        <v>Residual value (vehicle)</v>
      </c>
      <c r="B374" s="62">
        <f>((1+B358)^B365)*B358/(((1+B358)^B365)-1)*(B355)</f>
        <v>-44095.850871439077</v>
      </c>
      <c r="C374" s="62">
        <f t="shared" ref="C374:AC374" si="285">((1+C358)^C365)*C358/(((1+C358)^C365)-1)*(C355)</f>
        <v>-44311.465624091747</v>
      </c>
      <c r="D374" s="62">
        <f t="shared" si="285"/>
        <v>-44617.607664098185</v>
      </c>
      <c r="E374" s="62">
        <f t="shared" si="285"/>
        <v>-45050.310019275523</v>
      </c>
      <c r="F374" s="62">
        <f t="shared" si="285"/>
        <v>-45657.816319347374</v>
      </c>
      <c r="G374" s="62">
        <f t="shared" si="285"/>
        <v>-46502.470608063151</v>
      </c>
      <c r="H374" s="62">
        <f t="shared" si="285"/>
        <v>-47660.460039312675</v>
      </c>
      <c r="I374" s="62">
        <f t="shared" si="285"/>
        <v>-49216.673749781199</v>
      </c>
      <c r="J374" s="62">
        <f t="shared" si="285"/>
        <v>-51250.945707742365</v>
      </c>
      <c r="K374" s="62">
        <f t="shared" si="285"/>
        <v>-53812.767402205936</v>
      </c>
      <c r="L374" s="62">
        <f t="shared" si="285"/>
        <v>-56886.879898458967</v>
      </c>
      <c r="M374" s="62">
        <f t="shared" si="285"/>
        <v>-60363.005318696356</v>
      </c>
      <c r="N374" s="62">
        <f t="shared" si="285"/>
        <v>-64032.73666265724</v>
      </c>
      <c r="O374" s="62">
        <f t="shared" si="285"/>
        <v>-67630.254557808934</v>
      </c>
      <c r="P374" s="62">
        <f t="shared" si="285"/>
        <v>-70905.149147471107</v>
      </c>
      <c r="Q374" s="62">
        <f t="shared" si="285"/>
        <v>-73688.343194726258</v>
      </c>
      <c r="R374" s="62">
        <f t="shared" si="285"/>
        <v>-75917.183184764202</v>
      </c>
      <c r="S374" s="62">
        <f t="shared" si="285"/>
        <v>-77617.887020141206</v>
      </c>
      <c r="T374" s="62">
        <f t="shared" si="285"/>
        <v>-78868.040735788047</v>
      </c>
      <c r="U374" s="62">
        <f t="shared" si="285"/>
        <v>-79761.882556921351</v>
      </c>
      <c r="V374" s="62">
        <f t="shared" si="285"/>
        <v>-80388.333671288041</v>
      </c>
      <c r="W374" s="62">
        <f t="shared" si="285"/>
        <v>-80821.249896010122</v>
      </c>
      <c r="X374" s="62">
        <f t="shared" si="285"/>
        <v>-81117.516041630384</v>
      </c>
      <c r="Y374" s="62">
        <f t="shared" si="285"/>
        <v>-81318.912482458516</v>
      </c>
      <c r="Z374" s="62">
        <f t="shared" si="285"/>
        <v>-81455.19521294719</v>
      </c>
      <c r="AA374" s="62">
        <f t="shared" si="285"/>
        <v>-81547.131685216795</v>
      </c>
      <c r="AB374" s="62">
        <f t="shared" si="285"/>
        <v>-81609.022861647056</v>
      </c>
      <c r="AC374" s="62">
        <f t="shared" si="285"/>
        <v>-81650.629181324926</v>
      </c>
    </row>
    <row r="375" spans="1:29" x14ac:dyDescent="0.25">
      <c r="A375" s="30" t="str">
        <f>A356</f>
        <v>Capex costumization</v>
      </c>
      <c r="B375" s="62">
        <f>((1+B358)^B366)*B358/(((1+B358)^B366)-1)*(B356)</f>
        <v>305125.4282581982</v>
      </c>
      <c r="C375" s="62">
        <f t="shared" ref="C375:AC375" si="286">((1+C358)^C366)*C358/(((1+C358)^C366)-1)*(C356)</f>
        <v>305125.4282581982</v>
      </c>
      <c r="D375" s="62">
        <f t="shared" si="286"/>
        <v>305125.4282581982</v>
      </c>
      <c r="E375" s="62">
        <f t="shared" si="286"/>
        <v>305125.4282581982</v>
      </c>
      <c r="F375" s="62">
        <f t="shared" si="286"/>
        <v>305125.4282581982</v>
      </c>
      <c r="G375" s="62">
        <f t="shared" si="286"/>
        <v>305125.4282581982</v>
      </c>
      <c r="H375" s="62">
        <f t="shared" si="286"/>
        <v>305125.4282581982</v>
      </c>
      <c r="I375" s="62">
        <f t="shared" si="286"/>
        <v>305125.4282581982</v>
      </c>
      <c r="J375" s="62">
        <f t="shared" si="286"/>
        <v>305125.4282581982</v>
      </c>
      <c r="K375" s="62">
        <f t="shared" si="286"/>
        <v>305125.4282581982</v>
      </c>
      <c r="L375" s="62">
        <f t="shared" si="286"/>
        <v>305125.4282581982</v>
      </c>
      <c r="M375" s="62">
        <f t="shared" si="286"/>
        <v>305125.4282581982</v>
      </c>
      <c r="N375" s="62">
        <f t="shared" si="286"/>
        <v>305125.4282581982</v>
      </c>
      <c r="O375" s="62">
        <f t="shared" si="286"/>
        <v>305125.4282581982</v>
      </c>
      <c r="P375" s="62">
        <f t="shared" si="286"/>
        <v>305125.4282581982</v>
      </c>
      <c r="Q375" s="62">
        <f t="shared" si="286"/>
        <v>305125.4282581982</v>
      </c>
      <c r="R375" s="62">
        <f t="shared" si="286"/>
        <v>305125.4282581982</v>
      </c>
      <c r="S375" s="62">
        <f t="shared" si="286"/>
        <v>305125.4282581982</v>
      </c>
      <c r="T375" s="62">
        <f t="shared" si="286"/>
        <v>305125.4282581982</v>
      </c>
      <c r="U375" s="62">
        <f t="shared" si="286"/>
        <v>305125.4282581982</v>
      </c>
      <c r="V375" s="62">
        <f t="shared" si="286"/>
        <v>305125.4282581982</v>
      </c>
      <c r="W375" s="62">
        <f t="shared" si="286"/>
        <v>305125.4282581982</v>
      </c>
      <c r="X375" s="62">
        <f t="shared" si="286"/>
        <v>305125.4282581982</v>
      </c>
      <c r="Y375" s="62">
        <f t="shared" si="286"/>
        <v>305125.4282581982</v>
      </c>
      <c r="Z375" s="62">
        <f t="shared" si="286"/>
        <v>305125.4282581982</v>
      </c>
      <c r="AA375" s="62">
        <f t="shared" si="286"/>
        <v>305125.4282581982</v>
      </c>
      <c r="AB375" s="62">
        <f t="shared" si="286"/>
        <v>305125.4282581982</v>
      </c>
      <c r="AC375" s="62">
        <f t="shared" si="286"/>
        <v>305125.4282581982</v>
      </c>
    </row>
    <row r="376" spans="1:29" x14ac:dyDescent="0.25">
      <c r="A376" s="30" t="str">
        <f>A357</f>
        <v>Residual value (costumization)</v>
      </c>
      <c r="B376" s="62">
        <f>((1+B358)^B366)*B358/(((1+B358)^B366)-1)*(B357)</f>
        <v>-15256.271412909911</v>
      </c>
      <c r="C376" s="62">
        <f t="shared" ref="C376:AC376" si="287">((1+C358)^C366)*C358/(((1+C358)^C366)-1)*(C357)</f>
        <v>-15256.271412909911</v>
      </c>
      <c r="D376" s="62">
        <f t="shared" si="287"/>
        <v>-15256.271412909911</v>
      </c>
      <c r="E376" s="62">
        <f t="shared" si="287"/>
        <v>-15256.271412909911</v>
      </c>
      <c r="F376" s="62">
        <f t="shared" si="287"/>
        <v>-15256.271412909911</v>
      </c>
      <c r="G376" s="62">
        <f t="shared" si="287"/>
        <v>-15256.271412909911</v>
      </c>
      <c r="H376" s="62">
        <f t="shared" si="287"/>
        <v>-15256.271412909911</v>
      </c>
      <c r="I376" s="62">
        <f t="shared" si="287"/>
        <v>-15256.271412909911</v>
      </c>
      <c r="J376" s="62">
        <f t="shared" si="287"/>
        <v>-15256.271412909911</v>
      </c>
      <c r="K376" s="62">
        <f t="shared" si="287"/>
        <v>-15256.271412909911</v>
      </c>
      <c r="L376" s="62">
        <f t="shared" si="287"/>
        <v>-15256.271412909911</v>
      </c>
      <c r="M376" s="62">
        <f t="shared" si="287"/>
        <v>-15256.271412909911</v>
      </c>
      <c r="N376" s="62">
        <f t="shared" si="287"/>
        <v>-15256.271412909911</v>
      </c>
      <c r="O376" s="62">
        <f t="shared" si="287"/>
        <v>-15256.271412909911</v>
      </c>
      <c r="P376" s="62">
        <f t="shared" si="287"/>
        <v>-15256.271412909911</v>
      </c>
      <c r="Q376" s="62">
        <f t="shared" si="287"/>
        <v>-15256.271412909911</v>
      </c>
      <c r="R376" s="62">
        <f t="shared" si="287"/>
        <v>-15256.271412909911</v>
      </c>
      <c r="S376" s="62">
        <f t="shared" si="287"/>
        <v>-15256.271412909911</v>
      </c>
      <c r="T376" s="62">
        <f t="shared" si="287"/>
        <v>-15256.271412909911</v>
      </c>
      <c r="U376" s="62">
        <f t="shared" si="287"/>
        <v>-15256.271412909911</v>
      </c>
      <c r="V376" s="62">
        <f t="shared" si="287"/>
        <v>-15256.271412909911</v>
      </c>
      <c r="W376" s="62">
        <f t="shared" si="287"/>
        <v>-15256.271412909911</v>
      </c>
      <c r="X376" s="62">
        <f t="shared" si="287"/>
        <v>-15256.271412909911</v>
      </c>
      <c r="Y376" s="62">
        <f t="shared" si="287"/>
        <v>-15256.271412909911</v>
      </c>
      <c r="Z376" s="62">
        <f t="shared" si="287"/>
        <v>-15256.271412909911</v>
      </c>
      <c r="AA376" s="62">
        <f t="shared" si="287"/>
        <v>-15256.271412909911</v>
      </c>
      <c r="AB376" s="62">
        <f t="shared" si="287"/>
        <v>-15256.271412909911</v>
      </c>
      <c r="AC376" s="62">
        <f t="shared" si="287"/>
        <v>-15256.271412909911</v>
      </c>
    </row>
    <row r="377" spans="1:29" x14ac:dyDescent="0.25">
      <c r="A377" s="30" t="str">
        <f t="shared" ref="A377:AC377" si="288">A359</f>
        <v>Opex fix (admin, crew, insurance)</v>
      </c>
      <c r="B377" s="62">
        <f t="shared" si="288"/>
        <v>1450000</v>
      </c>
      <c r="C377" s="62">
        <f t="shared" si="288"/>
        <v>1450000</v>
      </c>
      <c r="D377" s="62">
        <f t="shared" si="288"/>
        <v>1450000</v>
      </c>
      <c r="E377" s="62">
        <f t="shared" si="288"/>
        <v>1450000</v>
      </c>
      <c r="F377" s="62">
        <f t="shared" si="288"/>
        <v>1450000</v>
      </c>
      <c r="G377" s="62">
        <f t="shared" si="288"/>
        <v>1450000</v>
      </c>
      <c r="H377" s="62">
        <f t="shared" si="288"/>
        <v>1450000</v>
      </c>
      <c r="I377" s="62">
        <f t="shared" si="288"/>
        <v>1450000</v>
      </c>
      <c r="J377" s="62">
        <f t="shared" si="288"/>
        <v>1450000</v>
      </c>
      <c r="K377" s="62">
        <f t="shared" si="288"/>
        <v>1450000</v>
      </c>
      <c r="L377" s="62">
        <f t="shared" si="288"/>
        <v>1450000</v>
      </c>
      <c r="M377" s="62">
        <f t="shared" si="288"/>
        <v>1450000</v>
      </c>
      <c r="N377" s="62">
        <f t="shared" si="288"/>
        <v>1450000</v>
      </c>
      <c r="O377" s="62">
        <f t="shared" si="288"/>
        <v>1450000</v>
      </c>
      <c r="P377" s="62">
        <f t="shared" si="288"/>
        <v>1450000</v>
      </c>
      <c r="Q377" s="62">
        <f t="shared" si="288"/>
        <v>1450000</v>
      </c>
      <c r="R377" s="62">
        <f t="shared" si="288"/>
        <v>1450000</v>
      </c>
      <c r="S377" s="62">
        <f t="shared" si="288"/>
        <v>1450000</v>
      </c>
      <c r="T377" s="62">
        <f t="shared" si="288"/>
        <v>1450000</v>
      </c>
      <c r="U377" s="62">
        <f t="shared" si="288"/>
        <v>1450000</v>
      </c>
      <c r="V377" s="62">
        <f t="shared" si="288"/>
        <v>1450000</v>
      </c>
      <c r="W377" s="62">
        <f t="shared" si="288"/>
        <v>1450000</v>
      </c>
      <c r="X377" s="62">
        <f t="shared" si="288"/>
        <v>1450000</v>
      </c>
      <c r="Y377" s="62">
        <f t="shared" si="288"/>
        <v>1450000</v>
      </c>
      <c r="Z377" s="62">
        <f t="shared" si="288"/>
        <v>1450000</v>
      </c>
      <c r="AA377" s="62">
        <f t="shared" si="288"/>
        <v>1450000</v>
      </c>
      <c r="AB377" s="62">
        <f t="shared" si="288"/>
        <v>1450000</v>
      </c>
      <c r="AC377" s="62">
        <f t="shared" si="288"/>
        <v>1450000</v>
      </c>
    </row>
    <row r="378" spans="1:29" x14ac:dyDescent="0.25">
      <c r="A378" s="30" t="str">
        <f t="shared" ref="A378:AC378" si="289">A360</f>
        <v>Opex maintenance &amp; repair</v>
      </c>
      <c r="B378" s="62">
        <f t="shared" si="289"/>
        <v>1293563.9575177333</v>
      </c>
      <c r="C378" s="62">
        <f t="shared" si="289"/>
        <v>1290808.235093934</v>
      </c>
      <c r="D378" s="62">
        <f t="shared" si="289"/>
        <v>1286895.5042898762</v>
      </c>
      <c r="E378" s="62">
        <f t="shared" si="289"/>
        <v>1281365.2352877648</v>
      </c>
      <c r="F378" s="62">
        <f t="shared" si="289"/>
        <v>1273600.837383118</v>
      </c>
      <c r="G378" s="62">
        <f t="shared" si="289"/>
        <v>1262805.5057319398</v>
      </c>
      <c r="H378" s="62">
        <f t="shared" si="289"/>
        <v>1248005.5098923349</v>
      </c>
      <c r="I378" s="62">
        <f t="shared" si="289"/>
        <v>1228115.9013873441</v>
      </c>
      <c r="J378" s="62">
        <f t="shared" si="289"/>
        <v>1202116.3406815415</v>
      </c>
      <c r="K378" s="62">
        <f t="shared" si="289"/>
        <v>1169374.2884687176</v>
      </c>
      <c r="L378" s="62">
        <f t="shared" si="289"/>
        <v>1130084.7656740851</v>
      </c>
      <c r="M378" s="62">
        <f t="shared" si="289"/>
        <v>1085657.2084191416</v>
      </c>
      <c r="N378" s="62">
        <f t="shared" si="289"/>
        <v>1038755.2185067786</v>
      </c>
      <c r="O378" s="62">
        <f t="shared" si="289"/>
        <v>992776.17202817916</v>
      </c>
      <c r="P378" s="62">
        <f t="shared" si="289"/>
        <v>950920.49960650213</v>
      </c>
      <c r="Q378" s="62">
        <f t="shared" si="289"/>
        <v>915349.13841044903</v>
      </c>
      <c r="R378" s="62">
        <f t="shared" si="289"/>
        <v>886862.84856226621</v>
      </c>
      <c r="S378" s="62">
        <f t="shared" si="289"/>
        <v>865126.54509633617</v>
      </c>
      <c r="T378" s="62">
        <f t="shared" si="289"/>
        <v>849148.61879481981</v>
      </c>
      <c r="U378" s="62">
        <f t="shared" si="289"/>
        <v>837724.6326365323</v>
      </c>
      <c r="V378" s="62">
        <f t="shared" si="289"/>
        <v>829718.10542985611</v>
      </c>
      <c r="W378" s="62">
        <f t="shared" si="289"/>
        <v>824185.10301042092</v>
      </c>
      <c r="X378" s="62">
        <f t="shared" si="289"/>
        <v>820398.59373471502</v>
      </c>
      <c r="Y378" s="62">
        <f t="shared" si="289"/>
        <v>817824.59227500285</v>
      </c>
      <c r="Z378" s="62">
        <f t="shared" si="289"/>
        <v>816082.79412917187</v>
      </c>
      <c r="AA378" s="62">
        <f t="shared" si="289"/>
        <v>814907.77528152149</v>
      </c>
      <c r="AB378" s="62">
        <f t="shared" si="289"/>
        <v>814116.75843028165</v>
      </c>
      <c r="AC378" s="62">
        <f t="shared" si="289"/>
        <v>813584.99765465059</v>
      </c>
    </row>
    <row r="379" spans="1:29" x14ac:dyDescent="0.25">
      <c r="A379" s="30" t="str">
        <f>A361</f>
        <v>Opex var (mode-fees, shunting)</v>
      </c>
      <c r="B379" s="62">
        <f>B361*B370</f>
        <v>1600000</v>
      </c>
      <c r="C379" s="62">
        <f t="shared" ref="C379:AC379" si="290">C361*C370</f>
        <v>1600000</v>
      </c>
      <c r="D379" s="62">
        <f t="shared" si="290"/>
        <v>1600000</v>
      </c>
      <c r="E379" s="62">
        <f t="shared" si="290"/>
        <v>1600000</v>
      </c>
      <c r="F379" s="62">
        <f t="shared" si="290"/>
        <v>1600000</v>
      </c>
      <c r="G379" s="62">
        <f t="shared" si="290"/>
        <v>1600000</v>
      </c>
      <c r="H379" s="62">
        <f t="shared" si="290"/>
        <v>1600000</v>
      </c>
      <c r="I379" s="62">
        <f t="shared" si="290"/>
        <v>1600000</v>
      </c>
      <c r="J379" s="62">
        <f t="shared" si="290"/>
        <v>1600000</v>
      </c>
      <c r="K379" s="62">
        <f t="shared" si="290"/>
        <v>1600000</v>
      </c>
      <c r="L379" s="62">
        <f t="shared" si="290"/>
        <v>1600000</v>
      </c>
      <c r="M379" s="62">
        <f t="shared" si="290"/>
        <v>1600000</v>
      </c>
      <c r="N379" s="62">
        <f t="shared" si="290"/>
        <v>1600000</v>
      </c>
      <c r="O379" s="62">
        <f t="shared" si="290"/>
        <v>1600000</v>
      </c>
      <c r="P379" s="62">
        <f t="shared" si="290"/>
        <v>1600000</v>
      </c>
      <c r="Q379" s="62">
        <f t="shared" si="290"/>
        <v>1600000</v>
      </c>
      <c r="R379" s="62">
        <f t="shared" si="290"/>
        <v>1600000</v>
      </c>
      <c r="S379" s="62">
        <f t="shared" si="290"/>
        <v>1600000</v>
      </c>
      <c r="T379" s="62">
        <f t="shared" si="290"/>
        <v>1600000</v>
      </c>
      <c r="U379" s="62">
        <f t="shared" si="290"/>
        <v>1600000</v>
      </c>
      <c r="V379" s="62">
        <f t="shared" si="290"/>
        <v>1600000</v>
      </c>
      <c r="W379" s="62">
        <f t="shared" si="290"/>
        <v>1600000</v>
      </c>
      <c r="X379" s="62">
        <f t="shared" si="290"/>
        <v>1600000</v>
      </c>
      <c r="Y379" s="62">
        <f t="shared" si="290"/>
        <v>1600000</v>
      </c>
      <c r="Z379" s="62">
        <f t="shared" si="290"/>
        <v>1600000</v>
      </c>
      <c r="AA379" s="62">
        <f t="shared" si="290"/>
        <v>1600000</v>
      </c>
      <c r="AB379" s="62">
        <f t="shared" si="290"/>
        <v>1600000</v>
      </c>
      <c r="AC379" s="62">
        <f t="shared" si="290"/>
        <v>1600000</v>
      </c>
    </row>
    <row r="380" spans="1:29" x14ac:dyDescent="0.25">
      <c r="A380" s="30" t="str">
        <f>A363</f>
        <v>Fuel Cost</v>
      </c>
      <c r="B380" s="62">
        <f>B362*B363*B370</f>
        <v>485663.88211701211</v>
      </c>
      <c r="C380" s="62">
        <f t="shared" ref="C380:AC380" si="291">C362*C363*C370</f>
        <v>485663.88211701211</v>
      </c>
      <c r="D380" s="62">
        <f t="shared" si="291"/>
        <v>485663.88211701211</v>
      </c>
      <c r="E380" s="62">
        <f t="shared" si="291"/>
        <v>485663.88211701211</v>
      </c>
      <c r="F380" s="62">
        <f t="shared" si="291"/>
        <v>485663.88211701211</v>
      </c>
      <c r="G380" s="62">
        <f t="shared" si="291"/>
        <v>485663.88211701211</v>
      </c>
      <c r="H380" s="62">
        <f t="shared" si="291"/>
        <v>485663.88211701211</v>
      </c>
      <c r="I380" s="62">
        <f t="shared" si="291"/>
        <v>485663.88211701211</v>
      </c>
      <c r="J380" s="62">
        <f t="shared" si="291"/>
        <v>498055.30565786961</v>
      </c>
      <c r="K380" s="62">
        <f t="shared" si="291"/>
        <v>510446.72919872717</v>
      </c>
      <c r="L380" s="62">
        <f t="shared" si="291"/>
        <v>522838.15273958468</v>
      </c>
      <c r="M380" s="62">
        <f t="shared" si="291"/>
        <v>535229.57628044218</v>
      </c>
      <c r="N380" s="62">
        <f t="shared" si="291"/>
        <v>547620.99982129969</v>
      </c>
      <c r="O380" s="62">
        <f t="shared" si="291"/>
        <v>542424.59640094009</v>
      </c>
      <c r="P380" s="62">
        <f t="shared" si="291"/>
        <v>537228.19298058038</v>
      </c>
      <c r="Q380" s="62">
        <f t="shared" si="291"/>
        <v>532031.78956022079</v>
      </c>
      <c r="R380" s="62">
        <f t="shared" si="291"/>
        <v>526835.38613986108</v>
      </c>
      <c r="S380" s="62">
        <f t="shared" si="291"/>
        <v>521638.9827195016</v>
      </c>
      <c r="T380" s="62">
        <f t="shared" si="291"/>
        <v>516442.57929914194</v>
      </c>
      <c r="U380" s="62">
        <f t="shared" si="291"/>
        <v>511246.17587878235</v>
      </c>
      <c r="V380" s="62">
        <f t="shared" si="291"/>
        <v>506049.7724584227</v>
      </c>
      <c r="W380" s="62">
        <f t="shared" si="291"/>
        <v>500853.36903806304</v>
      </c>
      <c r="X380" s="62">
        <f t="shared" si="291"/>
        <v>495656.96561770356</v>
      </c>
      <c r="Y380" s="62">
        <f t="shared" si="291"/>
        <v>490460.56219734391</v>
      </c>
      <c r="Z380" s="62">
        <f t="shared" si="291"/>
        <v>485264.15877698432</v>
      </c>
      <c r="AA380" s="62">
        <f t="shared" si="291"/>
        <v>480067.75535662472</v>
      </c>
      <c r="AB380" s="62">
        <f t="shared" si="291"/>
        <v>474871.35193626513</v>
      </c>
      <c r="AC380" s="62">
        <f t="shared" si="291"/>
        <v>469674.94851590559</v>
      </c>
    </row>
    <row r="381" spans="1:29" ht="15.75" thickBot="1" x14ac:dyDescent="0.3">
      <c r="A381" s="59" t="str">
        <f>A344</f>
        <v>Emission Cost</v>
      </c>
      <c r="B381" s="62">
        <f>B364*B370</f>
        <v>0</v>
      </c>
      <c r="C381" s="62">
        <f t="shared" ref="C381:AC381" si="292">C364*C370</f>
        <v>0</v>
      </c>
      <c r="D381" s="62">
        <f t="shared" si="292"/>
        <v>0</v>
      </c>
      <c r="E381" s="62">
        <f t="shared" si="292"/>
        <v>0</v>
      </c>
      <c r="F381" s="62">
        <f t="shared" si="292"/>
        <v>0</v>
      </c>
      <c r="G381" s="62">
        <f t="shared" si="292"/>
        <v>0</v>
      </c>
      <c r="H381" s="62">
        <f t="shared" si="292"/>
        <v>0</v>
      </c>
      <c r="I381" s="62">
        <f t="shared" si="292"/>
        <v>0</v>
      </c>
      <c r="J381" s="62">
        <f t="shared" si="292"/>
        <v>0</v>
      </c>
      <c r="K381" s="62">
        <f t="shared" si="292"/>
        <v>0</v>
      </c>
      <c r="L381" s="62">
        <f t="shared" si="292"/>
        <v>0</v>
      </c>
      <c r="M381" s="62">
        <f t="shared" si="292"/>
        <v>0</v>
      </c>
      <c r="N381" s="62">
        <f t="shared" si="292"/>
        <v>0</v>
      </c>
      <c r="O381" s="62">
        <f t="shared" si="292"/>
        <v>0</v>
      </c>
      <c r="P381" s="62">
        <f t="shared" si="292"/>
        <v>0</v>
      </c>
      <c r="Q381" s="62">
        <f t="shared" si="292"/>
        <v>0</v>
      </c>
      <c r="R381" s="62">
        <f t="shared" si="292"/>
        <v>0</v>
      </c>
      <c r="S381" s="62">
        <f t="shared" si="292"/>
        <v>0</v>
      </c>
      <c r="T381" s="62">
        <f t="shared" si="292"/>
        <v>0</v>
      </c>
      <c r="U381" s="62">
        <f t="shared" si="292"/>
        <v>0</v>
      </c>
      <c r="V381" s="62">
        <f t="shared" si="292"/>
        <v>0</v>
      </c>
      <c r="W381" s="62">
        <f t="shared" si="292"/>
        <v>0</v>
      </c>
      <c r="X381" s="62">
        <f t="shared" si="292"/>
        <v>0</v>
      </c>
      <c r="Y381" s="62">
        <f t="shared" si="292"/>
        <v>0</v>
      </c>
      <c r="Z381" s="62">
        <f t="shared" si="292"/>
        <v>0</v>
      </c>
      <c r="AA381" s="62">
        <f t="shared" si="292"/>
        <v>0</v>
      </c>
      <c r="AB381" s="62">
        <f t="shared" si="292"/>
        <v>0</v>
      </c>
      <c r="AC381" s="62">
        <f t="shared" si="292"/>
        <v>0</v>
      </c>
    </row>
    <row r="382" spans="1:29" ht="15.75" thickBot="1" x14ac:dyDescent="0.3">
      <c r="A382" s="31" t="s">
        <v>209</v>
      </c>
      <c r="B382" s="64">
        <f>B373+B374+B375+B376+B377+B378+B379+B380+B381</f>
        <v>5942530.3806655658</v>
      </c>
      <c r="C382" s="64">
        <f t="shared" ref="C382:AC382" si="293">C373+C374+C375+C376+C377+C378+C379+C380+C381</f>
        <v>5937710.9170378055</v>
      </c>
      <c r="D382" s="64">
        <f t="shared" si="293"/>
        <v>5930867.969565114</v>
      </c>
      <c r="E382" s="64">
        <f t="shared" si="293"/>
        <v>5921196.1208777344</v>
      </c>
      <c r="F382" s="64">
        <f t="shared" si="293"/>
        <v>5907617.0198152568</v>
      </c>
      <c r="G382" s="64">
        <f t="shared" si="293"/>
        <v>5888737.1399720851</v>
      </c>
      <c r="H382" s="64">
        <f t="shared" si="293"/>
        <v>5862853.531004806</v>
      </c>
      <c r="I382" s="64">
        <f t="shared" si="293"/>
        <v>5828068.7341281874</v>
      </c>
      <c r="J382" s="64">
        <f t="shared" si="293"/>
        <v>5794989.7082227562</v>
      </c>
      <c r="K382" s="64">
        <f t="shared" si="293"/>
        <v>5750118.7861894956</v>
      </c>
      <c r="L382" s="64">
        <f t="shared" si="293"/>
        <v>5693797.0387572991</v>
      </c>
      <c r="M382" s="64">
        <f t="shared" si="293"/>
        <v>5628489.418878084</v>
      </c>
      <c r="N382" s="64">
        <f t="shared" si="293"/>
        <v>5558854.2810715241</v>
      </c>
      <c r="O382" s="64">
        <f t="shared" si="293"/>
        <v>5473245.4456046848</v>
      </c>
      <c r="P382" s="64">
        <f t="shared" si="293"/>
        <v>5394847.9501187392</v>
      </c>
      <c r="Q382" s="64">
        <f t="shared" si="293"/>
        <v>5327441.0424785987</v>
      </c>
      <c r="R382" s="64">
        <f t="shared" si="293"/>
        <v>5272425.1664482644</v>
      </c>
      <c r="S382" s="64">
        <f t="shared" si="293"/>
        <v>5229214.2942805085</v>
      </c>
      <c r="T382" s="64">
        <f t="shared" si="293"/>
        <v>5196074.2075660126</v>
      </c>
      <c r="U382" s="64">
        <f t="shared" si="293"/>
        <v>5170898.4748422327</v>
      </c>
      <c r="V382" s="64">
        <f t="shared" si="293"/>
        <v>5151699.5121205449</v>
      </c>
      <c r="W382" s="64">
        <f t="shared" si="293"/>
        <v>5136826.4795584092</v>
      </c>
      <c r="X382" s="64">
        <f t="shared" si="293"/>
        <v>5125007.8766114069</v>
      </c>
      <c r="Y382" s="64">
        <f t="shared" si="293"/>
        <v>5115309.8200834095</v>
      </c>
      <c r="Z382" s="64">
        <f t="shared" si="293"/>
        <v>5107067.1980968276</v>
      </c>
      <c r="AA382" s="64">
        <f t="shared" si="293"/>
        <v>5099815.8124513794</v>
      </c>
      <c r="AB382" s="64">
        <f t="shared" si="293"/>
        <v>5093236.0052053761</v>
      </c>
      <c r="AC382" s="64">
        <f t="shared" si="293"/>
        <v>5087109.6090924693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4">A373</f>
        <v>Capex vehicle</v>
      </c>
      <c r="B385" s="65">
        <f>((1+B358)^B365)*B358/(((1+B358)^B365)-1)*(B354)/B370</f>
        <v>4.8601077594228057</v>
      </c>
      <c r="C385" s="65">
        <f t="shared" ref="C385:AC385" si="295">((1+C358)^C365)*C358/(((1+C358)^C365)-1)*(C354)/C370</f>
        <v>4.8497541098356427</v>
      </c>
      <c r="D385" s="65">
        <f t="shared" si="295"/>
        <v>4.8350534116360544</v>
      </c>
      <c r="E385" s="65">
        <f t="shared" si="295"/>
        <v>4.8142753873778386</v>
      </c>
      <c r="F385" s="65">
        <f t="shared" si="295"/>
        <v>4.7851034161859127</v>
      </c>
      <c r="G385" s="65">
        <f t="shared" si="295"/>
        <v>4.7445437864756714</v>
      </c>
      <c r="H385" s="65">
        <f t="shared" si="295"/>
        <v>4.6889380514816965</v>
      </c>
      <c r="I385" s="65">
        <f t="shared" si="295"/>
        <v>4.6142099021194625</v>
      </c>
      <c r="J385" s="65">
        <f t="shared" si="295"/>
        <v>4.5165257744862721</v>
      </c>
      <c r="K385" s="65">
        <f t="shared" si="295"/>
        <v>4.3935091264928241</v>
      </c>
      <c r="L385" s="65">
        <f t="shared" si="295"/>
        <v>4.2458926800941192</v>
      </c>
      <c r="M385" s="65">
        <f t="shared" si="295"/>
        <v>4.0789718916073303</v>
      </c>
      <c r="N385" s="65">
        <f t="shared" si="295"/>
        <v>3.9027543000605887</v>
      </c>
      <c r="O385" s="65">
        <f t="shared" si="295"/>
        <v>3.7300043411097277</v>
      </c>
      <c r="P385" s="65">
        <f t="shared" si="295"/>
        <v>3.5727464976685668</v>
      </c>
      <c r="Q385" s="65">
        <f t="shared" si="295"/>
        <v>3.4390997246911277</v>
      </c>
      <c r="R385" s="65">
        <f t="shared" si="295"/>
        <v>3.3320725943171574</v>
      </c>
      <c r="S385" s="65">
        <f t="shared" si="295"/>
        <v>3.2504061436387905</v>
      </c>
      <c r="T385" s="65">
        <f t="shared" si="295"/>
        <v>3.1903747527313779</v>
      </c>
      <c r="U385" s="65">
        <f t="shared" si="295"/>
        <v>3.147453176686561</v>
      </c>
      <c r="V385" s="65">
        <f t="shared" si="295"/>
        <v>3.1173714905224945</v>
      </c>
      <c r="W385" s="65">
        <f t="shared" si="295"/>
        <v>3.0965831964181936</v>
      </c>
      <c r="X385" s="65">
        <f t="shared" si="295"/>
        <v>3.0823567308421902</v>
      </c>
      <c r="Y385" s="65">
        <f t="shared" si="295"/>
        <v>3.0726858333234324</v>
      </c>
      <c r="Z385" s="65">
        <f t="shared" si="295"/>
        <v>3.0661416445844814</v>
      </c>
      <c r="AA385" s="65">
        <f t="shared" si="295"/>
        <v>3.0617269280289179</v>
      </c>
      <c r="AB385" s="65">
        <f t="shared" si="295"/>
        <v>3.058754962774163</v>
      </c>
      <c r="AC385" s="65">
        <f t="shared" si="295"/>
        <v>3.0567570602686231</v>
      </c>
    </row>
    <row r="386" spans="1:29" x14ac:dyDescent="0.25">
      <c r="A386" s="30" t="str">
        <f t="shared" si="294"/>
        <v>Residual value (vehicle)</v>
      </c>
      <c r="B386" s="66">
        <f>((1+B358)^B365)*B358/(((1+B358)^B365)-1)*(B355)/B370</f>
        <v>-0.24703557911170351</v>
      </c>
      <c r="C386" s="66">
        <f t="shared" ref="C386:AC386" si="296">((1+C358)^C365)*C358/(((1+C358)^C365)-1)*(C355)/C370</f>
        <v>-0.24824350489687252</v>
      </c>
      <c r="D386" s="66">
        <f t="shared" si="296"/>
        <v>-0.24995858635349122</v>
      </c>
      <c r="E386" s="66">
        <f t="shared" si="296"/>
        <v>-0.25238268918361639</v>
      </c>
      <c r="F386" s="66">
        <f t="shared" si="296"/>
        <v>-0.25578608582267437</v>
      </c>
      <c r="G386" s="66">
        <f t="shared" si="296"/>
        <v>-0.26051804262220252</v>
      </c>
      <c r="H386" s="66">
        <f t="shared" si="296"/>
        <v>-0.26700537837149957</v>
      </c>
      <c r="I386" s="66">
        <f t="shared" si="296"/>
        <v>-0.27572366246376023</v>
      </c>
      <c r="J386" s="66">
        <f t="shared" si="296"/>
        <v>-0.28712014402096564</v>
      </c>
      <c r="K386" s="66">
        <f t="shared" si="296"/>
        <v>-0.301472086286868</v>
      </c>
      <c r="L386" s="66">
        <f t="shared" si="296"/>
        <v>-0.31869400503338358</v>
      </c>
      <c r="M386" s="66">
        <f t="shared" si="296"/>
        <v>-0.33816809702350897</v>
      </c>
      <c r="N386" s="66">
        <f t="shared" si="296"/>
        <v>-0.35872681603729545</v>
      </c>
      <c r="O386" s="66">
        <f t="shared" si="296"/>
        <v>-0.378880977914896</v>
      </c>
      <c r="P386" s="66">
        <f t="shared" si="296"/>
        <v>-0.39722772631636477</v>
      </c>
      <c r="Q386" s="66">
        <f t="shared" si="296"/>
        <v>-0.41281984983039921</v>
      </c>
      <c r="R386" s="66">
        <f t="shared" si="296"/>
        <v>-0.42530634837402914</v>
      </c>
      <c r="S386" s="66">
        <f t="shared" si="296"/>
        <v>-0.43483410095317204</v>
      </c>
      <c r="T386" s="66">
        <f t="shared" si="296"/>
        <v>-0.44183776322570334</v>
      </c>
      <c r="U386" s="66">
        <f t="shared" si="296"/>
        <v>-0.44684528043093191</v>
      </c>
      <c r="V386" s="66">
        <f t="shared" si="296"/>
        <v>-0.45035481048340636</v>
      </c>
      <c r="W386" s="66">
        <f t="shared" si="296"/>
        <v>-0.45278011146224156</v>
      </c>
      <c r="X386" s="66">
        <f t="shared" si="296"/>
        <v>-0.45443986577944195</v>
      </c>
      <c r="Y386" s="66">
        <f t="shared" si="296"/>
        <v>-0.45556813715663036</v>
      </c>
      <c r="Z386" s="66">
        <f t="shared" si="296"/>
        <v>-0.45633162584284143</v>
      </c>
      <c r="AA386" s="66">
        <f t="shared" si="296"/>
        <v>-0.45684667610765711</v>
      </c>
      <c r="AB386" s="66">
        <f t="shared" si="296"/>
        <v>-0.45719340538737846</v>
      </c>
      <c r="AC386" s="66">
        <f t="shared" si="296"/>
        <v>-0.45742649401302482</v>
      </c>
    </row>
    <row r="387" spans="1:29" x14ac:dyDescent="0.25">
      <c r="A387" s="30" t="str">
        <f t="shared" si="294"/>
        <v>Capex costumization</v>
      </c>
      <c r="B387" s="66">
        <f>((1+B358)^B366)*B358/(((1+B358)^B366)-1)*(B356)/B370</f>
        <v>1.7093861527069927</v>
      </c>
      <c r="C387" s="66">
        <f t="shared" ref="C387:AC387" si="297">((1+C358)^C366)*C358/(((1+C358)^C366)-1)*(C356)/C370</f>
        <v>1.7093861527069927</v>
      </c>
      <c r="D387" s="66">
        <f t="shared" si="297"/>
        <v>1.7093861527069927</v>
      </c>
      <c r="E387" s="66">
        <f t="shared" si="297"/>
        <v>1.7093861527069927</v>
      </c>
      <c r="F387" s="66">
        <f t="shared" si="297"/>
        <v>1.7093861527069927</v>
      </c>
      <c r="G387" s="66">
        <f t="shared" si="297"/>
        <v>1.7093861527069927</v>
      </c>
      <c r="H387" s="66">
        <f t="shared" si="297"/>
        <v>1.7093861527069927</v>
      </c>
      <c r="I387" s="66">
        <f t="shared" si="297"/>
        <v>1.7093861527069927</v>
      </c>
      <c r="J387" s="66">
        <f t="shared" si="297"/>
        <v>1.7093861527069927</v>
      </c>
      <c r="K387" s="66">
        <f t="shared" si="297"/>
        <v>1.7093861527069927</v>
      </c>
      <c r="L387" s="66">
        <f t="shared" si="297"/>
        <v>1.7093861527069927</v>
      </c>
      <c r="M387" s="66">
        <f t="shared" si="297"/>
        <v>1.7093861527069927</v>
      </c>
      <c r="N387" s="66">
        <f t="shared" si="297"/>
        <v>1.7093861527069927</v>
      </c>
      <c r="O387" s="66">
        <f t="shared" si="297"/>
        <v>1.7093861527069927</v>
      </c>
      <c r="P387" s="66">
        <f t="shared" si="297"/>
        <v>1.7093861527069927</v>
      </c>
      <c r="Q387" s="66">
        <f t="shared" si="297"/>
        <v>1.7093861527069927</v>
      </c>
      <c r="R387" s="66">
        <f t="shared" si="297"/>
        <v>1.7093861527069927</v>
      </c>
      <c r="S387" s="66">
        <f t="shared" si="297"/>
        <v>1.7093861527069927</v>
      </c>
      <c r="T387" s="66">
        <f t="shared" si="297"/>
        <v>1.7093861527069927</v>
      </c>
      <c r="U387" s="66">
        <f t="shared" si="297"/>
        <v>1.7093861527069927</v>
      </c>
      <c r="V387" s="66">
        <f t="shared" si="297"/>
        <v>1.7093861527069927</v>
      </c>
      <c r="W387" s="66">
        <f t="shared" si="297"/>
        <v>1.7093861527069927</v>
      </c>
      <c r="X387" s="66">
        <f t="shared" si="297"/>
        <v>1.7093861527069927</v>
      </c>
      <c r="Y387" s="66">
        <f t="shared" si="297"/>
        <v>1.7093861527069927</v>
      </c>
      <c r="Z387" s="66">
        <f t="shared" si="297"/>
        <v>1.7093861527069927</v>
      </c>
      <c r="AA387" s="66">
        <f t="shared" si="297"/>
        <v>1.7093861527069927</v>
      </c>
      <c r="AB387" s="66">
        <f t="shared" si="297"/>
        <v>1.7093861527069927</v>
      </c>
      <c r="AC387" s="66">
        <f t="shared" si="297"/>
        <v>1.7093861527069927</v>
      </c>
    </row>
    <row r="388" spans="1:29" x14ac:dyDescent="0.25">
      <c r="A388" s="30" t="str">
        <f t="shared" si="294"/>
        <v>Residual value (costumization)</v>
      </c>
      <c r="B388" s="66">
        <f>((1+B358)^B366)*B358/(((1+B358)^B366)-1)*(B357)/B370</f>
        <v>-8.5469307635349642E-2</v>
      </c>
      <c r="C388" s="66">
        <f t="shared" ref="C388:AC388" si="298">((1+C358)^C366)*C358/(((1+C358)^C366)-1)*(C357)/C370</f>
        <v>-8.5469307635349642E-2</v>
      </c>
      <c r="D388" s="66">
        <f t="shared" si="298"/>
        <v>-8.5469307635349642E-2</v>
      </c>
      <c r="E388" s="66">
        <f t="shared" si="298"/>
        <v>-8.5469307635349642E-2</v>
      </c>
      <c r="F388" s="66">
        <f t="shared" si="298"/>
        <v>-8.5469307635349642E-2</v>
      </c>
      <c r="G388" s="66">
        <f t="shared" si="298"/>
        <v>-8.5469307635349642E-2</v>
      </c>
      <c r="H388" s="66">
        <f t="shared" si="298"/>
        <v>-8.5469307635349642E-2</v>
      </c>
      <c r="I388" s="66">
        <f t="shared" si="298"/>
        <v>-8.5469307635349642E-2</v>
      </c>
      <c r="J388" s="66">
        <f t="shared" si="298"/>
        <v>-8.5469307635349642E-2</v>
      </c>
      <c r="K388" s="66">
        <f t="shared" si="298"/>
        <v>-8.5469307635349642E-2</v>
      </c>
      <c r="L388" s="66">
        <f t="shared" si="298"/>
        <v>-8.5469307635349642E-2</v>
      </c>
      <c r="M388" s="66">
        <f t="shared" si="298"/>
        <v>-8.5469307635349642E-2</v>
      </c>
      <c r="N388" s="66">
        <f t="shared" si="298"/>
        <v>-8.5469307635349642E-2</v>
      </c>
      <c r="O388" s="66">
        <f t="shared" si="298"/>
        <v>-8.5469307635349642E-2</v>
      </c>
      <c r="P388" s="66">
        <f t="shared" si="298"/>
        <v>-8.5469307635349642E-2</v>
      </c>
      <c r="Q388" s="66">
        <f t="shared" si="298"/>
        <v>-8.5469307635349642E-2</v>
      </c>
      <c r="R388" s="66">
        <f t="shared" si="298"/>
        <v>-8.5469307635349642E-2</v>
      </c>
      <c r="S388" s="66">
        <f t="shared" si="298"/>
        <v>-8.5469307635349642E-2</v>
      </c>
      <c r="T388" s="66">
        <f t="shared" si="298"/>
        <v>-8.5469307635349642E-2</v>
      </c>
      <c r="U388" s="66">
        <f t="shared" si="298"/>
        <v>-8.5469307635349642E-2</v>
      </c>
      <c r="V388" s="66">
        <f t="shared" si="298"/>
        <v>-8.5469307635349642E-2</v>
      </c>
      <c r="W388" s="66">
        <f t="shared" si="298"/>
        <v>-8.5469307635349642E-2</v>
      </c>
      <c r="X388" s="66">
        <f t="shared" si="298"/>
        <v>-8.5469307635349642E-2</v>
      </c>
      <c r="Y388" s="66">
        <f t="shared" si="298"/>
        <v>-8.5469307635349642E-2</v>
      </c>
      <c r="Z388" s="66">
        <f t="shared" si="298"/>
        <v>-8.5469307635349642E-2</v>
      </c>
      <c r="AA388" s="66">
        <f t="shared" si="298"/>
        <v>-8.5469307635349642E-2</v>
      </c>
      <c r="AB388" s="66">
        <f t="shared" si="298"/>
        <v>-8.5469307635349642E-2</v>
      </c>
      <c r="AC388" s="66">
        <f t="shared" si="298"/>
        <v>-8.5469307635349642E-2</v>
      </c>
    </row>
    <row r="389" spans="1:29" x14ac:dyDescent="0.25">
      <c r="A389" s="30" t="str">
        <f t="shared" si="294"/>
        <v>Opex fix (admin, crew, insurance)</v>
      </c>
      <c r="B389" s="66">
        <f>B359/B370</f>
        <v>8.1232492997198875</v>
      </c>
      <c r="C389" s="66">
        <f t="shared" ref="C389:AC389" si="299">C359/C370</f>
        <v>8.1232492997198875</v>
      </c>
      <c r="D389" s="66">
        <f t="shared" si="299"/>
        <v>8.1232492997198875</v>
      </c>
      <c r="E389" s="66">
        <f t="shared" si="299"/>
        <v>8.1232492997198875</v>
      </c>
      <c r="F389" s="66">
        <f t="shared" si="299"/>
        <v>8.1232492997198875</v>
      </c>
      <c r="G389" s="66">
        <f t="shared" si="299"/>
        <v>8.1232492997198875</v>
      </c>
      <c r="H389" s="66">
        <f t="shared" si="299"/>
        <v>8.1232492997198875</v>
      </c>
      <c r="I389" s="66">
        <f t="shared" si="299"/>
        <v>8.1232492997198875</v>
      </c>
      <c r="J389" s="66">
        <f t="shared" si="299"/>
        <v>8.1232492997198875</v>
      </c>
      <c r="K389" s="66">
        <f t="shared" si="299"/>
        <v>8.1232492997198875</v>
      </c>
      <c r="L389" s="66">
        <f t="shared" si="299"/>
        <v>8.1232492997198875</v>
      </c>
      <c r="M389" s="66">
        <f t="shared" si="299"/>
        <v>8.1232492997198875</v>
      </c>
      <c r="N389" s="66">
        <f t="shared" si="299"/>
        <v>8.1232492997198875</v>
      </c>
      <c r="O389" s="66">
        <f t="shared" si="299"/>
        <v>8.1232492997198875</v>
      </c>
      <c r="P389" s="66">
        <f t="shared" si="299"/>
        <v>8.1232492997198875</v>
      </c>
      <c r="Q389" s="66">
        <f t="shared" si="299"/>
        <v>8.1232492997198875</v>
      </c>
      <c r="R389" s="66">
        <f t="shared" si="299"/>
        <v>8.1232492997198875</v>
      </c>
      <c r="S389" s="66">
        <f t="shared" si="299"/>
        <v>8.1232492997198875</v>
      </c>
      <c r="T389" s="66">
        <f t="shared" si="299"/>
        <v>8.1232492997198875</v>
      </c>
      <c r="U389" s="66">
        <f t="shared" si="299"/>
        <v>8.1232492997198875</v>
      </c>
      <c r="V389" s="66">
        <f t="shared" si="299"/>
        <v>8.1232492997198875</v>
      </c>
      <c r="W389" s="66">
        <f t="shared" si="299"/>
        <v>8.1232492997198875</v>
      </c>
      <c r="X389" s="66">
        <f t="shared" si="299"/>
        <v>8.1232492997198875</v>
      </c>
      <c r="Y389" s="66">
        <f t="shared" si="299"/>
        <v>8.1232492997198875</v>
      </c>
      <c r="Z389" s="66">
        <f t="shared" si="299"/>
        <v>8.1232492997198875</v>
      </c>
      <c r="AA389" s="66">
        <f t="shared" si="299"/>
        <v>8.1232492997198875</v>
      </c>
      <c r="AB389" s="66">
        <f t="shared" si="299"/>
        <v>8.1232492997198875</v>
      </c>
      <c r="AC389" s="66">
        <f t="shared" si="299"/>
        <v>8.1232492997198875</v>
      </c>
    </row>
    <row r="390" spans="1:29" x14ac:dyDescent="0.25">
      <c r="A390" s="30" t="str">
        <f t="shared" si="294"/>
        <v>Opex maintenance &amp; repair</v>
      </c>
      <c r="B390" s="66">
        <f>B360/B370</f>
        <v>7.246856904861251</v>
      </c>
      <c r="C390" s="66">
        <f t="shared" ref="C390:AC390" si="300">C360/C370</f>
        <v>7.2314186839996299</v>
      </c>
      <c r="D390" s="66">
        <f t="shared" si="300"/>
        <v>7.2094986234726957</v>
      </c>
      <c r="E390" s="66">
        <f t="shared" si="300"/>
        <v>7.1785167243012031</v>
      </c>
      <c r="F390" s="66">
        <f t="shared" si="300"/>
        <v>7.1350186968241909</v>
      </c>
      <c r="G390" s="66">
        <f t="shared" si="300"/>
        <v>7.0745406483582061</v>
      </c>
      <c r="H390" s="66">
        <f t="shared" si="300"/>
        <v>6.9916275063996354</v>
      </c>
      <c r="I390" s="66">
        <f t="shared" si="300"/>
        <v>6.8802011282204152</v>
      </c>
      <c r="J390" s="66">
        <f t="shared" si="300"/>
        <v>6.7345453259470114</v>
      </c>
      <c r="K390" s="66">
        <f t="shared" si="300"/>
        <v>6.5511164620096221</v>
      </c>
      <c r="L390" s="66">
        <f t="shared" si="300"/>
        <v>6.3310070906111209</v>
      </c>
      <c r="M390" s="66">
        <f t="shared" si="300"/>
        <v>6.0821132124321657</v>
      </c>
      <c r="N390" s="66">
        <f t="shared" si="300"/>
        <v>5.8193569664245297</v>
      </c>
      <c r="O390" s="66">
        <f t="shared" si="300"/>
        <v>5.56177127186655</v>
      </c>
      <c r="P390" s="66">
        <f t="shared" si="300"/>
        <v>5.3272857120812445</v>
      </c>
      <c r="Q390" s="66">
        <f t="shared" si="300"/>
        <v>5.1280063776495748</v>
      </c>
      <c r="R390" s="66">
        <f t="shared" si="300"/>
        <v>4.9684193196765616</v>
      </c>
      <c r="S390" s="66">
        <f t="shared" si="300"/>
        <v>4.8466473114640678</v>
      </c>
      <c r="T390" s="66">
        <f t="shared" si="300"/>
        <v>4.7571351192987104</v>
      </c>
      <c r="U390" s="66">
        <f t="shared" si="300"/>
        <v>4.6931351968433184</v>
      </c>
      <c r="V390" s="66">
        <f t="shared" si="300"/>
        <v>4.6482807026882691</v>
      </c>
      <c r="W390" s="66">
        <f t="shared" si="300"/>
        <v>4.6172834902544588</v>
      </c>
      <c r="X390" s="66">
        <f t="shared" si="300"/>
        <v>4.5960705531356583</v>
      </c>
      <c r="Y390" s="66">
        <f t="shared" si="300"/>
        <v>4.5816503768907726</v>
      </c>
      <c r="Z390" s="66">
        <f t="shared" si="300"/>
        <v>4.5718924040849966</v>
      </c>
      <c r="AA390" s="66">
        <f t="shared" si="300"/>
        <v>4.5653096654426975</v>
      </c>
      <c r="AB390" s="66">
        <f t="shared" si="300"/>
        <v>4.5608781984889726</v>
      </c>
      <c r="AC390" s="66">
        <f t="shared" si="300"/>
        <v>4.5578991465246528</v>
      </c>
    </row>
    <row r="391" spans="1:29" x14ac:dyDescent="0.25">
      <c r="A391" s="30" t="str">
        <f t="shared" si="294"/>
        <v>Opex var (mode-fees, shunting)</v>
      </c>
      <c r="B391" s="66">
        <f>B361*B370/B370</f>
        <v>8.9635854341736696</v>
      </c>
      <c r="C391" s="66">
        <f t="shared" ref="C391:AC391" si="301">C361*C370/C370</f>
        <v>8.9635854341736696</v>
      </c>
      <c r="D391" s="66">
        <f t="shared" si="301"/>
        <v>8.9635854341736696</v>
      </c>
      <c r="E391" s="66">
        <f t="shared" si="301"/>
        <v>8.9635854341736696</v>
      </c>
      <c r="F391" s="66">
        <f t="shared" si="301"/>
        <v>8.9635854341736696</v>
      </c>
      <c r="G391" s="66">
        <f t="shared" si="301"/>
        <v>8.9635854341736696</v>
      </c>
      <c r="H391" s="66">
        <f t="shared" si="301"/>
        <v>8.9635854341736696</v>
      </c>
      <c r="I391" s="66">
        <f t="shared" si="301"/>
        <v>8.9635854341736696</v>
      </c>
      <c r="J391" s="66">
        <f t="shared" si="301"/>
        <v>8.9635854341736696</v>
      </c>
      <c r="K391" s="66">
        <f t="shared" si="301"/>
        <v>8.9635854341736696</v>
      </c>
      <c r="L391" s="66">
        <f t="shared" si="301"/>
        <v>8.9635854341736696</v>
      </c>
      <c r="M391" s="66">
        <f t="shared" si="301"/>
        <v>8.9635854341736696</v>
      </c>
      <c r="N391" s="66">
        <f t="shared" si="301"/>
        <v>8.9635854341736696</v>
      </c>
      <c r="O391" s="66">
        <f t="shared" si="301"/>
        <v>8.9635854341736696</v>
      </c>
      <c r="P391" s="66">
        <f t="shared" si="301"/>
        <v>8.9635854341736696</v>
      </c>
      <c r="Q391" s="66">
        <f t="shared" si="301"/>
        <v>8.9635854341736696</v>
      </c>
      <c r="R391" s="66">
        <f t="shared" si="301"/>
        <v>8.9635854341736696</v>
      </c>
      <c r="S391" s="66">
        <f t="shared" si="301"/>
        <v>8.9635854341736696</v>
      </c>
      <c r="T391" s="66">
        <f t="shared" si="301"/>
        <v>8.9635854341736696</v>
      </c>
      <c r="U391" s="66">
        <f t="shared" si="301"/>
        <v>8.9635854341736696</v>
      </c>
      <c r="V391" s="66">
        <f t="shared" si="301"/>
        <v>8.9635854341736696</v>
      </c>
      <c r="W391" s="66">
        <f t="shared" si="301"/>
        <v>8.9635854341736696</v>
      </c>
      <c r="X391" s="66">
        <f t="shared" si="301"/>
        <v>8.9635854341736696</v>
      </c>
      <c r="Y391" s="66">
        <f t="shared" si="301"/>
        <v>8.9635854341736696</v>
      </c>
      <c r="Z391" s="66">
        <f t="shared" si="301"/>
        <v>8.9635854341736696</v>
      </c>
      <c r="AA391" s="66">
        <f t="shared" si="301"/>
        <v>8.9635854341736696</v>
      </c>
      <c r="AB391" s="66">
        <f t="shared" si="301"/>
        <v>8.9635854341736696</v>
      </c>
      <c r="AC391" s="66">
        <f t="shared" si="301"/>
        <v>8.9635854341736696</v>
      </c>
    </row>
    <row r="392" spans="1:29" x14ac:dyDescent="0.25">
      <c r="A392" s="30" t="str">
        <f t="shared" si="294"/>
        <v>Fuel Cost</v>
      </c>
      <c r="B392" s="66">
        <f>B362*B363*B370/B370</f>
        <v>2.7208060622801797</v>
      </c>
      <c r="C392" s="66">
        <f t="shared" ref="C392:AC392" si="302">C362*C363*C370/C370</f>
        <v>2.7208060622801797</v>
      </c>
      <c r="D392" s="66">
        <f t="shared" si="302"/>
        <v>2.7208060622801797</v>
      </c>
      <c r="E392" s="66">
        <f t="shared" si="302"/>
        <v>2.7208060622801797</v>
      </c>
      <c r="F392" s="66">
        <f t="shared" si="302"/>
        <v>2.7208060622801797</v>
      </c>
      <c r="G392" s="66">
        <f t="shared" si="302"/>
        <v>2.7208060622801797</v>
      </c>
      <c r="H392" s="66">
        <f t="shared" si="302"/>
        <v>2.7208060622801797</v>
      </c>
      <c r="I392" s="66">
        <f t="shared" si="302"/>
        <v>2.7208060622801797</v>
      </c>
      <c r="J392" s="66">
        <f t="shared" si="302"/>
        <v>2.7902258020048718</v>
      </c>
      <c r="K392" s="66">
        <f t="shared" si="302"/>
        <v>2.8596455417295639</v>
      </c>
      <c r="L392" s="66">
        <f t="shared" si="302"/>
        <v>2.9290652814542559</v>
      </c>
      <c r="M392" s="66">
        <f t="shared" si="302"/>
        <v>2.998485021178948</v>
      </c>
      <c r="N392" s="66">
        <f t="shared" si="302"/>
        <v>3.0679047609036396</v>
      </c>
      <c r="O392" s="66">
        <f t="shared" si="302"/>
        <v>3.0387932571481238</v>
      </c>
      <c r="P392" s="66">
        <f t="shared" si="302"/>
        <v>3.009681753392607</v>
      </c>
      <c r="Q392" s="66">
        <f t="shared" si="302"/>
        <v>2.9805702496370912</v>
      </c>
      <c r="R392" s="66">
        <f t="shared" si="302"/>
        <v>2.9514587458815749</v>
      </c>
      <c r="S392" s="66">
        <f t="shared" si="302"/>
        <v>2.9223472421260595</v>
      </c>
      <c r="T392" s="66">
        <f t="shared" si="302"/>
        <v>2.8932357383705432</v>
      </c>
      <c r="U392" s="66">
        <f t="shared" si="302"/>
        <v>2.8641242346150273</v>
      </c>
      <c r="V392" s="66">
        <f t="shared" si="302"/>
        <v>2.835012730859511</v>
      </c>
      <c r="W392" s="66">
        <f t="shared" si="302"/>
        <v>2.8059012271039947</v>
      </c>
      <c r="X392" s="66">
        <f t="shared" si="302"/>
        <v>2.7767897233484793</v>
      </c>
      <c r="Y392" s="66">
        <f t="shared" si="302"/>
        <v>2.747678219592963</v>
      </c>
      <c r="Z392" s="66">
        <f t="shared" si="302"/>
        <v>2.7185667158374471</v>
      </c>
      <c r="AA392" s="66">
        <f t="shared" si="302"/>
        <v>2.6894552120819313</v>
      </c>
      <c r="AB392" s="66">
        <f t="shared" si="302"/>
        <v>2.6603437083264154</v>
      </c>
      <c r="AC392" s="66">
        <f t="shared" si="302"/>
        <v>2.6312322045708996</v>
      </c>
    </row>
    <row r="393" spans="1:29" ht="15.75" thickBot="1" x14ac:dyDescent="0.3">
      <c r="A393" s="59" t="str">
        <f t="shared" ref="A393" si="303">A381</f>
        <v>Emission Cost</v>
      </c>
      <c r="B393" s="66">
        <f>B364</f>
        <v>0</v>
      </c>
      <c r="C393" s="66">
        <f t="shared" ref="C393:AC393" si="304">C364</f>
        <v>0</v>
      </c>
      <c r="D393" s="66">
        <f t="shared" si="304"/>
        <v>0</v>
      </c>
      <c r="E393" s="66">
        <f t="shared" si="304"/>
        <v>0</v>
      </c>
      <c r="F393" s="66">
        <f t="shared" si="304"/>
        <v>0</v>
      </c>
      <c r="G393" s="66">
        <f t="shared" si="304"/>
        <v>0</v>
      </c>
      <c r="H393" s="66">
        <f t="shared" si="304"/>
        <v>0</v>
      </c>
      <c r="I393" s="66">
        <f t="shared" si="304"/>
        <v>0</v>
      </c>
      <c r="J393" s="66">
        <f t="shared" si="304"/>
        <v>0</v>
      </c>
      <c r="K393" s="66">
        <f t="shared" si="304"/>
        <v>0</v>
      </c>
      <c r="L393" s="66">
        <f t="shared" si="304"/>
        <v>0</v>
      </c>
      <c r="M393" s="66">
        <f t="shared" si="304"/>
        <v>0</v>
      </c>
      <c r="N393" s="66">
        <f t="shared" si="304"/>
        <v>0</v>
      </c>
      <c r="O393" s="66">
        <f t="shared" si="304"/>
        <v>0</v>
      </c>
      <c r="P393" s="66">
        <f t="shared" si="304"/>
        <v>0</v>
      </c>
      <c r="Q393" s="66">
        <f t="shared" si="304"/>
        <v>0</v>
      </c>
      <c r="R393" s="66">
        <f t="shared" si="304"/>
        <v>0</v>
      </c>
      <c r="S393" s="66">
        <f t="shared" si="304"/>
        <v>0</v>
      </c>
      <c r="T393" s="66">
        <f t="shared" si="304"/>
        <v>0</v>
      </c>
      <c r="U393" s="66">
        <f t="shared" si="304"/>
        <v>0</v>
      </c>
      <c r="V393" s="66">
        <f t="shared" si="304"/>
        <v>0</v>
      </c>
      <c r="W393" s="66">
        <f t="shared" si="304"/>
        <v>0</v>
      </c>
      <c r="X393" s="66">
        <f t="shared" si="304"/>
        <v>0</v>
      </c>
      <c r="Y393" s="66">
        <f t="shared" si="304"/>
        <v>0</v>
      </c>
      <c r="Z393" s="66">
        <f t="shared" si="304"/>
        <v>0</v>
      </c>
      <c r="AA393" s="66">
        <f t="shared" si="304"/>
        <v>0</v>
      </c>
      <c r="AB393" s="66">
        <f t="shared" si="304"/>
        <v>0</v>
      </c>
      <c r="AC393" s="66">
        <f t="shared" si="304"/>
        <v>0</v>
      </c>
    </row>
    <row r="394" spans="1:29" ht="15.75" thickBot="1" x14ac:dyDescent="0.3">
      <c r="A394" s="31" t="s">
        <v>63</v>
      </c>
      <c r="B394" s="76">
        <f>B385+B386+B387-B388+B389+B390+B391+B392+B393</f>
        <v>33.46242534168843</v>
      </c>
      <c r="C394" s="76">
        <f t="shared" ref="C394:AC394" si="305">C385+C386+C387-C388+C389+C390+C391+C392+C393</f>
        <v>33.435425545454478</v>
      </c>
      <c r="D394" s="76">
        <f t="shared" si="305"/>
        <v>33.397089705271341</v>
      </c>
      <c r="E394" s="76">
        <f t="shared" si="305"/>
        <v>33.342905679011508</v>
      </c>
      <c r="F394" s="76">
        <f t="shared" si="305"/>
        <v>33.266832283703508</v>
      </c>
      <c r="G394" s="76">
        <f t="shared" si="305"/>
        <v>33.161062648727757</v>
      </c>
      <c r="H394" s="76">
        <f t="shared" si="305"/>
        <v>33.016056436025913</v>
      </c>
      <c r="I394" s="76">
        <f t="shared" si="305"/>
        <v>32.821183624392198</v>
      </c>
      <c r="J394" s="76">
        <f t="shared" si="305"/>
        <v>32.635866952653089</v>
      </c>
      <c r="K394" s="76">
        <f t="shared" si="305"/>
        <v>32.384489238181047</v>
      </c>
      <c r="L394" s="76">
        <f t="shared" si="305"/>
        <v>32.068961241362011</v>
      </c>
      <c r="M394" s="76">
        <f t="shared" si="305"/>
        <v>31.703092222430833</v>
      </c>
      <c r="N394" s="76">
        <f t="shared" si="305"/>
        <v>31.312979405587363</v>
      </c>
      <c r="O394" s="76">
        <f t="shared" si="305"/>
        <v>30.833378086445407</v>
      </c>
      <c r="P394" s="76">
        <f t="shared" si="305"/>
        <v>30.39417643106195</v>
      </c>
      <c r="Q394" s="76">
        <f t="shared" si="305"/>
        <v>30.016546696383291</v>
      </c>
      <c r="R394" s="76">
        <f t="shared" si="305"/>
        <v>29.708334505737163</v>
      </c>
      <c r="S394" s="76">
        <f t="shared" si="305"/>
        <v>29.466256790511643</v>
      </c>
      <c r="T394" s="76">
        <f t="shared" si="305"/>
        <v>29.280598041410826</v>
      </c>
      <c r="U394" s="76">
        <f t="shared" si="305"/>
        <v>29.139557521949872</v>
      </c>
      <c r="V394" s="76">
        <f t="shared" si="305"/>
        <v>29.032000307822766</v>
      </c>
      <c r="W394" s="76">
        <f t="shared" si="305"/>
        <v>28.948677996550305</v>
      </c>
      <c r="X394" s="76">
        <f t="shared" si="305"/>
        <v>28.882467335782785</v>
      </c>
      <c r="Y394" s="76">
        <f t="shared" si="305"/>
        <v>28.828136486886439</v>
      </c>
      <c r="Z394" s="76">
        <f t="shared" si="305"/>
        <v>28.781959332899984</v>
      </c>
      <c r="AA394" s="76">
        <f t="shared" si="305"/>
        <v>28.741335323681788</v>
      </c>
      <c r="AB394" s="76">
        <f t="shared" si="305"/>
        <v>28.704473658438072</v>
      </c>
      <c r="AC394" s="76">
        <f t="shared" si="305"/>
        <v>28.670152111587051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6">A373</f>
        <v>Capex vehicle</v>
      </c>
      <c r="B397" s="65">
        <f>((1+B358)^B365)*B358/(((1+B358)^B365)-1)*(B354)/B370/(B367)</f>
        <v>2.1696909640280381E-3</v>
      </c>
      <c r="C397" s="65">
        <f t="shared" ref="C397:AC397" si="307">((1+C358)^C365)*C358/(((1+C358)^C365)-1)*(C354)/C370/(C367)</f>
        <v>2.1650687990337689E-3</v>
      </c>
      <c r="D397" s="65">
        <f t="shared" si="307"/>
        <v>2.1585059873375245E-3</v>
      </c>
      <c r="E397" s="65">
        <f t="shared" si="307"/>
        <v>2.1492300836508209E-3</v>
      </c>
      <c r="F397" s="65">
        <f t="shared" si="307"/>
        <v>2.1362068822258539E-3</v>
      </c>
      <c r="G397" s="65">
        <f t="shared" si="307"/>
        <v>2.1180999046766392E-3</v>
      </c>
      <c r="H397" s="65">
        <f t="shared" si="307"/>
        <v>2.093275915840043E-3</v>
      </c>
      <c r="I397" s="65">
        <f t="shared" si="307"/>
        <v>2.0599151348747601E-3</v>
      </c>
      <c r="J397" s="65">
        <f t="shared" si="307"/>
        <v>2.0163061493242286E-3</v>
      </c>
      <c r="K397" s="65">
        <f t="shared" si="307"/>
        <v>1.9613880028985821E-3</v>
      </c>
      <c r="L397" s="65">
        <f t="shared" si="307"/>
        <v>1.8954878036134461E-3</v>
      </c>
      <c r="M397" s="65">
        <f t="shared" si="307"/>
        <v>1.8209695944675583E-3</v>
      </c>
      <c r="N397" s="65">
        <f t="shared" si="307"/>
        <v>1.7423010268127629E-3</v>
      </c>
      <c r="O397" s="65">
        <f t="shared" si="307"/>
        <v>1.6651805094239855E-3</v>
      </c>
      <c r="P397" s="65">
        <f t="shared" si="307"/>
        <v>1.5949761150306102E-3</v>
      </c>
      <c r="Q397" s="65">
        <f t="shared" si="307"/>
        <v>1.5353123770942534E-3</v>
      </c>
      <c r="R397" s="65">
        <f t="shared" si="307"/>
        <v>1.4875324081773025E-3</v>
      </c>
      <c r="S397" s="65">
        <f t="shared" si="307"/>
        <v>1.4510741712673173E-3</v>
      </c>
      <c r="T397" s="65">
        <f t="shared" si="307"/>
        <v>1.4242744431836509E-3</v>
      </c>
      <c r="U397" s="65">
        <f t="shared" si="307"/>
        <v>1.4051130253065005E-3</v>
      </c>
      <c r="V397" s="65">
        <f t="shared" si="307"/>
        <v>1.3916837011261137E-3</v>
      </c>
      <c r="W397" s="65">
        <f t="shared" si="307"/>
        <v>1.3824032126866935E-3</v>
      </c>
      <c r="X397" s="65">
        <f t="shared" si="307"/>
        <v>1.3760521119831207E-3</v>
      </c>
      <c r="Y397" s="65">
        <f t="shared" si="307"/>
        <v>1.3717347470193894E-3</v>
      </c>
      <c r="Z397" s="65">
        <f t="shared" si="307"/>
        <v>1.3688132341895007E-3</v>
      </c>
      <c r="AA397" s="65">
        <f t="shared" si="307"/>
        <v>1.3668423785843384E-3</v>
      </c>
      <c r="AB397" s="65">
        <f t="shared" si="307"/>
        <v>1.3655156083813228E-3</v>
      </c>
      <c r="AC397" s="65">
        <f t="shared" si="307"/>
        <v>1.364623687619921E-3</v>
      </c>
    </row>
    <row r="398" spans="1:29" x14ac:dyDescent="0.25">
      <c r="A398" s="30" t="str">
        <f t="shared" si="306"/>
        <v>Residual value (vehicle)</v>
      </c>
      <c r="B398" s="68">
        <f>((1+B358)^B365)*B358/(((1+B358)^B365)-1)*(B355)/B370/(B367)</f>
        <v>-1.1028374067486764E-4</v>
      </c>
      <c r="C398" s="68">
        <f t="shared" ref="C398:AC398" si="308">((1+C358)^C365)*C358/(((1+C358)^C365)-1)*(C355)/C370/(C367)</f>
        <v>-1.1082299325753238E-4</v>
      </c>
      <c r="D398" s="68">
        <f t="shared" si="308"/>
        <v>-1.115886546220943E-4</v>
      </c>
      <c r="E398" s="68">
        <f t="shared" si="308"/>
        <v>-1.1267084338554303E-4</v>
      </c>
      <c r="F398" s="68">
        <f t="shared" si="308"/>
        <v>-1.1419021688512248E-4</v>
      </c>
      <c r="G398" s="68">
        <f t="shared" si="308"/>
        <v>-1.1630269759919755E-4</v>
      </c>
      <c r="H398" s="68">
        <f t="shared" si="308"/>
        <v>-1.1919882963013374E-4</v>
      </c>
      <c r="I398" s="68">
        <f t="shared" si="308"/>
        <v>-1.230909207427501E-4</v>
      </c>
      <c r="J398" s="68">
        <f t="shared" si="308"/>
        <v>-1.2817863572364536E-4</v>
      </c>
      <c r="K398" s="68">
        <f t="shared" si="308"/>
        <v>-1.345857528066375E-4</v>
      </c>
      <c r="L398" s="68">
        <f t="shared" si="308"/>
        <v>-1.4227410938990337E-4</v>
      </c>
      <c r="M398" s="68">
        <f t="shared" si="308"/>
        <v>-1.5096790045692366E-4</v>
      </c>
      <c r="N398" s="68">
        <f t="shared" si="308"/>
        <v>-1.6014590001664974E-4</v>
      </c>
      <c r="O398" s="68">
        <f t="shared" si="308"/>
        <v>-1.6914329371200715E-4</v>
      </c>
      <c r="P398" s="68">
        <f t="shared" si="308"/>
        <v>-1.7733380639123428E-4</v>
      </c>
      <c r="Q398" s="68">
        <f t="shared" si="308"/>
        <v>-1.842945758171425E-4</v>
      </c>
      <c r="R398" s="68">
        <f t="shared" si="308"/>
        <v>-1.8986890552412014E-4</v>
      </c>
      <c r="S398" s="68">
        <f t="shared" si="308"/>
        <v>-1.9412236649695181E-4</v>
      </c>
      <c r="T398" s="68">
        <f t="shared" si="308"/>
        <v>-1.9724900144004614E-4</v>
      </c>
      <c r="U398" s="68">
        <f t="shared" si="308"/>
        <v>-1.9948450019238032E-4</v>
      </c>
      <c r="V398" s="68">
        <f t="shared" si="308"/>
        <v>-2.0105125468009212E-4</v>
      </c>
      <c r="W398" s="68">
        <f t="shared" si="308"/>
        <v>-2.0213397833135783E-4</v>
      </c>
      <c r="X398" s="68">
        <f t="shared" si="308"/>
        <v>-2.0287494008010802E-4</v>
      </c>
      <c r="Y398" s="68">
        <f t="shared" si="308"/>
        <v>-2.0337863265920998E-4</v>
      </c>
      <c r="Z398" s="68">
        <f t="shared" si="308"/>
        <v>-2.0371947582269707E-4</v>
      </c>
      <c r="AA398" s="68">
        <f t="shared" si="308"/>
        <v>-2.0394940897663265E-4</v>
      </c>
      <c r="AB398" s="68">
        <f t="shared" si="308"/>
        <v>-2.0410419883365111E-4</v>
      </c>
      <c r="AC398" s="68">
        <f t="shared" si="308"/>
        <v>-2.0420825625581466E-4</v>
      </c>
    </row>
    <row r="399" spans="1:29" x14ac:dyDescent="0.25">
      <c r="A399" s="30" t="str">
        <f t="shared" si="306"/>
        <v>Capex costumization</v>
      </c>
      <c r="B399" s="66">
        <f>((1+B358)^B366)*B358/(((1+B358)^B366)-1)*(B356)/B370/(B367)</f>
        <v>7.6311881817276459E-4</v>
      </c>
      <c r="C399" s="66">
        <f t="shared" ref="C399:AC399" si="309">((1+C358)^C366)*C358/(((1+C358)^C366)-1)*(C356)/C370/(C367)</f>
        <v>7.6311881817276459E-4</v>
      </c>
      <c r="D399" s="66">
        <f t="shared" si="309"/>
        <v>7.6311881817276459E-4</v>
      </c>
      <c r="E399" s="66">
        <f t="shared" si="309"/>
        <v>7.6311881817276459E-4</v>
      </c>
      <c r="F399" s="66">
        <f t="shared" si="309"/>
        <v>7.6311881817276459E-4</v>
      </c>
      <c r="G399" s="66">
        <f t="shared" si="309"/>
        <v>7.6311881817276459E-4</v>
      </c>
      <c r="H399" s="66">
        <f t="shared" si="309"/>
        <v>7.6311881817276459E-4</v>
      </c>
      <c r="I399" s="66">
        <f t="shared" si="309"/>
        <v>7.6311881817276459E-4</v>
      </c>
      <c r="J399" s="66">
        <f t="shared" si="309"/>
        <v>7.6311881817276459E-4</v>
      </c>
      <c r="K399" s="66">
        <f t="shared" si="309"/>
        <v>7.6311881817276459E-4</v>
      </c>
      <c r="L399" s="66">
        <f t="shared" si="309"/>
        <v>7.6311881817276459E-4</v>
      </c>
      <c r="M399" s="66">
        <f t="shared" si="309"/>
        <v>7.6311881817276459E-4</v>
      </c>
      <c r="N399" s="66">
        <f t="shared" si="309"/>
        <v>7.6311881817276459E-4</v>
      </c>
      <c r="O399" s="66">
        <f t="shared" si="309"/>
        <v>7.6311881817276459E-4</v>
      </c>
      <c r="P399" s="66">
        <f t="shared" si="309"/>
        <v>7.6311881817276459E-4</v>
      </c>
      <c r="Q399" s="66">
        <f t="shared" si="309"/>
        <v>7.6311881817276459E-4</v>
      </c>
      <c r="R399" s="66">
        <f t="shared" si="309"/>
        <v>7.6311881817276459E-4</v>
      </c>
      <c r="S399" s="66">
        <f t="shared" si="309"/>
        <v>7.6311881817276459E-4</v>
      </c>
      <c r="T399" s="66">
        <f t="shared" si="309"/>
        <v>7.6311881817276459E-4</v>
      </c>
      <c r="U399" s="66">
        <f t="shared" si="309"/>
        <v>7.6311881817276459E-4</v>
      </c>
      <c r="V399" s="66">
        <f t="shared" si="309"/>
        <v>7.6311881817276459E-4</v>
      </c>
      <c r="W399" s="66">
        <f t="shared" si="309"/>
        <v>7.6311881817276459E-4</v>
      </c>
      <c r="X399" s="66">
        <f t="shared" si="309"/>
        <v>7.6311881817276459E-4</v>
      </c>
      <c r="Y399" s="66">
        <f t="shared" si="309"/>
        <v>7.6311881817276459E-4</v>
      </c>
      <c r="Z399" s="66">
        <f t="shared" si="309"/>
        <v>7.6311881817276459E-4</v>
      </c>
      <c r="AA399" s="66">
        <f t="shared" si="309"/>
        <v>7.6311881817276459E-4</v>
      </c>
      <c r="AB399" s="66">
        <f t="shared" si="309"/>
        <v>7.6311881817276459E-4</v>
      </c>
      <c r="AC399" s="66">
        <f t="shared" si="309"/>
        <v>7.6311881817276459E-4</v>
      </c>
    </row>
    <row r="400" spans="1:29" x14ac:dyDescent="0.25">
      <c r="A400" s="30" t="str">
        <f t="shared" si="306"/>
        <v>Residual value (costumization)</v>
      </c>
      <c r="B400" s="69">
        <f>((1+B358)^B366)*B358/(((1+B358)^B366)-1)*(B357)/B370/(B367)</f>
        <v>-3.8155940908638231E-5</v>
      </c>
      <c r="C400" s="69">
        <f t="shared" ref="C400:AC400" si="310">((1+C358)^C366)*C358/(((1+C358)^C366)-1)*(C357)/C370/(C367)</f>
        <v>-3.8155940908638231E-5</v>
      </c>
      <c r="D400" s="69">
        <f t="shared" si="310"/>
        <v>-3.8155940908638231E-5</v>
      </c>
      <c r="E400" s="69">
        <f t="shared" si="310"/>
        <v>-3.8155940908638231E-5</v>
      </c>
      <c r="F400" s="69">
        <f t="shared" si="310"/>
        <v>-3.8155940908638231E-5</v>
      </c>
      <c r="G400" s="69">
        <f t="shared" si="310"/>
        <v>-3.8155940908638231E-5</v>
      </c>
      <c r="H400" s="69">
        <f t="shared" si="310"/>
        <v>-3.8155940908638231E-5</v>
      </c>
      <c r="I400" s="69">
        <f t="shared" si="310"/>
        <v>-3.8155940908638231E-5</v>
      </c>
      <c r="J400" s="69">
        <f t="shared" si="310"/>
        <v>-3.8155940908638231E-5</v>
      </c>
      <c r="K400" s="69">
        <f t="shared" si="310"/>
        <v>-3.8155940908638231E-5</v>
      </c>
      <c r="L400" s="69">
        <f t="shared" si="310"/>
        <v>-3.8155940908638231E-5</v>
      </c>
      <c r="M400" s="69">
        <f t="shared" si="310"/>
        <v>-3.8155940908638231E-5</v>
      </c>
      <c r="N400" s="69">
        <f t="shared" si="310"/>
        <v>-3.8155940908638231E-5</v>
      </c>
      <c r="O400" s="69">
        <f t="shared" si="310"/>
        <v>-3.8155940908638231E-5</v>
      </c>
      <c r="P400" s="69">
        <f t="shared" si="310"/>
        <v>-3.8155940908638231E-5</v>
      </c>
      <c r="Q400" s="69">
        <f t="shared" si="310"/>
        <v>-3.8155940908638231E-5</v>
      </c>
      <c r="R400" s="69">
        <f t="shared" si="310"/>
        <v>-3.8155940908638231E-5</v>
      </c>
      <c r="S400" s="69">
        <f t="shared" si="310"/>
        <v>-3.8155940908638231E-5</v>
      </c>
      <c r="T400" s="69">
        <f t="shared" si="310"/>
        <v>-3.8155940908638231E-5</v>
      </c>
      <c r="U400" s="69">
        <f t="shared" si="310"/>
        <v>-3.8155940908638231E-5</v>
      </c>
      <c r="V400" s="69">
        <f t="shared" si="310"/>
        <v>-3.8155940908638231E-5</v>
      </c>
      <c r="W400" s="69">
        <f t="shared" si="310"/>
        <v>-3.8155940908638231E-5</v>
      </c>
      <c r="X400" s="69">
        <f t="shared" si="310"/>
        <v>-3.8155940908638231E-5</v>
      </c>
      <c r="Y400" s="69">
        <f t="shared" si="310"/>
        <v>-3.8155940908638231E-5</v>
      </c>
      <c r="Z400" s="69">
        <f t="shared" si="310"/>
        <v>-3.8155940908638231E-5</v>
      </c>
      <c r="AA400" s="69">
        <f t="shared" si="310"/>
        <v>-3.8155940908638231E-5</v>
      </c>
      <c r="AB400" s="69">
        <f t="shared" si="310"/>
        <v>-3.8155940908638231E-5</v>
      </c>
      <c r="AC400" s="69">
        <f t="shared" si="310"/>
        <v>-3.8155940908638231E-5</v>
      </c>
    </row>
    <row r="401" spans="1:29" x14ac:dyDescent="0.25">
      <c r="A401" s="30" t="str">
        <f t="shared" si="306"/>
        <v>Opex fix (admin, crew, insurance)</v>
      </c>
      <c r="B401" s="66">
        <f>B359/B370/(B367)</f>
        <v>3.6264505802320927E-3</v>
      </c>
      <c r="C401" s="66">
        <f t="shared" ref="C401:AC401" si="311">C359/C370/(C367)</f>
        <v>3.6264505802320927E-3</v>
      </c>
      <c r="D401" s="66">
        <f t="shared" si="311"/>
        <v>3.6264505802320927E-3</v>
      </c>
      <c r="E401" s="66">
        <f t="shared" si="311"/>
        <v>3.6264505802320927E-3</v>
      </c>
      <c r="F401" s="66">
        <f t="shared" si="311"/>
        <v>3.6264505802320927E-3</v>
      </c>
      <c r="G401" s="66">
        <f t="shared" si="311"/>
        <v>3.6264505802320927E-3</v>
      </c>
      <c r="H401" s="66">
        <f t="shared" si="311"/>
        <v>3.6264505802320927E-3</v>
      </c>
      <c r="I401" s="66">
        <f t="shared" si="311"/>
        <v>3.6264505802320927E-3</v>
      </c>
      <c r="J401" s="66">
        <f t="shared" si="311"/>
        <v>3.6264505802320927E-3</v>
      </c>
      <c r="K401" s="66">
        <f t="shared" si="311"/>
        <v>3.6264505802320927E-3</v>
      </c>
      <c r="L401" s="66">
        <f t="shared" si="311"/>
        <v>3.6264505802320927E-3</v>
      </c>
      <c r="M401" s="66">
        <f t="shared" si="311"/>
        <v>3.6264505802320927E-3</v>
      </c>
      <c r="N401" s="66">
        <f t="shared" si="311"/>
        <v>3.6264505802320927E-3</v>
      </c>
      <c r="O401" s="66">
        <f t="shared" si="311"/>
        <v>3.6264505802320927E-3</v>
      </c>
      <c r="P401" s="66">
        <f t="shared" si="311"/>
        <v>3.6264505802320927E-3</v>
      </c>
      <c r="Q401" s="66">
        <f t="shared" si="311"/>
        <v>3.6264505802320927E-3</v>
      </c>
      <c r="R401" s="66">
        <f t="shared" si="311"/>
        <v>3.6264505802320927E-3</v>
      </c>
      <c r="S401" s="66">
        <f t="shared" si="311"/>
        <v>3.6264505802320927E-3</v>
      </c>
      <c r="T401" s="66">
        <f t="shared" si="311"/>
        <v>3.6264505802320927E-3</v>
      </c>
      <c r="U401" s="66">
        <f t="shared" si="311"/>
        <v>3.6264505802320927E-3</v>
      </c>
      <c r="V401" s="66">
        <f t="shared" si="311"/>
        <v>3.6264505802320927E-3</v>
      </c>
      <c r="W401" s="66">
        <f t="shared" si="311"/>
        <v>3.6264505802320927E-3</v>
      </c>
      <c r="X401" s="66">
        <f t="shared" si="311"/>
        <v>3.6264505802320927E-3</v>
      </c>
      <c r="Y401" s="66">
        <f t="shared" si="311"/>
        <v>3.6264505802320927E-3</v>
      </c>
      <c r="Z401" s="66">
        <f t="shared" si="311"/>
        <v>3.6264505802320927E-3</v>
      </c>
      <c r="AA401" s="66">
        <f t="shared" si="311"/>
        <v>3.6264505802320927E-3</v>
      </c>
      <c r="AB401" s="66">
        <f t="shared" si="311"/>
        <v>3.6264505802320927E-3</v>
      </c>
      <c r="AC401" s="66">
        <f t="shared" si="311"/>
        <v>3.6264505802320927E-3</v>
      </c>
    </row>
    <row r="402" spans="1:29" x14ac:dyDescent="0.25">
      <c r="A402" s="30" t="str">
        <f t="shared" si="306"/>
        <v>Opex maintenance &amp; repair</v>
      </c>
      <c r="B402" s="66">
        <f>B360/B370/(B367)</f>
        <v>3.235203975384487E-3</v>
      </c>
      <c r="C402" s="66">
        <f t="shared" ref="C402:AC402" si="312">C360/C370/(C367)</f>
        <v>3.228311912499835E-3</v>
      </c>
      <c r="D402" s="66">
        <f t="shared" si="312"/>
        <v>3.2185261711931679E-3</v>
      </c>
      <c r="E402" s="66">
        <f t="shared" si="312"/>
        <v>3.2046949662058941E-3</v>
      </c>
      <c r="F402" s="66">
        <f t="shared" si="312"/>
        <v>3.1852762039393709E-3</v>
      </c>
      <c r="G402" s="66">
        <f t="shared" si="312"/>
        <v>3.1582770751599136E-3</v>
      </c>
      <c r="H402" s="66">
        <f t="shared" si="312"/>
        <v>3.1212622796426945E-3</v>
      </c>
      <c r="I402" s="66">
        <f t="shared" si="312"/>
        <v>3.0715183608126854E-3</v>
      </c>
      <c r="J402" s="66">
        <f t="shared" si="312"/>
        <v>3.0064934490834873E-3</v>
      </c>
      <c r="K402" s="66">
        <f t="shared" si="312"/>
        <v>2.9246055633971525E-3</v>
      </c>
      <c r="L402" s="66">
        <f t="shared" si="312"/>
        <v>2.826342451165679E-3</v>
      </c>
      <c r="M402" s="66">
        <f t="shared" si="312"/>
        <v>2.7152291126929309E-3</v>
      </c>
      <c r="N402" s="66">
        <f t="shared" si="312"/>
        <v>2.5979272171538078E-3</v>
      </c>
      <c r="O402" s="66">
        <f t="shared" si="312"/>
        <v>2.4829336035118526E-3</v>
      </c>
      <c r="P402" s="66">
        <f t="shared" si="312"/>
        <v>2.37825255003627E-3</v>
      </c>
      <c r="Q402" s="66">
        <f t="shared" si="312"/>
        <v>2.2892885614507032E-3</v>
      </c>
      <c r="R402" s="66">
        <f t="shared" si="312"/>
        <v>2.218044339141322E-3</v>
      </c>
      <c r="S402" s="66">
        <f t="shared" si="312"/>
        <v>2.1636818354750301E-3</v>
      </c>
      <c r="T402" s="66">
        <f t="shared" si="312"/>
        <v>2.12372103540121E-3</v>
      </c>
      <c r="U402" s="66">
        <f t="shared" si="312"/>
        <v>2.0951496414479101E-3</v>
      </c>
      <c r="V402" s="66">
        <f t="shared" si="312"/>
        <v>2.0751253137001203E-3</v>
      </c>
      <c r="W402" s="66">
        <f t="shared" si="312"/>
        <v>2.0612872724350261E-3</v>
      </c>
      <c r="X402" s="66">
        <f t="shared" si="312"/>
        <v>2.0518172112212762E-3</v>
      </c>
      <c r="Y402" s="66">
        <f t="shared" si="312"/>
        <v>2.0453796325405234E-3</v>
      </c>
      <c r="Z402" s="66">
        <f t="shared" si="312"/>
        <v>2.0410233946808022E-3</v>
      </c>
      <c r="AA402" s="66">
        <f t="shared" si="312"/>
        <v>2.0380846720726327E-3</v>
      </c>
      <c r="AB402" s="66">
        <f t="shared" si="312"/>
        <v>2.0361063386111484E-3</v>
      </c>
      <c r="AC402" s="66">
        <f t="shared" si="312"/>
        <v>2.0347764046985059E-3</v>
      </c>
    </row>
    <row r="403" spans="1:29" x14ac:dyDescent="0.25">
      <c r="A403" s="30" t="str">
        <f t="shared" si="306"/>
        <v>Opex var (mode-fees, shunting)</v>
      </c>
      <c r="B403" s="66">
        <f>B361*B370/B370/(B367)</f>
        <v>4.0016006402561026E-3</v>
      </c>
      <c r="C403" s="66">
        <f t="shared" ref="C403:AC403" si="313">C361*C370/C370/(C367)</f>
        <v>4.0016006402561026E-3</v>
      </c>
      <c r="D403" s="66">
        <f t="shared" si="313"/>
        <v>4.0016006402561026E-3</v>
      </c>
      <c r="E403" s="66">
        <f t="shared" si="313"/>
        <v>4.0016006402561026E-3</v>
      </c>
      <c r="F403" s="66">
        <f t="shared" si="313"/>
        <v>4.0016006402561026E-3</v>
      </c>
      <c r="G403" s="66">
        <f t="shared" si="313"/>
        <v>4.0016006402561026E-3</v>
      </c>
      <c r="H403" s="66">
        <f t="shared" si="313"/>
        <v>4.0016006402561026E-3</v>
      </c>
      <c r="I403" s="66">
        <f t="shared" si="313"/>
        <v>4.0016006402561026E-3</v>
      </c>
      <c r="J403" s="66">
        <f t="shared" si="313"/>
        <v>4.0016006402561026E-3</v>
      </c>
      <c r="K403" s="66">
        <f t="shared" si="313"/>
        <v>4.0016006402561026E-3</v>
      </c>
      <c r="L403" s="66">
        <f t="shared" si="313"/>
        <v>4.0016006402561026E-3</v>
      </c>
      <c r="M403" s="66">
        <f t="shared" si="313"/>
        <v>4.0016006402561026E-3</v>
      </c>
      <c r="N403" s="66">
        <f t="shared" si="313"/>
        <v>4.0016006402561026E-3</v>
      </c>
      <c r="O403" s="66">
        <f t="shared" si="313"/>
        <v>4.0016006402561026E-3</v>
      </c>
      <c r="P403" s="66">
        <f t="shared" si="313"/>
        <v>4.0016006402561026E-3</v>
      </c>
      <c r="Q403" s="66">
        <f t="shared" si="313"/>
        <v>4.0016006402561026E-3</v>
      </c>
      <c r="R403" s="66">
        <f t="shared" si="313"/>
        <v>4.0016006402561026E-3</v>
      </c>
      <c r="S403" s="66">
        <f t="shared" si="313"/>
        <v>4.0016006402561026E-3</v>
      </c>
      <c r="T403" s="66">
        <f t="shared" si="313"/>
        <v>4.0016006402561026E-3</v>
      </c>
      <c r="U403" s="66">
        <f t="shared" si="313"/>
        <v>4.0016006402561026E-3</v>
      </c>
      <c r="V403" s="66">
        <f t="shared" si="313"/>
        <v>4.0016006402561026E-3</v>
      </c>
      <c r="W403" s="66">
        <f t="shared" si="313"/>
        <v>4.0016006402561026E-3</v>
      </c>
      <c r="X403" s="66">
        <f t="shared" si="313"/>
        <v>4.0016006402561026E-3</v>
      </c>
      <c r="Y403" s="66">
        <f t="shared" si="313"/>
        <v>4.0016006402561026E-3</v>
      </c>
      <c r="Z403" s="66">
        <f t="shared" si="313"/>
        <v>4.0016006402561026E-3</v>
      </c>
      <c r="AA403" s="66">
        <f t="shared" si="313"/>
        <v>4.0016006402561026E-3</v>
      </c>
      <c r="AB403" s="66">
        <f t="shared" si="313"/>
        <v>4.0016006402561026E-3</v>
      </c>
      <c r="AC403" s="66">
        <f t="shared" si="313"/>
        <v>4.0016006402561026E-3</v>
      </c>
    </row>
    <row r="404" spans="1:29" x14ac:dyDescent="0.25">
      <c r="A404" s="30" t="str">
        <f t="shared" si="306"/>
        <v>Fuel Cost</v>
      </c>
      <c r="B404" s="66">
        <f>B362*B363*B370/B370/(B367)</f>
        <v>1.2146455635179375E-3</v>
      </c>
      <c r="C404" s="66">
        <f t="shared" ref="C404:AC404" si="314">C362*C363*C370/C370/(C367)</f>
        <v>1.2146455635179375E-3</v>
      </c>
      <c r="D404" s="66">
        <f t="shared" si="314"/>
        <v>1.2146455635179375E-3</v>
      </c>
      <c r="E404" s="66">
        <f t="shared" si="314"/>
        <v>1.2146455635179375E-3</v>
      </c>
      <c r="F404" s="66">
        <f t="shared" si="314"/>
        <v>1.2146455635179375E-3</v>
      </c>
      <c r="G404" s="66">
        <f t="shared" si="314"/>
        <v>1.2146455635179375E-3</v>
      </c>
      <c r="H404" s="66">
        <f t="shared" si="314"/>
        <v>1.2146455635179375E-3</v>
      </c>
      <c r="I404" s="66">
        <f t="shared" si="314"/>
        <v>1.2146455635179375E-3</v>
      </c>
      <c r="J404" s="66">
        <f t="shared" si="314"/>
        <v>1.2456365187521749E-3</v>
      </c>
      <c r="K404" s="66">
        <f t="shared" si="314"/>
        <v>1.2766274739864124E-3</v>
      </c>
      <c r="L404" s="66">
        <f t="shared" si="314"/>
        <v>1.3076184292206499E-3</v>
      </c>
      <c r="M404" s="66">
        <f t="shared" si="314"/>
        <v>1.3386093844548876E-3</v>
      </c>
      <c r="N404" s="66">
        <f t="shared" si="314"/>
        <v>1.3696003396891248E-3</v>
      </c>
      <c r="O404" s="66">
        <f t="shared" si="314"/>
        <v>1.3566041326554124E-3</v>
      </c>
      <c r="P404" s="66">
        <f t="shared" si="314"/>
        <v>1.3436079256216996E-3</v>
      </c>
      <c r="Q404" s="66">
        <f t="shared" si="314"/>
        <v>1.3306117185879871E-3</v>
      </c>
      <c r="R404" s="66">
        <f t="shared" si="314"/>
        <v>1.3176155115542745E-3</v>
      </c>
      <c r="S404" s="66">
        <f t="shared" si="314"/>
        <v>1.3046193045205623E-3</v>
      </c>
      <c r="T404" s="66">
        <f t="shared" si="314"/>
        <v>1.2916230974868495E-3</v>
      </c>
      <c r="U404" s="66">
        <f t="shared" si="314"/>
        <v>1.2786268904531372E-3</v>
      </c>
      <c r="V404" s="66">
        <f t="shared" si="314"/>
        <v>1.2656306834194246E-3</v>
      </c>
      <c r="W404" s="66">
        <f t="shared" si="314"/>
        <v>1.252634476385712E-3</v>
      </c>
      <c r="X404" s="66">
        <f t="shared" si="314"/>
        <v>1.2396382693519996E-3</v>
      </c>
      <c r="Y404" s="66">
        <f t="shared" si="314"/>
        <v>1.226642062318287E-3</v>
      </c>
      <c r="Z404" s="66">
        <f t="shared" si="314"/>
        <v>1.2136458552845747E-3</v>
      </c>
      <c r="AA404" s="66">
        <f t="shared" si="314"/>
        <v>1.2006496482508621E-3</v>
      </c>
      <c r="AB404" s="66">
        <f t="shared" si="314"/>
        <v>1.1876534412171497E-3</v>
      </c>
      <c r="AC404" s="66">
        <f t="shared" si="314"/>
        <v>1.1746572341834374E-3</v>
      </c>
    </row>
    <row r="405" spans="1:29" x14ac:dyDescent="0.25">
      <c r="A405" s="59" t="str">
        <f>A368</f>
        <v>Market failure (av. utilization)</v>
      </c>
      <c r="B405" s="66">
        <f t="shared" ref="B405:AC405" si="315">B394/B368-B394/B367</f>
        <v>5.8094488440431271E-3</v>
      </c>
      <c r="C405" s="66">
        <f t="shared" si="315"/>
        <v>5.8047613794191769E-3</v>
      </c>
      <c r="D405" s="66">
        <f t="shared" si="315"/>
        <v>5.7981058516096036E-3</v>
      </c>
      <c r="E405" s="66">
        <f t="shared" si="315"/>
        <v>5.7886989026061618E-3</v>
      </c>
      <c r="F405" s="66">
        <f t="shared" si="315"/>
        <v>5.7754917159207452E-3</v>
      </c>
      <c r="G405" s="66">
        <f t="shared" si="315"/>
        <v>5.7571289320707871E-3</v>
      </c>
      <c r="H405" s="66">
        <f t="shared" si="315"/>
        <v>5.7319542423656077E-3</v>
      </c>
      <c r="I405" s="66">
        <f t="shared" si="315"/>
        <v>5.6981221570125331E-3</v>
      </c>
      <c r="J405" s="66">
        <f t="shared" si="315"/>
        <v>5.6659491237244907E-3</v>
      </c>
      <c r="K405" s="66">
        <f t="shared" si="315"/>
        <v>5.622307159406429E-3</v>
      </c>
      <c r="L405" s="66">
        <f t="shared" si="315"/>
        <v>5.5675279932920138E-3</v>
      </c>
      <c r="M405" s="66">
        <f t="shared" si="315"/>
        <v>5.5040090663942397E-3</v>
      </c>
      <c r="N405" s="66">
        <f t="shared" si="315"/>
        <v>5.4362811468033605E-3</v>
      </c>
      <c r="O405" s="66">
        <f t="shared" si="315"/>
        <v>5.353017028896772E-3</v>
      </c>
      <c r="P405" s="66">
        <f t="shared" si="315"/>
        <v>5.2767667415038102E-3</v>
      </c>
      <c r="Q405" s="66">
        <f t="shared" si="315"/>
        <v>5.2112060236776513E-3</v>
      </c>
      <c r="R405" s="66">
        <f t="shared" si="315"/>
        <v>5.15769696280159E-3</v>
      </c>
      <c r="S405" s="66">
        <f t="shared" si="315"/>
        <v>5.1156695816860481E-3</v>
      </c>
      <c r="T405" s="66">
        <f t="shared" si="315"/>
        <v>5.0834371599671538E-3</v>
      </c>
      <c r="U405" s="66">
        <f t="shared" si="315"/>
        <v>5.0589509586718515E-3</v>
      </c>
      <c r="V405" s="66">
        <f t="shared" si="315"/>
        <v>5.0402778312192281E-3</v>
      </c>
      <c r="W405" s="66">
        <f t="shared" si="315"/>
        <v>5.0258121521788695E-3</v>
      </c>
      <c r="X405" s="66">
        <f t="shared" si="315"/>
        <v>5.014317245795619E-3</v>
      </c>
      <c r="Y405" s="66">
        <f t="shared" si="315"/>
        <v>5.0048848067511149E-3</v>
      </c>
      <c r="Z405" s="66">
        <f t="shared" si="315"/>
        <v>4.9968679397395781E-3</v>
      </c>
      <c r="AA405" s="66">
        <f t="shared" si="315"/>
        <v>4.9898151603614219E-3</v>
      </c>
      <c r="AB405" s="66">
        <f t="shared" si="315"/>
        <v>4.9834155657010517E-3</v>
      </c>
      <c r="AC405" s="66">
        <f t="shared" si="315"/>
        <v>4.9774569638171944E-3</v>
      </c>
    </row>
    <row r="406" spans="1:29" x14ac:dyDescent="0.25">
      <c r="A406" s="59" t="str">
        <f>A369</f>
        <v>Payload loss (fuel)</v>
      </c>
      <c r="B406" s="66">
        <f>B394/(B367-B369)-B394/B367</f>
        <v>5.4949425457785639E-4</v>
      </c>
      <c r="C406" s="66">
        <f t="shared" ref="C406:AC406" si="316">C394/(C367-C369)-C394/C367</f>
        <v>5.4743145378044478E-4</v>
      </c>
      <c r="D406" s="66">
        <f t="shared" si="316"/>
        <v>5.4450764699613512E-4</v>
      </c>
      <c r="E406" s="66">
        <f t="shared" si="316"/>
        <v>5.4038527915507145E-4</v>
      </c>
      <c r="F406" s="66">
        <f t="shared" si="316"/>
        <v>5.3461760306662207E-4</v>
      </c>
      <c r="G406" s="66">
        <f t="shared" si="316"/>
        <v>5.2663732850906191E-4</v>
      </c>
      <c r="H406" s="66">
        <f t="shared" si="316"/>
        <v>5.1577010360562975E-4</v>
      </c>
      <c r="I406" s="66">
        <f t="shared" si="316"/>
        <v>5.0129923754192729E-4</v>
      </c>
      <c r="J406" s="66">
        <f t="shared" si="316"/>
        <v>4.8364212988028302E-4</v>
      </c>
      <c r="K406" s="66">
        <f t="shared" si="316"/>
        <v>4.6143017995887124E-4</v>
      </c>
      <c r="L406" s="66">
        <f t="shared" si="316"/>
        <v>4.3502673596033416E-4</v>
      </c>
      <c r="M406" s="66">
        <f t="shared" si="316"/>
        <v>4.0565088420853671E-4</v>
      </c>
      <c r="N406" s="66">
        <f t="shared" si="316"/>
        <v>3.7529145108383677E-4</v>
      </c>
      <c r="O406" s="66">
        <f t="shared" si="316"/>
        <v>3.4514101832892365E-4</v>
      </c>
      <c r="P406" s="66">
        <f t="shared" si="316"/>
        <v>3.1839929392237822E-4</v>
      </c>
      <c r="Q406" s="66">
        <f t="shared" si="316"/>
        <v>2.9617843291279179E-4</v>
      </c>
      <c r="R406" s="66">
        <f t="shared" si="316"/>
        <v>2.7869517952843793E-4</v>
      </c>
      <c r="S406" s="66">
        <f t="shared" si="316"/>
        <v>2.6551460635911538E-4</v>
      </c>
      <c r="T406" s="66">
        <f t="shared" si="316"/>
        <v>2.5588397069047954E-4</v>
      </c>
      <c r="U406" s="66">
        <f t="shared" si="316"/>
        <v>2.4899497057198801E-4</v>
      </c>
      <c r="V406" s="66">
        <f t="shared" si="316"/>
        <v>2.4412906922944948E-4</v>
      </c>
      <c r="W406" s="66">
        <f t="shared" si="316"/>
        <v>2.4071011165521447E-4</v>
      </c>
      <c r="X406" s="66">
        <f t="shared" si="316"/>
        <v>2.3830419550637666E-4</v>
      </c>
      <c r="Y406" s="66">
        <f t="shared" si="316"/>
        <v>2.3659734477590733E-4</v>
      </c>
      <c r="Z406" s="66">
        <f t="shared" si="316"/>
        <v>2.3536819759402243E-4</v>
      </c>
      <c r="AA406" s="66">
        <f t="shared" si="316"/>
        <v>2.3446334008529572E-4</v>
      </c>
      <c r="AB406" s="66">
        <f t="shared" si="316"/>
        <v>2.3377765140055427E-4</v>
      </c>
      <c r="AC406" s="66">
        <f t="shared" si="316"/>
        <v>2.3323964479862735E-4</v>
      </c>
    </row>
    <row r="407" spans="1:29" ht="15.75" thickBot="1" x14ac:dyDescent="0.3">
      <c r="A407" s="59" t="str">
        <f>A344</f>
        <v>Emission Cost</v>
      </c>
      <c r="B407" s="68">
        <f>B364*B370/B370/(B367)</f>
        <v>0</v>
      </c>
      <c r="C407" s="68">
        <f t="shared" ref="C407:AC407" si="317">C364*C370/C370/(C367)</f>
        <v>0</v>
      </c>
      <c r="D407" s="68">
        <f t="shared" si="317"/>
        <v>0</v>
      </c>
      <c r="E407" s="68">
        <f t="shared" si="317"/>
        <v>0</v>
      </c>
      <c r="F407" s="68">
        <f t="shared" si="317"/>
        <v>0</v>
      </c>
      <c r="G407" s="68">
        <f t="shared" si="317"/>
        <v>0</v>
      </c>
      <c r="H407" s="68">
        <f t="shared" si="317"/>
        <v>0</v>
      </c>
      <c r="I407" s="68">
        <f t="shared" si="317"/>
        <v>0</v>
      </c>
      <c r="J407" s="68">
        <f t="shared" si="317"/>
        <v>0</v>
      </c>
      <c r="K407" s="68">
        <f t="shared" si="317"/>
        <v>0</v>
      </c>
      <c r="L407" s="68">
        <f t="shared" si="317"/>
        <v>0</v>
      </c>
      <c r="M407" s="68">
        <f t="shared" si="317"/>
        <v>0</v>
      </c>
      <c r="N407" s="68">
        <f t="shared" si="317"/>
        <v>0</v>
      </c>
      <c r="O407" s="68">
        <f t="shared" si="317"/>
        <v>0</v>
      </c>
      <c r="P407" s="68">
        <f t="shared" si="317"/>
        <v>0</v>
      </c>
      <c r="Q407" s="68">
        <f t="shared" si="317"/>
        <v>0</v>
      </c>
      <c r="R407" s="68">
        <f t="shared" si="317"/>
        <v>0</v>
      </c>
      <c r="S407" s="68">
        <f t="shared" si="317"/>
        <v>0</v>
      </c>
      <c r="T407" s="68">
        <f t="shared" si="317"/>
        <v>0</v>
      </c>
      <c r="U407" s="68">
        <f t="shared" si="317"/>
        <v>0</v>
      </c>
      <c r="V407" s="68">
        <f t="shared" si="317"/>
        <v>0</v>
      </c>
      <c r="W407" s="68">
        <f t="shared" si="317"/>
        <v>0</v>
      </c>
      <c r="X407" s="68">
        <f t="shared" si="317"/>
        <v>0</v>
      </c>
      <c r="Y407" s="68">
        <f t="shared" si="317"/>
        <v>0</v>
      </c>
      <c r="Z407" s="68">
        <f t="shared" si="317"/>
        <v>0</v>
      </c>
      <c r="AA407" s="68">
        <f t="shared" si="317"/>
        <v>0</v>
      </c>
      <c r="AB407" s="68">
        <f t="shared" si="317"/>
        <v>0</v>
      </c>
      <c r="AC407" s="68">
        <f t="shared" si="317"/>
        <v>0</v>
      </c>
    </row>
    <row r="408" spans="1:29" ht="15.75" thickBot="1" x14ac:dyDescent="0.3">
      <c r="A408" s="31" t="s">
        <v>210</v>
      </c>
      <c r="B408" s="67">
        <f>B397+B398+B399+B400+B401+B402+B403+B404+B405+B406+B407</f>
        <v>2.1221213958628901E-2</v>
      </c>
      <c r="C408" s="67">
        <f t="shared" ref="C408:AC408" si="318">C397+C398+C399+C400+C401+C402+C403+C404+C405+C406+C407</f>
        <v>2.1202410212745951E-2</v>
      </c>
      <c r="D408" s="67">
        <f t="shared" si="318"/>
        <v>2.1175716663784594E-2</v>
      </c>
      <c r="E408" s="67">
        <f t="shared" si="318"/>
        <v>2.1137998049502664E-2</v>
      </c>
      <c r="F408" s="67">
        <f t="shared" si="318"/>
        <v>2.1085061849537731E-2</v>
      </c>
      <c r="G408" s="67">
        <f t="shared" si="318"/>
        <v>2.1011500204087465E-2</v>
      </c>
      <c r="H408" s="67">
        <f t="shared" si="318"/>
        <v>2.09107233730941E-2</v>
      </c>
      <c r="I408" s="67">
        <f t="shared" si="318"/>
        <v>2.0775423630769417E-2</v>
      </c>
      <c r="J408" s="67">
        <f t="shared" si="318"/>
        <v>2.0642862832793343E-2</v>
      </c>
      <c r="K408" s="67">
        <f t="shared" si="318"/>
        <v>2.0464786724593134E-2</v>
      </c>
      <c r="L408" s="67">
        <f t="shared" si="318"/>
        <v>2.0242743401614541E-2</v>
      </c>
      <c r="M408" s="67">
        <f t="shared" si="318"/>
        <v>1.9986514239513552E-2</v>
      </c>
      <c r="N408" s="67">
        <f t="shared" si="318"/>
        <v>1.9714269379278563E-2</v>
      </c>
      <c r="O408" s="67">
        <f t="shared" si="318"/>
        <v>1.9386747096857261E-2</v>
      </c>
      <c r="P408" s="67">
        <f t="shared" si="318"/>
        <v>1.9087682917475854E-2</v>
      </c>
      <c r="Q408" s="67">
        <f t="shared" si="318"/>
        <v>1.8831316635658561E-2</v>
      </c>
      <c r="R408" s="67">
        <f t="shared" si="318"/>
        <v>1.8622729593431128E-2</v>
      </c>
      <c r="S408" s="67">
        <f t="shared" si="318"/>
        <v>1.8459451230563445E-2</v>
      </c>
      <c r="T408" s="67">
        <f t="shared" si="318"/>
        <v>1.833470480304162E-2</v>
      </c>
      <c r="U408" s="67">
        <f t="shared" si="318"/>
        <v>1.8240365084011327E-2</v>
      </c>
      <c r="V408" s="67">
        <f t="shared" si="318"/>
        <v>1.8168809441766569E-2</v>
      </c>
      <c r="W408" s="67">
        <f t="shared" si="318"/>
        <v>1.8113727344762482E-2</v>
      </c>
      <c r="X408" s="67">
        <f t="shared" si="318"/>
        <v>1.8070268191530604E-2</v>
      </c>
      <c r="Y408" s="67">
        <f t="shared" si="318"/>
        <v>1.8034874058498334E-2</v>
      </c>
      <c r="Z408" s="67">
        <f t="shared" si="318"/>
        <v>1.8005013243418105E-2</v>
      </c>
      <c r="AA408" s="67">
        <f t="shared" si="318"/>
        <v>1.7978919888130239E-2</v>
      </c>
      <c r="AB408" s="67">
        <f t="shared" si="318"/>
        <v>1.7955378504229902E-2</v>
      </c>
      <c r="AC408" s="67">
        <f t="shared" si="318"/>
        <v>1.7933559776614191E-2</v>
      </c>
    </row>
    <row r="410" spans="1:29" x14ac:dyDescent="0.25">
      <c r="B410" s="40"/>
    </row>
    <row r="429" spans="1:1" s="3" customFormat="1" ht="21" x14ac:dyDescent="0.35">
      <c r="A429" s="2" t="str">
        <f>'Parameter Input'!A193</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Input'!$L$171</f>
        <v>10000000</v>
      </c>
      <c r="C439" s="42">
        <f>'Parameter Input'!$M$171</f>
        <v>6250000</v>
      </c>
      <c r="D439" s="1" t="s">
        <v>15</v>
      </c>
      <c r="L439" s="51">
        <f>'Parameter Input'!$O$171</f>
        <v>12</v>
      </c>
      <c r="M439" s="52">
        <v>0</v>
      </c>
      <c r="N439" s="52">
        <v>1</v>
      </c>
      <c r="O439" s="52">
        <f>'Parameter Input'!$P$171</f>
        <v>0.9</v>
      </c>
      <c r="P439" s="53">
        <f>'Parameter Input'!$Q$171</f>
        <v>0.4</v>
      </c>
      <c r="Q439" s="4">
        <f t="shared" ref="Q439:AR448" si="319">$N439+($M439-$N439)*((1/(1+EXP(-$P439*(Q$9-$L439)))^$O439))</f>
        <v>0.9867978615748374</v>
      </c>
      <c r="R439" s="4">
        <f t="shared" si="319"/>
        <v>0.98114509762858249</v>
      </c>
      <c r="S439" s="4">
        <f t="shared" si="319"/>
        <v>0.97311898315872036</v>
      </c>
      <c r="T439" s="4">
        <f t="shared" si="319"/>
        <v>0.96177484161592774</v>
      </c>
      <c r="U439" s="4">
        <f t="shared" si="319"/>
        <v>0.94584787155511363</v>
      </c>
      <c r="V439" s="4">
        <f t="shared" si="319"/>
        <v>0.92370360150141495</v>
      </c>
      <c r="W439" s="4">
        <f t="shared" si="319"/>
        <v>0.89334463567658451</v>
      </c>
      <c r="X439" s="4">
        <f t="shared" si="319"/>
        <v>0.85254543874327005</v>
      </c>
      <c r="Y439" s="4">
        <f t="shared" si="319"/>
        <v>0.79921300652623883</v>
      </c>
      <c r="Z439" s="4">
        <f t="shared" si="319"/>
        <v>0.73204982249993378</v>
      </c>
      <c r="AA439" s="4">
        <f t="shared" si="319"/>
        <v>0.65145592958786691</v>
      </c>
      <c r="AB439" s="4">
        <f t="shared" si="319"/>
        <v>0.56032247880849573</v>
      </c>
      <c r="AC439" s="4">
        <f t="shared" si="319"/>
        <v>0.46411326873185343</v>
      </c>
      <c r="AD439" s="4">
        <f t="shared" si="319"/>
        <v>0.36979727595523937</v>
      </c>
      <c r="AE439" s="4">
        <f t="shared" si="319"/>
        <v>0.28393948637231203</v>
      </c>
      <c r="AF439" s="4">
        <f t="shared" si="319"/>
        <v>0.21097259161117732</v>
      </c>
      <c r="AG439" s="4">
        <f t="shared" si="319"/>
        <v>0.15253917653798199</v>
      </c>
      <c r="AH439" s="4">
        <f t="shared" si="319"/>
        <v>0.10795188737709993</v>
      </c>
      <c r="AI439" s="4">
        <f t="shared" si="319"/>
        <v>7.5176653938091809E-2</v>
      </c>
      <c r="AJ439" s="4">
        <f t="shared" si="319"/>
        <v>5.1742836177502194E-2</v>
      </c>
      <c r="AK439" s="4">
        <f t="shared" si="319"/>
        <v>3.5319190625345942E-2</v>
      </c>
      <c r="AL439" s="4">
        <f t="shared" si="319"/>
        <v>2.3969442072658165E-2</v>
      </c>
      <c r="AM439" s="4">
        <f t="shared" si="319"/>
        <v>1.6202243558389728E-2</v>
      </c>
      <c r="AN439" s="4">
        <f t="shared" si="319"/>
        <v>1.0922240564108399E-2</v>
      </c>
      <c r="AO439" s="4">
        <f t="shared" si="319"/>
        <v>7.3493212906090566E-3</v>
      </c>
      <c r="AP439" s="4">
        <f t="shared" si="319"/>
        <v>4.9390262185057265E-3</v>
      </c>
      <c r="AQ439" s="4">
        <f t="shared" si="319"/>
        <v>3.3164275492956197E-3</v>
      </c>
      <c r="AR439" s="4">
        <f t="shared" si="319"/>
        <v>2.2256362146679809E-3</v>
      </c>
    </row>
    <row r="440" spans="1:44" x14ac:dyDescent="0.25">
      <c r="A440" s="24" t="s">
        <v>28</v>
      </c>
      <c r="B440" s="60">
        <f>'Parameter Input'!$L$172</f>
        <v>-500000</v>
      </c>
      <c r="C440" s="61">
        <f>'Parameter Input'!$M$172</f>
        <v>-937500</v>
      </c>
      <c r="D440" s="1" t="s">
        <v>15</v>
      </c>
      <c r="L440" s="54">
        <f>'Parameter Input'!$O$172</f>
        <v>12</v>
      </c>
      <c r="M440" s="37">
        <v>0</v>
      </c>
      <c r="N440" s="37">
        <v>1</v>
      </c>
      <c r="O440" s="37">
        <f>'Parameter Input'!$P$172</f>
        <v>0.9</v>
      </c>
      <c r="P440" s="55">
        <f>'Parameter Input'!$Q$172</f>
        <v>0.4</v>
      </c>
      <c r="Q440" s="4">
        <f t="shared" si="319"/>
        <v>0.9867978615748374</v>
      </c>
      <c r="R440" s="4">
        <f t="shared" si="319"/>
        <v>0.98114509762858249</v>
      </c>
      <c r="S440" s="4">
        <f t="shared" si="319"/>
        <v>0.97311898315872036</v>
      </c>
      <c r="T440" s="4">
        <f t="shared" si="319"/>
        <v>0.96177484161592774</v>
      </c>
      <c r="U440" s="4">
        <f t="shared" si="319"/>
        <v>0.94584787155511363</v>
      </c>
      <c r="V440" s="4">
        <f t="shared" si="319"/>
        <v>0.92370360150141495</v>
      </c>
      <c r="W440" s="4">
        <f t="shared" si="319"/>
        <v>0.89334463567658451</v>
      </c>
      <c r="X440" s="4">
        <f t="shared" si="319"/>
        <v>0.85254543874327005</v>
      </c>
      <c r="Y440" s="4">
        <f t="shared" si="319"/>
        <v>0.79921300652623883</v>
      </c>
      <c r="Z440" s="4">
        <f t="shared" si="319"/>
        <v>0.73204982249993378</v>
      </c>
      <c r="AA440" s="4">
        <f t="shared" si="319"/>
        <v>0.65145592958786691</v>
      </c>
      <c r="AB440" s="4">
        <f t="shared" si="319"/>
        <v>0.56032247880849573</v>
      </c>
      <c r="AC440" s="4">
        <f t="shared" si="319"/>
        <v>0.46411326873185343</v>
      </c>
      <c r="AD440" s="4">
        <f t="shared" si="319"/>
        <v>0.36979727595523937</v>
      </c>
      <c r="AE440" s="4">
        <f t="shared" si="319"/>
        <v>0.28393948637231203</v>
      </c>
      <c r="AF440" s="4">
        <f t="shared" si="319"/>
        <v>0.21097259161117732</v>
      </c>
      <c r="AG440" s="4">
        <f t="shared" si="319"/>
        <v>0.15253917653798199</v>
      </c>
      <c r="AH440" s="4">
        <f t="shared" si="319"/>
        <v>0.10795188737709993</v>
      </c>
      <c r="AI440" s="4">
        <f t="shared" si="319"/>
        <v>7.5176653938091809E-2</v>
      </c>
      <c r="AJ440" s="4">
        <f t="shared" si="319"/>
        <v>5.1742836177502194E-2</v>
      </c>
      <c r="AK440" s="4">
        <f t="shared" si="319"/>
        <v>3.5319190625345942E-2</v>
      </c>
      <c r="AL440" s="4">
        <f t="shared" si="319"/>
        <v>2.3969442072658165E-2</v>
      </c>
      <c r="AM440" s="4">
        <f t="shared" si="319"/>
        <v>1.6202243558389728E-2</v>
      </c>
      <c r="AN440" s="4">
        <f t="shared" si="319"/>
        <v>1.0922240564108399E-2</v>
      </c>
      <c r="AO440" s="4">
        <f t="shared" si="319"/>
        <v>7.3493212906090566E-3</v>
      </c>
      <c r="AP440" s="4">
        <f t="shared" si="319"/>
        <v>4.9390262185057265E-3</v>
      </c>
      <c r="AQ440" s="4">
        <f t="shared" si="319"/>
        <v>3.3164275492956197E-3</v>
      </c>
      <c r="AR440" s="4">
        <f t="shared" si="319"/>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9"/>
        <v>0.9867978615748374</v>
      </c>
      <c r="R441" s="4">
        <f t="shared" si="319"/>
        <v>0.98114509762858249</v>
      </c>
      <c r="S441" s="4">
        <f t="shared" si="319"/>
        <v>0.97311898315872036</v>
      </c>
      <c r="T441" s="4">
        <f t="shared" si="319"/>
        <v>0.96177484161592774</v>
      </c>
      <c r="U441" s="4">
        <f t="shared" si="319"/>
        <v>0.94584787155511363</v>
      </c>
      <c r="V441" s="4">
        <f t="shared" si="319"/>
        <v>0.92370360150141495</v>
      </c>
      <c r="W441" s="4">
        <f t="shared" si="319"/>
        <v>0.89334463567658451</v>
      </c>
      <c r="X441" s="4">
        <f t="shared" si="319"/>
        <v>0.85254543874327005</v>
      </c>
      <c r="Y441" s="4">
        <f t="shared" si="319"/>
        <v>0.79921300652623883</v>
      </c>
      <c r="Z441" s="4">
        <f t="shared" si="319"/>
        <v>0.73204982249993378</v>
      </c>
      <c r="AA441" s="4">
        <f t="shared" si="319"/>
        <v>0.65145592958786691</v>
      </c>
      <c r="AB441" s="4">
        <f t="shared" si="319"/>
        <v>0.56032247880849573</v>
      </c>
      <c r="AC441" s="4">
        <f t="shared" si="319"/>
        <v>0.46411326873185343</v>
      </c>
      <c r="AD441" s="4">
        <f t="shared" si="319"/>
        <v>0.36979727595523937</v>
      </c>
      <c r="AE441" s="4">
        <f t="shared" si="319"/>
        <v>0.28393948637231203</v>
      </c>
      <c r="AF441" s="4">
        <f t="shared" si="319"/>
        <v>0.21097259161117732</v>
      </c>
      <c r="AG441" s="4">
        <f t="shared" si="319"/>
        <v>0.15253917653798199</v>
      </c>
      <c r="AH441" s="4">
        <f t="shared" si="319"/>
        <v>0.10795188737709993</v>
      </c>
      <c r="AI441" s="4">
        <f t="shared" si="319"/>
        <v>7.5176653938091809E-2</v>
      </c>
      <c r="AJ441" s="4">
        <f t="shared" si="319"/>
        <v>5.1742836177502194E-2</v>
      </c>
      <c r="AK441" s="4">
        <f t="shared" si="319"/>
        <v>3.5319190625345942E-2</v>
      </c>
      <c r="AL441" s="4">
        <f t="shared" si="319"/>
        <v>2.3969442072658165E-2</v>
      </c>
      <c r="AM441" s="4">
        <f t="shared" si="319"/>
        <v>1.6202243558389728E-2</v>
      </c>
      <c r="AN441" s="4">
        <f t="shared" si="319"/>
        <v>1.0922240564108399E-2</v>
      </c>
      <c r="AO441" s="4">
        <f t="shared" si="319"/>
        <v>7.3493212906090566E-3</v>
      </c>
      <c r="AP441" s="4">
        <f t="shared" si="319"/>
        <v>4.9390262185057265E-3</v>
      </c>
      <c r="AQ441" s="4">
        <f t="shared" si="319"/>
        <v>3.3164275492956197E-3</v>
      </c>
      <c r="AR441" s="4">
        <f t="shared" si="319"/>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9"/>
        <v>0.9867978615748374</v>
      </c>
      <c r="R442" s="4">
        <f t="shared" si="319"/>
        <v>0.98114509762858249</v>
      </c>
      <c r="S442" s="4">
        <f t="shared" si="319"/>
        <v>0.97311898315872036</v>
      </c>
      <c r="T442" s="4">
        <f t="shared" si="319"/>
        <v>0.96177484161592774</v>
      </c>
      <c r="U442" s="4">
        <f t="shared" si="319"/>
        <v>0.94584787155511363</v>
      </c>
      <c r="V442" s="4">
        <f t="shared" si="319"/>
        <v>0.92370360150141495</v>
      </c>
      <c r="W442" s="4">
        <f t="shared" si="319"/>
        <v>0.89334463567658451</v>
      </c>
      <c r="X442" s="4">
        <f t="shared" si="319"/>
        <v>0.85254543874327005</v>
      </c>
      <c r="Y442" s="4">
        <f t="shared" si="319"/>
        <v>0.79921300652623883</v>
      </c>
      <c r="Z442" s="4">
        <f t="shared" si="319"/>
        <v>0.73204982249993378</v>
      </c>
      <c r="AA442" s="4">
        <f t="shared" si="319"/>
        <v>0.65145592958786691</v>
      </c>
      <c r="AB442" s="4">
        <f t="shared" si="319"/>
        <v>0.56032247880849573</v>
      </c>
      <c r="AC442" s="4">
        <f t="shared" si="319"/>
        <v>0.46411326873185343</v>
      </c>
      <c r="AD442" s="4">
        <f t="shared" si="319"/>
        <v>0.36979727595523937</v>
      </c>
      <c r="AE442" s="4">
        <f t="shared" si="319"/>
        <v>0.28393948637231203</v>
      </c>
      <c r="AF442" s="4">
        <f t="shared" si="319"/>
        <v>0.21097259161117732</v>
      </c>
      <c r="AG442" s="4">
        <f t="shared" si="319"/>
        <v>0.15253917653798199</v>
      </c>
      <c r="AH442" s="4">
        <f t="shared" si="319"/>
        <v>0.10795188737709993</v>
      </c>
      <c r="AI442" s="4">
        <f t="shared" si="319"/>
        <v>7.5176653938091809E-2</v>
      </c>
      <c r="AJ442" s="4">
        <f t="shared" si="319"/>
        <v>5.1742836177502194E-2</v>
      </c>
      <c r="AK442" s="4">
        <f t="shared" si="319"/>
        <v>3.5319190625345942E-2</v>
      </c>
      <c r="AL442" s="4">
        <f t="shared" si="319"/>
        <v>2.3969442072658165E-2</v>
      </c>
      <c r="AM442" s="4">
        <f t="shared" si="319"/>
        <v>1.6202243558389728E-2</v>
      </c>
      <c r="AN442" s="4">
        <f t="shared" si="319"/>
        <v>1.0922240564108399E-2</v>
      </c>
      <c r="AO442" s="4">
        <f t="shared" si="319"/>
        <v>7.3493212906090566E-3</v>
      </c>
      <c r="AP442" s="4">
        <f t="shared" si="319"/>
        <v>4.9390262185057265E-3</v>
      </c>
      <c r="AQ442" s="4">
        <f t="shared" si="319"/>
        <v>3.3164275492956197E-3</v>
      </c>
      <c r="AR442" s="4">
        <f t="shared" si="319"/>
        <v>2.2256362146679809E-3</v>
      </c>
    </row>
    <row r="443" spans="1:44" x14ac:dyDescent="0.25">
      <c r="A443" s="24" t="s">
        <v>79</v>
      </c>
      <c r="B443" s="45">
        <f>'Parameter Input'!$L$178</f>
        <v>0.06</v>
      </c>
      <c r="C443" s="46">
        <f>'Parameter Input'!$M$178</f>
        <v>0.06</v>
      </c>
      <c r="D443" s="1" t="s">
        <v>57</v>
      </c>
      <c r="L443" s="54">
        <f>'Parameter Input'!$O$178</f>
        <v>12</v>
      </c>
      <c r="M443" s="37">
        <v>0</v>
      </c>
      <c r="N443" s="37">
        <v>1</v>
      </c>
      <c r="O443" s="37">
        <f>'Parameter Input'!$P$178</f>
        <v>0.9</v>
      </c>
      <c r="P443" s="55">
        <f>'Parameter Input'!$Q$178</f>
        <v>0.4</v>
      </c>
      <c r="Q443" s="4">
        <f t="shared" si="319"/>
        <v>0.9867978615748374</v>
      </c>
      <c r="R443" s="4">
        <f t="shared" si="319"/>
        <v>0.98114509762858249</v>
      </c>
      <c r="S443" s="4">
        <f t="shared" si="319"/>
        <v>0.97311898315872036</v>
      </c>
      <c r="T443" s="4">
        <f t="shared" si="319"/>
        <v>0.96177484161592774</v>
      </c>
      <c r="U443" s="4">
        <f t="shared" si="319"/>
        <v>0.94584787155511363</v>
      </c>
      <c r="V443" s="4">
        <f t="shared" si="319"/>
        <v>0.92370360150141495</v>
      </c>
      <c r="W443" s="4">
        <f t="shared" si="319"/>
        <v>0.89334463567658451</v>
      </c>
      <c r="X443" s="4">
        <f t="shared" si="319"/>
        <v>0.85254543874327005</v>
      </c>
      <c r="Y443" s="4">
        <f t="shared" si="319"/>
        <v>0.79921300652623883</v>
      </c>
      <c r="Z443" s="4">
        <f t="shared" si="319"/>
        <v>0.73204982249993378</v>
      </c>
      <c r="AA443" s="4">
        <f t="shared" si="319"/>
        <v>0.65145592958786691</v>
      </c>
      <c r="AB443" s="4">
        <f t="shared" si="319"/>
        <v>0.56032247880849573</v>
      </c>
      <c r="AC443" s="4">
        <f t="shared" si="319"/>
        <v>0.46411326873185343</v>
      </c>
      <c r="AD443" s="4">
        <f t="shared" si="319"/>
        <v>0.36979727595523937</v>
      </c>
      <c r="AE443" s="4">
        <f t="shared" si="319"/>
        <v>0.28393948637231203</v>
      </c>
      <c r="AF443" s="4">
        <f t="shared" si="319"/>
        <v>0.21097259161117732</v>
      </c>
      <c r="AG443" s="4">
        <f t="shared" si="319"/>
        <v>0.15253917653798199</v>
      </c>
      <c r="AH443" s="4">
        <f t="shared" si="319"/>
        <v>0.10795188737709993</v>
      </c>
      <c r="AI443" s="4">
        <f t="shared" si="319"/>
        <v>7.5176653938091809E-2</v>
      </c>
      <c r="AJ443" s="4">
        <f t="shared" si="319"/>
        <v>5.1742836177502194E-2</v>
      </c>
      <c r="AK443" s="4">
        <f t="shared" si="319"/>
        <v>3.5319190625345942E-2</v>
      </c>
      <c r="AL443" s="4">
        <f t="shared" si="319"/>
        <v>2.3969442072658165E-2</v>
      </c>
      <c r="AM443" s="4">
        <f t="shared" si="319"/>
        <v>1.6202243558389728E-2</v>
      </c>
      <c r="AN443" s="4">
        <f t="shared" si="319"/>
        <v>1.0922240564108399E-2</v>
      </c>
      <c r="AO443" s="4">
        <f t="shared" si="319"/>
        <v>7.3493212906090566E-3</v>
      </c>
      <c r="AP443" s="4">
        <f t="shared" si="319"/>
        <v>4.9390262185057265E-3</v>
      </c>
      <c r="AQ443" s="4">
        <f t="shared" si="319"/>
        <v>3.3164275492956197E-3</v>
      </c>
      <c r="AR443" s="4">
        <f t="shared" si="319"/>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9"/>
        <v>0.9867978615748374</v>
      </c>
      <c r="R444" s="4">
        <f t="shared" si="319"/>
        <v>0.98114509762858249</v>
      </c>
      <c r="S444" s="4">
        <f t="shared" si="319"/>
        <v>0.97311898315872036</v>
      </c>
      <c r="T444" s="4">
        <f t="shared" si="319"/>
        <v>0.96177484161592774</v>
      </c>
      <c r="U444" s="4">
        <f t="shared" si="319"/>
        <v>0.94584787155511363</v>
      </c>
      <c r="V444" s="4">
        <f t="shared" si="319"/>
        <v>0.92370360150141495</v>
      </c>
      <c r="W444" s="4">
        <f t="shared" si="319"/>
        <v>0.89334463567658451</v>
      </c>
      <c r="X444" s="4">
        <f t="shared" si="319"/>
        <v>0.85254543874327005</v>
      </c>
      <c r="Y444" s="4">
        <f t="shared" si="319"/>
        <v>0.79921300652623883</v>
      </c>
      <c r="Z444" s="4">
        <f t="shared" si="319"/>
        <v>0.73204982249993378</v>
      </c>
      <c r="AA444" s="4">
        <f t="shared" si="319"/>
        <v>0.65145592958786691</v>
      </c>
      <c r="AB444" s="4">
        <f t="shared" si="319"/>
        <v>0.56032247880849573</v>
      </c>
      <c r="AC444" s="4">
        <f t="shared" si="319"/>
        <v>0.46411326873185343</v>
      </c>
      <c r="AD444" s="4">
        <f t="shared" si="319"/>
        <v>0.36979727595523937</v>
      </c>
      <c r="AE444" s="4">
        <f t="shared" si="319"/>
        <v>0.28393948637231203</v>
      </c>
      <c r="AF444" s="4">
        <f t="shared" si="319"/>
        <v>0.21097259161117732</v>
      </c>
      <c r="AG444" s="4">
        <f t="shared" si="319"/>
        <v>0.15253917653798199</v>
      </c>
      <c r="AH444" s="4">
        <f t="shared" si="319"/>
        <v>0.10795188737709993</v>
      </c>
      <c r="AI444" s="4">
        <f t="shared" si="319"/>
        <v>7.5176653938091809E-2</v>
      </c>
      <c r="AJ444" s="4">
        <f t="shared" si="319"/>
        <v>5.1742836177502194E-2</v>
      </c>
      <c r="AK444" s="4">
        <f t="shared" si="319"/>
        <v>3.5319190625345942E-2</v>
      </c>
      <c r="AL444" s="4">
        <f t="shared" si="319"/>
        <v>2.3969442072658165E-2</v>
      </c>
      <c r="AM444" s="4">
        <f t="shared" si="319"/>
        <v>1.6202243558389728E-2</v>
      </c>
      <c r="AN444" s="4">
        <f t="shared" si="319"/>
        <v>1.0922240564108399E-2</v>
      </c>
      <c r="AO444" s="4">
        <f t="shared" si="319"/>
        <v>7.3493212906090566E-3</v>
      </c>
      <c r="AP444" s="4">
        <f t="shared" si="319"/>
        <v>4.9390262185057265E-3</v>
      </c>
      <c r="AQ444" s="4">
        <f t="shared" si="319"/>
        <v>3.3164275492956197E-3</v>
      </c>
      <c r="AR444" s="4">
        <f t="shared" si="319"/>
        <v>2.2256362146679809E-3</v>
      </c>
    </row>
    <row r="445" spans="1:44" x14ac:dyDescent="0.25">
      <c r="A445" s="24" t="s">
        <v>52</v>
      </c>
      <c r="B445" s="43">
        <f>'Parameter Input'!$L$174</f>
        <v>1300000</v>
      </c>
      <c r="C445" s="44">
        <f>'Parameter Input'!$M$174</f>
        <v>812500</v>
      </c>
      <c r="D445" s="1" t="s">
        <v>38</v>
      </c>
      <c r="L445" s="54">
        <f>'Parameter Input'!$O$174</f>
        <v>12</v>
      </c>
      <c r="M445" s="37">
        <v>0</v>
      </c>
      <c r="N445" s="37">
        <v>1</v>
      </c>
      <c r="O445" s="37">
        <f>'Parameter Input'!$P$174</f>
        <v>0.9</v>
      </c>
      <c r="P445" s="55">
        <f>'Parameter Input'!$Q$174</f>
        <v>0.4</v>
      </c>
      <c r="Q445" s="4">
        <f t="shared" si="319"/>
        <v>0.9867978615748374</v>
      </c>
      <c r="R445" s="4">
        <f t="shared" si="319"/>
        <v>0.98114509762858249</v>
      </c>
      <c r="S445" s="4">
        <f t="shared" si="319"/>
        <v>0.97311898315872036</v>
      </c>
      <c r="T445" s="4">
        <f t="shared" si="319"/>
        <v>0.96177484161592774</v>
      </c>
      <c r="U445" s="4">
        <f t="shared" si="319"/>
        <v>0.94584787155511363</v>
      </c>
      <c r="V445" s="4">
        <f t="shared" si="319"/>
        <v>0.92370360150141495</v>
      </c>
      <c r="W445" s="4">
        <f t="shared" si="319"/>
        <v>0.89334463567658451</v>
      </c>
      <c r="X445" s="4">
        <f t="shared" si="319"/>
        <v>0.85254543874327005</v>
      </c>
      <c r="Y445" s="4">
        <f t="shared" si="319"/>
        <v>0.79921300652623883</v>
      </c>
      <c r="Z445" s="4">
        <f t="shared" si="319"/>
        <v>0.73204982249993378</v>
      </c>
      <c r="AA445" s="4">
        <f t="shared" si="319"/>
        <v>0.65145592958786691</v>
      </c>
      <c r="AB445" s="4">
        <f t="shared" si="319"/>
        <v>0.56032247880849573</v>
      </c>
      <c r="AC445" s="4">
        <f t="shared" si="319"/>
        <v>0.46411326873185343</v>
      </c>
      <c r="AD445" s="4">
        <f t="shared" si="319"/>
        <v>0.36979727595523937</v>
      </c>
      <c r="AE445" s="4">
        <f t="shared" si="319"/>
        <v>0.28393948637231203</v>
      </c>
      <c r="AF445" s="4">
        <f t="shared" si="319"/>
        <v>0.21097259161117732</v>
      </c>
      <c r="AG445" s="4">
        <f t="shared" si="319"/>
        <v>0.15253917653798199</v>
      </c>
      <c r="AH445" s="4">
        <f t="shared" si="319"/>
        <v>0.10795188737709993</v>
      </c>
      <c r="AI445" s="4">
        <f t="shared" si="319"/>
        <v>7.5176653938091809E-2</v>
      </c>
      <c r="AJ445" s="4">
        <f t="shared" si="319"/>
        <v>5.1742836177502194E-2</v>
      </c>
      <c r="AK445" s="4">
        <f t="shared" si="319"/>
        <v>3.5319190625345942E-2</v>
      </c>
      <c r="AL445" s="4">
        <f t="shared" si="319"/>
        <v>2.3969442072658165E-2</v>
      </c>
      <c r="AM445" s="4">
        <f t="shared" si="319"/>
        <v>1.6202243558389728E-2</v>
      </c>
      <c r="AN445" s="4">
        <f t="shared" si="319"/>
        <v>1.0922240564108399E-2</v>
      </c>
      <c r="AO445" s="4">
        <f t="shared" si="319"/>
        <v>7.3493212906090566E-3</v>
      </c>
      <c r="AP445" s="4">
        <f t="shared" si="319"/>
        <v>4.9390262185057265E-3</v>
      </c>
      <c r="AQ445" s="4">
        <f t="shared" si="319"/>
        <v>3.3164275492956197E-3</v>
      </c>
      <c r="AR445" s="4">
        <f t="shared" si="319"/>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9"/>
        <v>0.9867978615748374</v>
      </c>
      <c r="R446" s="4">
        <f t="shared" si="319"/>
        <v>0.98114509762858249</v>
      </c>
      <c r="S446" s="4">
        <f t="shared" si="319"/>
        <v>0.97311898315872036</v>
      </c>
      <c r="T446" s="4">
        <f t="shared" si="319"/>
        <v>0.96177484161592774</v>
      </c>
      <c r="U446" s="4">
        <f t="shared" si="319"/>
        <v>0.94584787155511363</v>
      </c>
      <c r="V446" s="4">
        <f t="shared" si="319"/>
        <v>0.92370360150141495</v>
      </c>
      <c r="W446" s="4">
        <f t="shared" si="319"/>
        <v>0.89334463567658451</v>
      </c>
      <c r="X446" s="4">
        <f t="shared" si="319"/>
        <v>0.85254543874327005</v>
      </c>
      <c r="Y446" s="4">
        <f t="shared" si="319"/>
        <v>0.79921300652623883</v>
      </c>
      <c r="Z446" s="4">
        <f t="shared" si="319"/>
        <v>0.73204982249993378</v>
      </c>
      <c r="AA446" s="4">
        <f t="shared" si="319"/>
        <v>0.65145592958786691</v>
      </c>
      <c r="AB446" s="4">
        <f t="shared" si="319"/>
        <v>0.56032247880849573</v>
      </c>
      <c r="AC446" s="4">
        <f t="shared" si="319"/>
        <v>0.46411326873185343</v>
      </c>
      <c r="AD446" s="4">
        <f t="shared" si="319"/>
        <v>0.36979727595523937</v>
      </c>
      <c r="AE446" s="4">
        <f t="shared" si="319"/>
        <v>0.28393948637231203</v>
      </c>
      <c r="AF446" s="4">
        <f t="shared" si="319"/>
        <v>0.21097259161117732</v>
      </c>
      <c r="AG446" s="4">
        <f t="shared" si="319"/>
        <v>0.15253917653798199</v>
      </c>
      <c r="AH446" s="4">
        <f t="shared" si="319"/>
        <v>0.10795188737709993</v>
      </c>
      <c r="AI446" s="4">
        <f t="shared" si="319"/>
        <v>7.5176653938091809E-2</v>
      </c>
      <c r="AJ446" s="4">
        <f t="shared" si="319"/>
        <v>5.1742836177502194E-2</v>
      </c>
      <c r="AK446" s="4">
        <f t="shared" si="319"/>
        <v>3.5319190625345942E-2</v>
      </c>
      <c r="AL446" s="4">
        <f t="shared" si="319"/>
        <v>2.3969442072658165E-2</v>
      </c>
      <c r="AM446" s="4">
        <f t="shared" si="319"/>
        <v>1.6202243558389728E-2</v>
      </c>
      <c r="AN446" s="4">
        <f t="shared" si="319"/>
        <v>1.0922240564108399E-2</v>
      </c>
      <c r="AO446" s="4">
        <f t="shared" si="319"/>
        <v>7.3493212906090566E-3</v>
      </c>
      <c r="AP446" s="4">
        <f t="shared" si="319"/>
        <v>4.9390262185057265E-3</v>
      </c>
      <c r="AQ446" s="4">
        <f t="shared" si="319"/>
        <v>3.3164275492956197E-3</v>
      </c>
      <c r="AR446" s="4">
        <f t="shared" si="319"/>
        <v>2.2256362146679809E-3</v>
      </c>
    </row>
    <row r="447" spans="1:44" x14ac:dyDescent="0.25">
      <c r="A447" s="24" t="s">
        <v>59</v>
      </c>
      <c r="B447" s="47">
        <f>'Parameter Input'!$L$175</f>
        <v>33.590199999999996</v>
      </c>
      <c r="C447" s="48">
        <f>'Parameter Input'!$M$175</f>
        <v>33.590199999999996</v>
      </c>
      <c r="D447" s="1" t="s">
        <v>60</v>
      </c>
      <c r="L447" s="54">
        <f>'Parameter Input'!$O$175</f>
        <v>12</v>
      </c>
      <c r="M447" s="37">
        <v>0</v>
      </c>
      <c r="N447" s="37">
        <v>1</v>
      </c>
      <c r="O447" s="37">
        <f>'Parameter Input'!$P$175</f>
        <v>0.9</v>
      </c>
      <c r="P447" s="55">
        <f>'Parameter Input'!$Q$175</f>
        <v>0.4</v>
      </c>
      <c r="Q447" s="4">
        <f t="shared" si="319"/>
        <v>0.9867978615748374</v>
      </c>
      <c r="R447" s="4">
        <f t="shared" si="319"/>
        <v>0.98114509762858249</v>
      </c>
      <c r="S447" s="4">
        <f t="shared" si="319"/>
        <v>0.97311898315872036</v>
      </c>
      <c r="T447" s="4">
        <f t="shared" si="319"/>
        <v>0.96177484161592774</v>
      </c>
      <c r="U447" s="4">
        <f t="shared" si="319"/>
        <v>0.94584787155511363</v>
      </c>
      <c r="V447" s="4">
        <f t="shared" si="319"/>
        <v>0.92370360150141495</v>
      </c>
      <c r="W447" s="4">
        <f t="shared" si="319"/>
        <v>0.89334463567658451</v>
      </c>
      <c r="X447" s="4">
        <f t="shared" si="319"/>
        <v>0.85254543874327005</v>
      </c>
      <c r="Y447" s="4">
        <f t="shared" si="319"/>
        <v>0.79921300652623883</v>
      </c>
      <c r="Z447" s="4">
        <f t="shared" si="319"/>
        <v>0.73204982249993378</v>
      </c>
      <c r="AA447" s="4">
        <f t="shared" si="319"/>
        <v>0.65145592958786691</v>
      </c>
      <c r="AB447" s="4">
        <f t="shared" si="319"/>
        <v>0.56032247880849573</v>
      </c>
      <c r="AC447" s="4">
        <f t="shared" si="319"/>
        <v>0.46411326873185343</v>
      </c>
      <c r="AD447" s="4">
        <f t="shared" si="319"/>
        <v>0.36979727595523937</v>
      </c>
      <c r="AE447" s="4">
        <f t="shared" si="319"/>
        <v>0.28393948637231203</v>
      </c>
      <c r="AF447" s="4">
        <f t="shared" si="319"/>
        <v>0.21097259161117732</v>
      </c>
      <c r="AG447" s="4">
        <f t="shared" si="319"/>
        <v>0.15253917653798199</v>
      </c>
      <c r="AH447" s="4">
        <f t="shared" si="319"/>
        <v>0.10795188737709993</v>
      </c>
      <c r="AI447" s="4">
        <f t="shared" si="319"/>
        <v>7.5176653938091809E-2</v>
      </c>
      <c r="AJ447" s="4">
        <f t="shared" si="319"/>
        <v>5.1742836177502194E-2</v>
      </c>
      <c r="AK447" s="4">
        <f t="shared" si="319"/>
        <v>3.5319190625345942E-2</v>
      </c>
      <c r="AL447" s="4">
        <f t="shared" si="319"/>
        <v>2.3969442072658165E-2</v>
      </c>
      <c r="AM447" s="4">
        <f t="shared" si="319"/>
        <v>1.6202243558389728E-2</v>
      </c>
      <c r="AN447" s="4">
        <f t="shared" si="319"/>
        <v>1.0922240564108399E-2</v>
      </c>
      <c r="AO447" s="4">
        <f t="shared" si="319"/>
        <v>7.3493212906090566E-3</v>
      </c>
      <c r="AP447" s="4">
        <f t="shared" si="319"/>
        <v>4.9390262185057265E-3</v>
      </c>
      <c r="AQ447" s="4">
        <f t="shared" si="319"/>
        <v>3.3164275492956197E-3</v>
      </c>
      <c r="AR447" s="4">
        <f t="shared" si="319"/>
        <v>2.2256362146679809E-3</v>
      </c>
    </row>
    <row r="448" spans="1:44" x14ac:dyDescent="0.25">
      <c r="A448" s="24" t="s">
        <v>67</v>
      </c>
      <c r="B448" s="45">
        <f>'Parameter Input'!$L$176</f>
        <v>0.13371034051801745</v>
      </c>
      <c r="C448" s="46">
        <f>'Parameter Input'!$M$176</f>
        <v>8.7585019329602734E-2</v>
      </c>
      <c r="D448" s="1" t="s">
        <v>68</v>
      </c>
      <c r="L448" s="54">
        <f>'Parameter Input'!$O$176</f>
        <v>12</v>
      </c>
      <c r="M448" s="37">
        <v>0</v>
      </c>
      <c r="N448" s="37">
        <v>1</v>
      </c>
      <c r="O448" s="37">
        <f>'Parameter Input'!$P$176</f>
        <v>0.9</v>
      </c>
      <c r="P448" s="55">
        <f>'Parameter Input'!$Q$176</f>
        <v>0.4</v>
      </c>
      <c r="Q448" s="4">
        <f t="shared" si="319"/>
        <v>0.9867978615748374</v>
      </c>
      <c r="R448" s="4">
        <f t="shared" si="319"/>
        <v>0.98114509762858249</v>
      </c>
      <c r="S448" s="4">
        <f t="shared" si="319"/>
        <v>0.97311898315872036</v>
      </c>
      <c r="T448" s="4">
        <f t="shared" ref="T448:AI455" si="320">$N448+($M448-$N448)*((1/(1+EXP(-$P448*(T$9-$L448)))^$O448))</f>
        <v>0.96177484161592774</v>
      </c>
      <c r="U448" s="4">
        <f t="shared" si="320"/>
        <v>0.94584787155511363</v>
      </c>
      <c r="V448" s="4">
        <f t="shared" si="320"/>
        <v>0.92370360150141495</v>
      </c>
      <c r="W448" s="4">
        <f t="shared" si="320"/>
        <v>0.89334463567658451</v>
      </c>
      <c r="X448" s="4">
        <f t="shared" si="320"/>
        <v>0.85254543874327005</v>
      </c>
      <c r="Y448" s="4">
        <f t="shared" si="320"/>
        <v>0.79921300652623883</v>
      </c>
      <c r="Z448" s="4">
        <f t="shared" si="320"/>
        <v>0.73204982249993378</v>
      </c>
      <c r="AA448" s="4">
        <f t="shared" si="320"/>
        <v>0.65145592958786691</v>
      </c>
      <c r="AB448" s="4">
        <f t="shared" si="320"/>
        <v>0.56032247880849573</v>
      </c>
      <c r="AC448" s="4">
        <f t="shared" si="320"/>
        <v>0.46411326873185343</v>
      </c>
      <c r="AD448" s="4">
        <f t="shared" si="320"/>
        <v>0.36979727595523937</v>
      </c>
      <c r="AE448" s="4">
        <f t="shared" si="320"/>
        <v>0.28393948637231203</v>
      </c>
      <c r="AF448" s="4">
        <f t="shared" si="320"/>
        <v>0.21097259161117732</v>
      </c>
      <c r="AG448" s="4">
        <f t="shared" si="320"/>
        <v>0.15253917653798199</v>
      </c>
      <c r="AH448" s="4">
        <f t="shared" si="320"/>
        <v>0.10795188737709993</v>
      </c>
      <c r="AI448" s="4">
        <f t="shared" si="320"/>
        <v>7.5176653938091809E-2</v>
      </c>
      <c r="AJ448" s="4">
        <f t="shared" ref="AJ448:AR455" si="321">$N448+($M448-$N448)*((1/(1+EXP(-$P448*(AJ$9-$L448)))^$O448))</f>
        <v>5.1742836177502194E-2</v>
      </c>
      <c r="AK448" s="4">
        <f t="shared" si="321"/>
        <v>3.5319190625345942E-2</v>
      </c>
      <c r="AL448" s="4">
        <f t="shared" si="321"/>
        <v>2.3969442072658165E-2</v>
      </c>
      <c r="AM448" s="4">
        <f t="shared" si="321"/>
        <v>1.6202243558389728E-2</v>
      </c>
      <c r="AN448" s="4">
        <f t="shared" si="321"/>
        <v>1.0922240564108399E-2</v>
      </c>
      <c r="AO448" s="4">
        <f t="shared" si="321"/>
        <v>7.3493212906090566E-3</v>
      </c>
      <c r="AP448" s="4">
        <f t="shared" si="321"/>
        <v>4.9390262185057265E-3</v>
      </c>
      <c r="AQ448" s="4">
        <f t="shared" si="321"/>
        <v>3.3164275492956197E-3</v>
      </c>
      <c r="AR448" s="4">
        <f t="shared" si="321"/>
        <v>2.2256362146679809E-3</v>
      </c>
    </row>
    <row r="449" spans="1:44" x14ac:dyDescent="0.25">
      <c r="A449" s="24" t="s">
        <v>206</v>
      </c>
      <c r="B449" s="115">
        <f>'Parameter Input'!$L$179</f>
        <v>0</v>
      </c>
      <c r="C449" s="116">
        <f>'Parameter Input'!$M$179</f>
        <v>0</v>
      </c>
      <c r="D449" s="1" t="s">
        <v>76</v>
      </c>
      <c r="L449" s="54">
        <f>'Parameter Input'!$O$179</f>
        <v>17</v>
      </c>
      <c r="M449" s="37">
        <v>0</v>
      </c>
      <c r="N449" s="37">
        <v>1</v>
      </c>
      <c r="O449" s="37">
        <f>'Parameter Input'!$P$179</f>
        <v>0.9</v>
      </c>
      <c r="P449" s="55">
        <f>'Parameter Input'!$Q$179</f>
        <v>0.4</v>
      </c>
      <c r="Q449" s="4">
        <f t="shared" ref="Q449:AR449" si="322">$N449+($M449-$N449)*((1/(1+EXP(-$P449*(Q$9-$L449)))^$O449))</f>
        <v>0.99780374543478534</v>
      </c>
      <c r="R449" s="4">
        <f t="shared" si="322"/>
        <v>0.99685359315256394</v>
      </c>
      <c r="S449" s="4">
        <f t="shared" si="322"/>
        <v>0.99549347132349975</v>
      </c>
      <c r="T449" s="4">
        <f t="shared" si="322"/>
        <v>0.99354772139898062</v>
      </c>
      <c r="U449" s="4">
        <f t="shared" si="322"/>
        <v>0.99076681540580536</v>
      </c>
      <c r="V449" s="4">
        <f t="shared" si="322"/>
        <v>0.9867978615748374</v>
      </c>
      <c r="W449" s="4">
        <f t="shared" si="322"/>
        <v>0.98114509762858249</v>
      </c>
      <c r="X449" s="4">
        <f t="shared" si="322"/>
        <v>0.97311898315872036</v>
      </c>
      <c r="Y449" s="4">
        <f t="shared" si="322"/>
        <v>0.96177484161592774</v>
      </c>
      <c r="Z449" s="4">
        <f t="shared" si="322"/>
        <v>0.94584787155511363</v>
      </c>
      <c r="AA449" s="4">
        <f t="shared" si="322"/>
        <v>0.92370360150141495</v>
      </c>
      <c r="AB449" s="4">
        <f t="shared" si="322"/>
        <v>0.89334463567658451</v>
      </c>
      <c r="AC449" s="4">
        <f t="shared" si="322"/>
        <v>0.85254543874327005</v>
      </c>
      <c r="AD449" s="4">
        <f t="shared" si="322"/>
        <v>0.79921300652623883</v>
      </c>
      <c r="AE449" s="4">
        <f t="shared" si="322"/>
        <v>0.73204982249993378</v>
      </c>
      <c r="AF449" s="4">
        <f t="shared" si="322"/>
        <v>0.65145592958786691</v>
      </c>
      <c r="AG449" s="4">
        <f t="shared" si="322"/>
        <v>0.56032247880849573</v>
      </c>
      <c r="AH449" s="4">
        <f t="shared" si="322"/>
        <v>0.46411326873185343</v>
      </c>
      <c r="AI449" s="4">
        <f t="shared" si="322"/>
        <v>0.36979727595523937</v>
      </c>
      <c r="AJ449" s="4">
        <f t="shared" si="322"/>
        <v>0.28393948637231203</v>
      </c>
      <c r="AK449" s="4">
        <f t="shared" si="322"/>
        <v>0.21097259161117732</v>
      </c>
      <c r="AL449" s="4">
        <f t="shared" si="322"/>
        <v>0.15253917653798199</v>
      </c>
      <c r="AM449" s="4">
        <f t="shared" si="322"/>
        <v>0.10795188737709993</v>
      </c>
      <c r="AN449" s="4">
        <f t="shared" si="322"/>
        <v>7.5176653938091809E-2</v>
      </c>
      <c r="AO449" s="4">
        <f t="shared" si="322"/>
        <v>5.1742836177502194E-2</v>
      </c>
      <c r="AP449" s="4">
        <f t="shared" si="322"/>
        <v>3.5319190625345942E-2</v>
      </c>
      <c r="AQ449" s="4">
        <f t="shared" si="322"/>
        <v>2.3969442072658165E-2</v>
      </c>
      <c r="AR449" s="4">
        <f t="shared" si="322"/>
        <v>1.6202243558389728E-2</v>
      </c>
    </row>
    <row r="450" spans="1:44" x14ac:dyDescent="0.25">
      <c r="A450" s="24" t="s">
        <v>41</v>
      </c>
      <c r="B450" s="43">
        <f>'Parameter Input'!$L$173</f>
        <v>20</v>
      </c>
      <c r="C450" s="44">
        <f>'Parameter Input'!$M$173</f>
        <v>20</v>
      </c>
      <c r="D450" s="1" t="s">
        <v>42</v>
      </c>
      <c r="L450" s="54">
        <f>'Parameter Input'!$O$173</f>
        <v>12</v>
      </c>
      <c r="M450" s="37">
        <v>0</v>
      </c>
      <c r="N450" s="37">
        <v>1</v>
      </c>
      <c r="O450" s="37">
        <f>'Parameter Input'!$P$173</f>
        <v>0.9</v>
      </c>
      <c r="P450" s="55">
        <f>'Parameter Input'!$Q$173</f>
        <v>0.4</v>
      </c>
      <c r="Q450" s="4">
        <f t="shared" ref="Q450:AF455" si="323">$N450+($M450-$N450)*((1/(1+EXP(-$P450*(Q$9-$L450)))^$O450))</f>
        <v>0.9867978615748374</v>
      </c>
      <c r="R450" s="4">
        <f t="shared" si="323"/>
        <v>0.98114509762858249</v>
      </c>
      <c r="S450" s="4">
        <f t="shared" si="323"/>
        <v>0.97311898315872036</v>
      </c>
      <c r="T450" s="4">
        <f t="shared" si="323"/>
        <v>0.96177484161592774</v>
      </c>
      <c r="U450" s="4">
        <f t="shared" si="323"/>
        <v>0.94584787155511363</v>
      </c>
      <c r="V450" s="4">
        <f t="shared" si="323"/>
        <v>0.92370360150141495</v>
      </c>
      <c r="W450" s="4">
        <f t="shared" si="323"/>
        <v>0.89334463567658451</v>
      </c>
      <c r="X450" s="4">
        <f t="shared" si="323"/>
        <v>0.85254543874327005</v>
      </c>
      <c r="Y450" s="4">
        <f t="shared" si="323"/>
        <v>0.79921300652623883</v>
      </c>
      <c r="Z450" s="4">
        <f t="shared" si="323"/>
        <v>0.73204982249993378</v>
      </c>
      <c r="AA450" s="4">
        <f t="shared" si="323"/>
        <v>0.65145592958786691</v>
      </c>
      <c r="AB450" s="4">
        <f t="shared" si="323"/>
        <v>0.56032247880849573</v>
      </c>
      <c r="AC450" s="4">
        <f t="shared" si="323"/>
        <v>0.46411326873185343</v>
      </c>
      <c r="AD450" s="4">
        <f t="shared" si="323"/>
        <v>0.36979727595523937</v>
      </c>
      <c r="AE450" s="4">
        <f t="shared" si="323"/>
        <v>0.28393948637231203</v>
      </c>
      <c r="AF450" s="4">
        <f t="shared" si="323"/>
        <v>0.21097259161117732</v>
      </c>
      <c r="AG450" s="4">
        <f t="shared" si="320"/>
        <v>0.15253917653798199</v>
      </c>
      <c r="AH450" s="4">
        <f t="shared" si="320"/>
        <v>0.10795188737709993</v>
      </c>
      <c r="AI450" s="4">
        <f t="shared" si="320"/>
        <v>7.5176653938091809E-2</v>
      </c>
      <c r="AJ450" s="4">
        <f t="shared" si="321"/>
        <v>5.1742836177502194E-2</v>
      </c>
      <c r="AK450" s="4">
        <f t="shared" si="321"/>
        <v>3.5319190625345942E-2</v>
      </c>
      <c r="AL450" s="4">
        <f t="shared" si="321"/>
        <v>2.3969442072658165E-2</v>
      </c>
      <c r="AM450" s="4">
        <f t="shared" si="321"/>
        <v>1.6202243558389728E-2</v>
      </c>
      <c r="AN450" s="4">
        <f t="shared" si="321"/>
        <v>1.0922240564108399E-2</v>
      </c>
      <c r="AO450" s="4">
        <f t="shared" si="321"/>
        <v>7.3493212906090566E-3</v>
      </c>
      <c r="AP450" s="4">
        <f t="shared" si="321"/>
        <v>4.9390262185057265E-3</v>
      </c>
      <c r="AQ450" s="4">
        <f t="shared" si="321"/>
        <v>3.3164275492956197E-3</v>
      </c>
      <c r="AR450" s="4">
        <f t="shared" si="321"/>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23"/>
        <v>0.9867978615748374</v>
      </c>
      <c r="R451" s="4">
        <f t="shared" si="323"/>
        <v>0.98114509762858249</v>
      </c>
      <c r="S451" s="4">
        <f t="shared" si="323"/>
        <v>0.97311898315872036</v>
      </c>
      <c r="T451" s="4">
        <f t="shared" si="323"/>
        <v>0.96177484161592774</v>
      </c>
      <c r="U451" s="4">
        <f t="shared" si="323"/>
        <v>0.94584787155511363</v>
      </c>
      <c r="V451" s="4">
        <f t="shared" si="323"/>
        <v>0.92370360150141495</v>
      </c>
      <c r="W451" s="4">
        <f t="shared" si="323"/>
        <v>0.89334463567658451</v>
      </c>
      <c r="X451" s="4">
        <f t="shared" si="323"/>
        <v>0.85254543874327005</v>
      </c>
      <c r="Y451" s="4">
        <f t="shared" si="323"/>
        <v>0.79921300652623883</v>
      </c>
      <c r="Z451" s="4">
        <f t="shared" si="323"/>
        <v>0.73204982249993378</v>
      </c>
      <c r="AA451" s="4">
        <f t="shared" si="323"/>
        <v>0.65145592958786691</v>
      </c>
      <c r="AB451" s="4">
        <f t="shared" si="323"/>
        <v>0.56032247880849573</v>
      </c>
      <c r="AC451" s="4">
        <f t="shared" si="323"/>
        <v>0.46411326873185343</v>
      </c>
      <c r="AD451" s="4">
        <f t="shared" si="323"/>
        <v>0.36979727595523937</v>
      </c>
      <c r="AE451" s="4">
        <f t="shared" si="323"/>
        <v>0.28393948637231203</v>
      </c>
      <c r="AF451" s="4">
        <f t="shared" si="323"/>
        <v>0.21097259161117732</v>
      </c>
      <c r="AG451" s="4">
        <f t="shared" si="320"/>
        <v>0.15253917653798199</v>
      </c>
      <c r="AH451" s="4">
        <f t="shared" si="320"/>
        <v>0.10795188737709993</v>
      </c>
      <c r="AI451" s="4">
        <f t="shared" si="320"/>
        <v>7.5176653938091809E-2</v>
      </c>
      <c r="AJ451" s="4">
        <f t="shared" si="321"/>
        <v>5.1742836177502194E-2</v>
      </c>
      <c r="AK451" s="4">
        <f t="shared" si="321"/>
        <v>3.5319190625345942E-2</v>
      </c>
      <c r="AL451" s="4">
        <f t="shared" si="321"/>
        <v>2.3969442072658165E-2</v>
      </c>
      <c r="AM451" s="4">
        <f t="shared" si="321"/>
        <v>1.6202243558389728E-2</v>
      </c>
      <c r="AN451" s="4">
        <f t="shared" si="321"/>
        <v>1.0922240564108399E-2</v>
      </c>
      <c r="AO451" s="4">
        <f t="shared" si="321"/>
        <v>7.3493212906090566E-3</v>
      </c>
      <c r="AP451" s="4">
        <f t="shared" si="321"/>
        <v>4.9390262185057265E-3</v>
      </c>
      <c r="AQ451" s="4">
        <f t="shared" si="321"/>
        <v>3.3164275492956197E-3</v>
      </c>
      <c r="AR451" s="4">
        <f t="shared" si="321"/>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23"/>
        <v>0.9867978615748374</v>
      </c>
      <c r="R452" s="4">
        <f t="shared" si="323"/>
        <v>0.98114509762858249</v>
      </c>
      <c r="S452" s="4">
        <f t="shared" si="323"/>
        <v>0.97311898315872036</v>
      </c>
      <c r="T452" s="4">
        <f t="shared" si="323"/>
        <v>0.96177484161592774</v>
      </c>
      <c r="U452" s="4">
        <f t="shared" si="323"/>
        <v>0.94584787155511363</v>
      </c>
      <c r="V452" s="4">
        <f t="shared" si="323"/>
        <v>0.92370360150141495</v>
      </c>
      <c r="W452" s="4">
        <f t="shared" si="323"/>
        <v>0.89334463567658451</v>
      </c>
      <c r="X452" s="4">
        <f t="shared" si="323"/>
        <v>0.85254543874327005</v>
      </c>
      <c r="Y452" s="4">
        <f t="shared" si="323"/>
        <v>0.79921300652623883</v>
      </c>
      <c r="Z452" s="4">
        <f t="shared" si="323"/>
        <v>0.73204982249993378</v>
      </c>
      <c r="AA452" s="4">
        <f t="shared" si="323"/>
        <v>0.65145592958786691</v>
      </c>
      <c r="AB452" s="4">
        <f t="shared" si="323"/>
        <v>0.56032247880849573</v>
      </c>
      <c r="AC452" s="4">
        <f t="shared" si="323"/>
        <v>0.46411326873185343</v>
      </c>
      <c r="AD452" s="4">
        <f t="shared" si="323"/>
        <v>0.36979727595523937</v>
      </c>
      <c r="AE452" s="4">
        <f t="shared" si="323"/>
        <v>0.28393948637231203</v>
      </c>
      <c r="AF452" s="4">
        <f t="shared" si="323"/>
        <v>0.21097259161117732</v>
      </c>
      <c r="AG452" s="4">
        <f t="shared" si="320"/>
        <v>0.15253917653798199</v>
      </c>
      <c r="AH452" s="4">
        <f t="shared" si="320"/>
        <v>0.10795188737709993</v>
      </c>
      <c r="AI452" s="4">
        <f t="shared" si="320"/>
        <v>7.5176653938091809E-2</v>
      </c>
      <c r="AJ452" s="4">
        <f t="shared" si="321"/>
        <v>5.1742836177502194E-2</v>
      </c>
      <c r="AK452" s="4">
        <f t="shared" si="321"/>
        <v>3.5319190625345942E-2</v>
      </c>
      <c r="AL452" s="4">
        <f t="shared" si="321"/>
        <v>2.3969442072658165E-2</v>
      </c>
      <c r="AM452" s="4">
        <f t="shared" si="321"/>
        <v>1.6202243558389728E-2</v>
      </c>
      <c r="AN452" s="4">
        <f t="shared" si="321"/>
        <v>1.0922240564108399E-2</v>
      </c>
      <c r="AO452" s="4">
        <f t="shared" si="321"/>
        <v>7.3493212906090566E-3</v>
      </c>
      <c r="AP452" s="4">
        <f t="shared" si="321"/>
        <v>4.9390262185057265E-3</v>
      </c>
      <c r="AQ452" s="4">
        <f t="shared" si="321"/>
        <v>3.3164275492956197E-3</v>
      </c>
      <c r="AR452" s="4">
        <f t="shared" si="321"/>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23"/>
        <v>0.9867978615748374</v>
      </c>
      <c r="R453" s="4">
        <f t="shared" si="323"/>
        <v>0.98114509762858249</v>
      </c>
      <c r="S453" s="4">
        <f t="shared" si="323"/>
        <v>0.97311898315872036</v>
      </c>
      <c r="T453" s="4">
        <f t="shared" si="323"/>
        <v>0.96177484161592774</v>
      </c>
      <c r="U453" s="4">
        <f t="shared" si="323"/>
        <v>0.94584787155511363</v>
      </c>
      <c r="V453" s="4">
        <f t="shared" si="323"/>
        <v>0.92370360150141495</v>
      </c>
      <c r="W453" s="4">
        <f t="shared" si="323"/>
        <v>0.89334463567658451</v>
      </c>
      <c r="X453" s="4">
        <f t="shared" si="323"/>
        <v>0.85254543874327005</v>
      </c>
      <c r="Y453" s="4">
        <f t="shared" si="323"/>
        <v>0.79921300652623883</v>
      </c>
      <c r="Z453" s="4">
        <f t="shared" si="323"/>
        <v>0.73204982249993378</v>
      </c>
      <c r="AA453" s="4">
        <f t="shared" si="323"/>
        <v>0.65145592958786691</v>
      </c>
      <c r="AB453" s="4">
        <f t="shared" si="323"/>
        <v>0.56032247880849573</v>
      </c>
      <c r="AC453" s="4">
        <f t="shared" si="323"/>
        <v>0.46411326873185343</v>
      </c>
      <c r="AD453" s="4">
        <f t="shared" si="323"/>
        <v>0.36979727595523937</v>
      </c>
      <c r="AE453" s="4">
        <f t="shared" si="323"/>
        <v>0.28393948637231203</v>
      </c>
      <c r="AF453" s="4">
        <f t="shared" si="323"/>
        <v>0.21097259161117732</v>
      </c>
      <c r="AG453" s="4">
        <f t="shared" si="320"/>
        <v>0.15253917653798199</v>
      </c>
      <c r="AH453" s="4">
        <f t="shared" si="320"/>
        <v>0.10795188737709993</v>
      </c>
      <c r="AI453" s="4">
        <f t="shared" si="320"/>
        <v>7.5176653938091809E-2</v>
      </c>
      <c r="AJ453" s="4">
        <f t="shared" si="321"/>
        <v>5.1742836177502194E-2</v>
      </c>
      <c r="AK453" s="4">
        <f t="shared" si="321"/>
        <v>3.5319190625345942E-2</v>
      </c>
      <c r="AL453" s="4">
        <f t="shared" si="321"/>
        <v>2.3969442072658165E-2</v>
      </c>
      <c r="AM453" s="4">
        <f t="shared" si="321"/>
        <v>1.6202243558389728E-2</v>
      </c>
      <c r="AN453" s="4">
        <f t="shared" si="321"/>
        <v>1.0922240564108399E-2</v>
      </c>
      <c r="AO453" s="4">
        <f t="shared" si="321"/>
        <v>7.3493212906090566E-3</v>
      </c>
      <c r="AP453" s="4">
        <f t="shared" si="321"/>
        <v>4.9390262185057265E-3</v>
      </c>
      <c r="AQ453" s="4">
        <f t="shared" si="321"/>
        <v>3.3164275492956197E-3</v>
      </c>
      <c r="AR453" s="4">
        <f t="shared" si="321"/>
        <v>2.2256362146679809E-3</v>
      </c>
    </row>
    <row r="454" spans="1:44" x14ac:dyDescent="0.25">
      <c r="A454" s="24" t="s">
        <v>73</v>
      </c>
      <c r="B454" s="72">
        <f>'Parameter Input'!$L$177</f>
        <v>3.5714285714285712E-2</v>
      </c>
      <c r="C454" s="73">
        <f>'Parameter Input'!$M$177</f>
        <v>1.7857142857142856E-2</v>
      </c>
      <c r="D454" s="1" t="s">
        <v>57</v>
      </c>
      <c r="L454" s="54">
        <f>'Parameter Input'!$O$177</f>
        <v>12</v>
      </c>
      <c r="M454" s="37">
        <v>0</v>
      </c>
      <c r="N454" s="37">
        <v>1</v>
      </c>
      <c r="O454" s="37">
        <f>'Parameter Input'!$P$177</f>
        <v>0.9</v>
      </c>
      <c r="P454" s="55">
        <f>'Parameter Input'!$Q$177</f>
        <v>0.4</v>
      </c>
      <c r="Q454" s="4">
        <f t="shared" si="323"/>
        <v>0.9867978615748374</v>
      </c>
      <c r="R454" s="4">
        <f t="shared" si="323"/>
        <v>0.98114509762858249</v>
      </c>
      <c r="S454" s="4">
        <f t="shared" si="323"/>
        <v>0.97311898315872036</v>
      </c>
      <c r="T454" s="4">
        <f t="shared" si="323"/>
        <v>0.96177484161592774</v>
      </c>
      <c r="U454" s="4">
        <f t="shared" si="323"/>
        <v>0.94584787155511363</v>
      </c>
      <c r="V454" s="4">
        <f t="shared" si="323"/>
        <v>0.92370360150141495</v>
      </c>
      <c r="W454" s="4">
        <f t="shared" si="323"/>
        <v>0.89334463567658451</v>
      </c>
      <c r="X454" s="4">
        <f t="shared" si="323"/>
        <v>0.85254543874327005</v>
      </c>
      <c r="Y454" s="4">
        <f t="shared" si="323"/>
        <v>0.79921300652623883</v>
      </c>
      <c r="Z454" s="4">
        <f t="shared" si="323"/>
        <v>0.73204982249993378</v>
      </c>
      <c r="AA454" s="4">
        <f t="shared" si="323"/>
        <v>0.65145592958786691</v>
      </c>
      <c r="AB454" s="4">
        <f t="shared" si="323"/>
        <v>0.56032247880849573</v>
      </c>
      <c r="AC454" s="4">
        <f t="shared" si="323"/>
        <v>0.46411326873185343</v>
      </c>
      <c r="AD454" s="4">
        <f t="shared" si="323"/>
        <v>0.36979727595523937</v>
      </c>
      <c r="AE454" s="4">
        <f t="shared" si="323"/>
        <v>0.28393948637231203</v>
      </c>
      <c r="AF454" s="4">
        <f t="shared" si="323"/>
        <v>0.21097259161117732</v>
      </c>
      <c r="AG454" s="4">
        <f t="shared" si="320"/>
        <v>0.15253917653798199</v>
      </c>
      <c r="AH454" s="4">
        <f t="shared" si="320"/>
        <v>0.10795188737709993</v>
      </c>
      <c r="AI454" s="4">
        <f t="shared" si="320"/>
        <v>7.5176653938091809E-2</v>
      </c>
      <c r="AJ454" s="4">
        <f t="shared" si="321"/>
        <v>5.1742836177502194E-2</v>
      </c>
      <c r="AK454" s="4">
        <f t="shared" si="321"/>
        <v>3.5319190625345942E-2</v>
      </c>
      <c r="AL454" s="4">
        <f t="shared" si="321"/>
        <v>2.3969442072658165E-2</v>
      </c>
      <c r="AM454" s="4">
        <f t="shared" si="321"/>
        <v>1.6202243558389728E-2</v>
      </c>
      <c r="AN454" s="4">
        <f t="shared" si="321"/>
        <v>1.0922240564108399E-2</v>
      </c>
      <c r="AO454" s="4">
        <f t="shared" si="321"/>
        <v>7.3493212906090566E-3</v>
      </c>
      <c r="AP454" s="4">
        <f t="shared" si="321"/>
        <v>4.9390262185057265E-3</v>
      </c>
      <c r="AQ454" s="4">
        <f t="shared" si="321"/>
        <v>3.3164275492956197E-3</v>
      </c>
      <c r="AR454" s="4">
        <f t="shared" si="321"/>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23"/>
        <v>0.9867978615748374</v>
      </c>
      <c r="R455" s="4">
        <f t="shared" si="323"/>
        <v>0.98114509762858249</v>
      </c>
      <c r="S455" s="4">
        <f t="shared" si="323"/>
        <v>0.97311898315872036</v>
      </c>
      <c r="T455" s="4">
        <f t="shared" si="323"/>
        <v>0.96177484161592774</v>
      </c>
      <c r="U455" s="4">
        <f t="shared" si="323"/>
        <v>0.94584787155511363</v>
      </c>
      <c r="V455" s="4">
        <f t="shared" si="323"/>
        <v>0.92370360150141495</v>
      </c>
      <c r="W455" s="4">
        <f t="shared" si="323"/>
        <v>0.89334463567658451</v>
      </c>
      <c r="X455" s="4">
        <f t="shared" si="323"/>
        <v>0.85254543874327005</v>
      </c>
      <c r="Y455" s="4">
        <f t="shared" si="323"/>
        <v>0.79921300652623883</v>
      </c>
      <c r="Z455" s="4">
        <f t="shared" si="323"/>
        <v>0.73204982249993378</v>
      </c>
      <c r="AA455" s="4">
        <f t="shared" si="323"/>
        <v>0.65145592958786691</v>
      </c>
      <c r="AB455" s="4">
        <f t="shared" si="323"/>
        <v>0.56032247880849573</v>
      </c>
      <c r="AC455" s="4">
        <f t="shared" si="323"/>
        <v>0.46411326873185343</v>
      </c>
      <c r="AD455" s="4">
        <f t="shared" si="323"/>
        <v>0.36979727595523937</v>
      </c>
      <c r="AE455" s="4">
        <f t="shared" si="323"/>
        <v>0.28393948637231203</v>
      </c>
      <c r="AF455" s="4">
        <f t="shared" si="323"/>
        <v>0.21097259161117732</v>
      </c>
      <c r="AG455" s="4">
        <f t="shared" si="320"/>
        <v>0.15253917653798199</v>
      </c>
      <c r="AH455" s="4">
        <f t="shared" si="320"/>
        <v>0.10795188737709993</v>
      </c>
      <c r="AI455" s="4">
        <f t="shared" si="320"/>
        <v>7.5176653938091809E-2</v>
      </c>
      <c r="AJ455" s="4">
        <f t="shared" si="321"/>
        <v>5.1742836177502194E-2</v>
      </c>
      <c r="AK455" s="4">
        <f t="shared" si="321"/>
        <v>3.5319190625345942E-2</v>
      </c>
      <c r="AL455" s="4">
        <f t="shared" si="321"/>
        <v>2.3969442072658165E-2</v>
      </c>
      <c r="AM455" s="4">
        <f t="shared" si="321"/>
        <v>1.6202243558389728E-2</v>
      </c>
      <c r="AN455" s="4">
        <f t="shared" si="321"/>
        <v>1.0922240564108399E-2</v>
      </c>
      <c r="AO455" s="4">
        <f t="shared" si="321"/>
        <v>7.3493212906090566E-3</v>
      </c>
      <c r="AP455" s="4">
        <f t="shared" si="321"/>
        <v>4.9390262185057265E-3</v>
      </c>
      <c r="AQ455" s="4">
        <f t="shared" si="321"/>
        <v>3.3164275492956197E-3</v>
      </c>
      <c r="AR455" s="4">
        <f t="shared" si="321"/>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4">A439</f>
        <v>Capex vehicle</v>
      </c>
      <c r="B459" s="62">
        <f t="shared" ref="B459:B467" si="325">$B439+($C439-$B439)*(1-Q439)</f>
        <v>9950491.9809056409</v>
      </c>
      <c r="C459" s="62">
        <f t="shared" ref="C459:C467" si="326">$B439+($C439-$B439)*(1-R439)</f>
        <v>9929294.1161071844</v>
      </c>
      <c r="D459" s="62">
        <f t="shared" ref="D459:D467" si="327">$B439+($C439-$B439)*(1-S439)</f>
        <v>9899196.186845202</v>
      </c>
      <c r="E459" s="62">
        <f t="shared" ref="E459:E467" si="328">$B439+($C439-$B439)*(1-T439)</f>
        <v>9856655.6560597289</v>
      </c>
      <c r="F459" s="62">
        <f t="shared" ref="F459:F467" si="329">$B439+($C439-$B439)*(1-U439)</f>
        <v>9796929.5183316767</v>
      </c>
      <c r="G459" s="62">
        <f t="shared" ref="G459:G467" si="330">$B439+($C439-$B439)*(1-V439)</f>
        <v>9713888.5056303069</v>
      </c>
      <c r="H459" s="62">
        <f t="shared" ref="H459:H467" si="331">$B439+($C439-$B439)*(1-W439)</f>
        <v>9600042.3837871924</v>
      </c>
      <c r="I459" s="62">
        <f t="shared" ref="I459:I467" si="332">$B439+($C439-$B439)*(1-X439)</f>
        <v>9447045.3952872623</v>
      </c>
      <c r="J459" s="62">
        <f t="shared" ref="J459:J467" si="333">$B439+($C439-$B439)*(1-Y439)</f>
        <v>9247048.7744733952</v>
      </c>
      <c r="K459" s="62">
        <f t="shared" ref="K459:K467" si="334">$B439+($C439-$B439)*(1-Z439)</f>
        <v>8995186.8343747519</v>
      </c>
      <c r="L459" s="62">
        <f t="shared" ref="L459:L467" si="335">$B439+($C439-$B439)*(1-AA439)</f>
        <v>8692959.7359545007</v>
      </c>
      <c r="M459" s="62">
        <f t="shared" ref="M459:M467" si="336">$B439+($C439-$B439)*(1-AB439)</f>
        <v>8351209.2955318587</v>
      </c>
      <c r="N459" s="62">
        <f t="shared" ref="N459:N467" si="337">$B439+($C439-$B439)*(1-AC439)</f>
        <v>7990424.7577444501</v>
      </c>
      <c r="O459" s="62">
        <f t="shared" ref="O459:O467" si="338">$B439+($C439-$B439)*(1-AD439)</f>
        <v>7636739.7848321479</v>
      </c>
      <c r="P459" s="62">
        <f t="shared" ref="P459:P467" si="339">$B439+($C439-$B439)*(1-AE439)</f>
        <v>7314773.0738961697</v>
      </c>
      <c r="Q459" s="62">
        <f t="shared" ref="Q459:Q467" si="340">$B439+($C439-$B439)*(1-AF439)</f>
        <v>7041147.2185419146</v>
      </c>
      <c r="R459" s="62">
        <f t="shared" ref="R459:R467" si="341">$B439+($C439-$B439)*(1-AG439)</f>
        <v>6822021.912017433</v>
      </c>
      <c r="S459" s="62">
        <f t="shared" ref="S459:S467" si="342">$B439+($C439-$B439)*(1-AH439)</f>
        <v>6654819.5776641248</v>
      </c>
      <c r="T459" s="62">
        <f t="shared" ref="T459:T467" si="343">$B439+($C439-$B439)*(1-AI439)</f>
        <v>6531912.4522678442</v>
      </c>
      <c r="U459" s="62">
        <f t="shared" ref="U459:U467" si="344">$B439+($C439-$B439)*(1-AJ439)</f>
        <v>6444035.6356656328</v>
      </c>
      <c r="V459" s="62">
        <f t="shared" ref="V459:V467" si="345">$B439+($C439-$B439)*(1-AK439)</f>
        <v>6382446.9648450473</v>
      </c>
      <c r="W459" s="62">
        <f t="shared" ref="W459:W467" si="346">$B439+($C439-$B439)*(1-AL439)</f>
        <v>6339885.4077724684</v>
      </c>
      <c r="X459" s="62">
        <f t="shared" ref="X459:X467" si="347">$B439+($C439-$B439)*(1-AM439)</f>
        <v>6310758.4133439614</v>
      </c>
      <c r="Y459" s="62">
        <f t="shared" ref="Y459:Y467" si="348">$B439+($C439-$B439)*(1-AN439)</f>
        <v>6290958.4021154065</v>
      </c>
      <c r="Z459" s="62">
        <f t="shared" ref="Z459:Z467" si="349">$B439+($C439-$B439)*(1-AO439)</f>
        <v>6277559.9548397847</v>
      </c>
      <c r="AA459" s="62">
        <f t="shared" ref="AA459:AA467" si="350">$B439+($C439-$B439)*(1-AP439)</f>
        <v>6268521.3483193964</v>
      </c>
      <c r="AB459" s="62">
        <f t="shared" ref="AB459:AB467" si="351">$B439+($C439-$B439)*(1-AQ439)</f>
        <v>6262436.6033098586</v>
      </c>
      <c r="AC459" s="62">
        <f t="shared" ref="AC459:AC467" si="352">$B439+($C439-$B439)*(1-AR439)</f>
        <v>6258346.1358050052</v>
      </c>
    </row>
    <row r="460" spans="1:44" x14ac:dyDescent="0.25">
      <c r="A460" s="30" t="str">
        <f t="shared" si="324"/>
        <v>Residual value (vehicle)</v>
      </c>
      <c r="B460" s="62">
        <f t="shared" si="325"/>
        <v>-505775.93556100863</v>
      </c>
      <c r="C460" s="62">
        <f t="shared" si="326"/>
        <v>-508249.01978749514</v>
      </c>
      <c r="D460" s="62">
        <f t="shared" si="327"/>
        <v>-511760.44486805983</v>
      </c>
      <c r="E460" s="62">
        <f t="shared" si="328"/>
        <v>-516723.50679303159</v>
      </c>
      <c r="F460" s="62">
        <f t="shared" si="329"/>
        <v>-523691.55619463779</v>
      </c>
      <c r="G460" s="62">
        <f t="shared" si="330"/>
        <v>-533379.67434313102</v>
      </c>
      <c r="H460" s="62">
        <f t="shared" si="331"/>
        <v>-546661.72189149424</v>
      </c>
      <c r="I460" s="62">
        <f t="shared" si="332"/>
        <v>-564511.37054981932</v>
      </c>
      <c r="J460" s="62">
        <f t="shared" si="333"/>
        <v>-587844.30964477046</v>
      </c>
      <c r="K460" s="62">
        <f t="shared" si="334"/>
        <v>-617228.20265627897</v>
      </c>
      <c r="L460" s="62">
        <f t="shared" si="335"/>
        <v>-652488.03080530826</v>
      </c>
      <c r="M460" s="62">
        <f t="shared" si="336"/>
        <v>-692358.91552128317</v>
      </c>
      <c r="N460" s="62">
        <f t="shared" si="337"/>
        <v>-734450.44492981408</v>
      </c>
      <c r="O460" s="62">
        <f t="shared" si="338"/>
        <v>-775713.6917695828</v>
      </c>
      <c r="P460" s="62">
        <f t="shared" si="339"/>
        <v>-813276.4747121135</v>
      </c>
      <c r="Q460" s="62">
        <f t="shared" si="340"/>
        <v>-845199.49117010995</v>
      </c>
      <c r="R460" s="62">
        <f t="shared" si="341"/>
        <v>-870764.11026463285</v>
      </c>
      <c r="S460" s="62">
        <f t="shared" si="342"/>
        <v>-890271.04927251884</v>
      </c>
      <c r="T460" s="62">
        <f t="shared" si="343"/>
        <v>-904610.21390208486</v>
      </c>
      <c r="U460" s="62">
        <f t="shared" si="344"/>
        <v>-914862.50917234272</v>
      </c>
      <c r="V460" s="62">
        <f t="shared" si="345"/>
        <v>-922047.85410141107</v>
      </c>
      <c r="W460" s="62">
        <f t="shared" si="346"/>
        <v>-927013.36909321207</v>
      </c>
      <c r="X460" s="62">
        <f t="shared" si="347"/>
        <v>-930411.51844320446</v>
      </c>
      <c r="Y460" s="62">
        <f t="shared" si="348"/>
        <v>-932721.51975320256</v>
      </c>
      <c r="Z460" s="62">
        <f t="shared" si="349"/>
        <v>-934284.67193535855</v>
      </c>
      <c r="AA460" s="62">
        <f t="shared" si="350"/>
        <v>-935339.17602940369</v>
      </c>
      <c r="AB460" s="62">
        <f t="shared" si="351"/>
        <v>-936049.06294718315</v>
      </c>
      <c r="AC460" s="62">
        <f t="shared" si="352"/>
        <v>-936526.28415608278</v>
      </c>
    </row>
    <row r="461" spans="1:44" x14ac:dyDescent="0.25">
      <c r="A461" s="30" t="str">
        <f t="shared" si="324"/>
        <v>Capex costumization</v>
      </c>
      <c r="B461" s="62">
        <f t="shared" si="325"/>
        <v>3500000</v>
      </c>
      <c r="C461" s="62">
        <f t="shared" si="326"/>
        <v>3500000</v>
      </c>
      <c r="D461" s="62">
        <f t="shared" si="327"/>
        <v>3500000</v>
      </c>
      <c r="E461" s="62">
        <f t="shared" si="328"/>
        <v>3500000</v>
      </c>
      <c r="F461" s="62">
        <f t="shared" si="329"/>
        <v>3500000</v>
      </c>
      <c r="G461" s="62">
        <f t="shared" si="330"/>
        <v>3500000</v>
      </c>
      <c r="H461" s="62">
        <f t="shared" si="331"/>
        <v>3500000</v>
      </c>
      <c r="I461" s="62">
        <f t="shared" si="332"/>
        <v>3500000</v>
      </c>
      <c r="J461" s="62">
        <f t="shared" si="333"/>
        <v>3500000</v>
      </c>
      <c r="K461" s="62">
        <f t="shared" si="334"/>
        <v>3500000</v>
      </c>
      <c r="L461" s="62">
        <f t="shared" si="335"/>
        <v>3500000</v>
      </c>
      <c r="M461" s="62">
        <f t="shared" si="336"/>
        <v>3500000</v>
      </c>
      <c r="N461" s="62">
        <f t="shared" si="337"/>
        <v>3500000</v>
      </c>
      <c r="O461" s="62">
        <f t="shared" si="338"/>
        <v>3500000</v>
      </c>
      <c r="P461" s="62">
        <f t="shared" si="339"/>
        <v>3500000</v>
      </c>
      <c r="Q461" s="62">
        <f t="shared" si="340"/>
        <v>3500000</v>
      </c>
      <c r="R461" s="62">
        <f t="shared" si="341"/>
        <v>3500000</v>
      </c>
      <c r="S461" s="62">
        <f t="shared" si="342"/>
        <v>3500000</v>
      </c>
      <c r="T461" s="62">
        <f t="shared" si="343"/>
        <v>3500000</v>
      </c>
      <c r="U461" s="62">
        <f t="shared" si="344"/>
        <v>3500000</v>
      </c>
      <c r="V461" s="62">
        <f t="shared" si="345"/>
        <v>3500000</v>
      </c>
      <c r="W461" s="62">
        <f t="shared" si="346"/>
        <v>3500000</v>
      </c>
      <c r="X461" s="62">
        <f t="shared" si="347"/>
        <v>3500000</v>
      </c>
      <c r="Y461" s="62">
        <f t="shared" si="348"/>
        <v>3500000</v>
      </c>
      <c r="Z461" s="62">
        <f t="shared" si="349"/>
        <v>3500000</v>
      </c>
      <c r="AA461" s="62">
        <f t="shared" si="350"/>
        <v>3500000</v>
      </c>
      <c r="AB461" s="62">
        <f t="shared" si="351"/>
        <v>3500000</v>
      </c>
      <c r="AC461" s="62">
        <f t="shared" si="352"/>
        <v>3500000</v>
      </c>
    </row>
    <row r="462" spans="1:44" x14ac:dyDescent="0.25">
      <c r="A462" s="30" t="str">
        <f t="shared" si="324"/>
        <v>Residual value (costumization)</v>
      </c>
      <c r="B462" s="62">
        <f t="shared" si="325"/>
        <v>-175000</v>
      </c>
      <c r="C462" s="62">
        <f t="shared" si="326"/>
        <v>-175000</v>
      </c>
      <c r="D462" s="62">
        <f t="shared" si="327"/>
        <v>-175000</v>
      </c>
      <c r="E462" s="62">
        <f t="shared" si="328"/>
        <v>-175000</v>
      </c>
      <c r="F462" s="62">
        <f t="shared" si="329"/>
        <v>-175000</v>
      </c>
      <c r="G462" s="62">
        <f t="shared" si="330"/>
        <v>-175000</v>
      </c>
      <c r="H462" s="62">
        <f t="shared" si="331"/>
        <v>-175000</v>
      </c>
      <c r="I462" s="62">
        <f t="shared" si="332"/>
        <v>-175000</v>
      </c>
      <c r="J462" s="62">
        <f t="shared" si="333"/>
        <v>-175000</v>
      </c>
      <c r="K462" s="62">
        <f t="shared" si="334"/>
        <v>-175000</v>
      </c>
      <c r="L462" s="62">
        <f t="shared" si="335"/>
        <v>-175000</v>
      </c>
      <c r="M462" s="62">
        <f t="shared" si="336"/>
        <v>-175000</v>
      </c>
      <c r="N462" s="62">
        <f t="shared" si="337"/>
        <v>-175000</v>
      </c>
      <c r="O462" s="62">
        <f t="shared" si="338"/>
        <v>-175000</v>
      </c>
      <c r="P462" s="62">
        <f t="shared" si="339"/>
        <v>-175000</v>
      </c>
      <c r="Q462" s="62">
        <f t="shared" si="340"/>
        <v>-175000</v>
      </c>
      <c r="R462" s="62">
        <f t="shared" si="341"/>
        <v>-175000</v>
      </c>
      <c r="S462" s="62">
        <f t="shared" si="342"/>
        <v>-175000</v>
      </c>
      <c r="T462" s="62">
        <f t="shared" si="343"/>
        <v>-175000</v>
      </c>
      <c r="U462" s="62">
        <f t="shared" si="344"/>
        <v>-175000</v>
      </c>
      <c r="V462" s="62">
        <f t="shared" si="345"/>
        <v>-175000</v>
      </c>
      <c r="W462" s="62">
        <f t="shared" si="346"/>
        <v>-175000</v>
      </c>
      <c r="X462" s="62">
        <f t="shared" si="347"/>
        <v>-175000</v>
      </c>
      <c r="Y462" s="62">
        <f t="shared" si="348"/>
        <v>-175000</v>
      </c>
      <c r="Z462" s="62">
        <f t="shared" si="349"/>
        <v>-175000</v>
      </c>
      <c r="AA462" s="62">
        <f t="shared" si="350"/>
        <v>-175000</v>
      </c>
      <c r="AB462" s="62">
        <f t="shared" si="351"/>
        <v>-175000</v>
      </c>
      <c r="AC462" s="62">
        <f t="shared" si="352"/>
        <v>-175000</v>
      </c>
    </row>
    <row r="463" spans="1:44" x14ac:dyDescent="0.25">
      <c r="A463" s="30" t="str">
        <f t="shared" si="324"/>
        <v>WACC</v>
      </c>
      <c r="B463" s="62">
        <f t="shared" si="325"/>
        <v>0.06</v>
      </c>
      <c r="C463" s="62">
        <f t="shared" si="326"/>
        <v>0.06</v>
      </c>
      <c r="D463" s="62">
        <f t="shared" si="327"/>
        <v>0.06</v>
      </c>
      <c r="E463" s="62">
        <f t="shared" si="328"/>
        <v>0.06</v>
      </c>
      <c r="F463" s="62">
        <f t="shared" si="329"/>
        <v>0.06</v>
      </c>
      <c r="G463" s="62">
        <f t="shared" si="330"/>
        <v>0.06</v>
      </c>
      <c r="H463" s="62">
        <f t="shared" si="331"/>
        <v>0.06</v>
      </c>
      <c r="I463" s="62">
        <f t="shared" si="332"/>
        <v>0.06</v>
      </c>
      <c r="J463" s="62">
        <f t="shared" si="333"/>
        <v>0.06</v>
      </c>
      <c r="K463" s="62">
        <f t="shared" si="334"/>
        <v>0.06</v>
      </c>
      <c r="L463" s="62">
        <f t="shared" si="335"/>
        <v>0.06</v>
      </c>
      <c r="M463" s="62">
        <f t="shared" si="336"/>
        <v>0.06</v>
      </c>
      <c r="N463" s="62">
        <f t="shared" si="337"/>
        <v>0.06</v>
      </c>
      <c r="O463" s="62">
        <f t="shared" si="338"/>
        <v>0.06</v>
      </c>
      <c r="P463" s="62">
        <f t="shared" si="339"/>
        <v>0.06</v>
      </c>
      <c r="Q463" s="62">
        <f t="shared" si="340"/>
        <v>0.06</v>
      </c>
      <c r="R463" s="62">
        <f t="shared" si="341"/>
        <v>0.06</v>
      </c>
      <c r="S463" s="62">
        <f t="shared" si="342"/>
        <v>0.06</v>
      </c>
      <c r="T463" s="62">
        <f t="shared" si="343"/>
        <v>0.06</v>
      </c>
      <c r="U463" s="62">
        <f t="shared" si="344"/>
        <v>0.06</v>
      </c>
      <c r="V463" s="62">
        <f t="shared" si="345"/>
        <v>0.06</v>
      </c>
      <c r="W463" s="62">
        <f t="shared" si="346"/>
        <v>0.06</v>
      </c>
      <c r="X463" s="62">
        <f t="shared" si="347"/>
        <v>0.06</v>
      </c>
      <c r="Y463" s="62">
        <f t="shared" si="348"/>
        <v>0.06</v>
      </c>
      <c r="Z463" s="62">
        <f t="shared" si="349"/>
        <v>0.06</v>
      </c>
      <c r="AA463" s="62">
        <f t="shared" si="350"/>
        <v>0.06</v>
      </c>
      <c r="AB463" s="62">
        <f t="shared" si="351"/>
        <v>0.06</v>
      </c>
      <c r="AC463" s="62">
        <f t="shared" si="352"/>
        <v>0.06</v>
      </c>
    </row>
    <row r="464" spans="1:44" x14ac:dyDescent="0.25">
      <c r="A464" s="30" t="str">
        <f t="shared" si="324"/>
        <v>Opex fix (admin, crew, insurance)</v>
      </c>
      <c r="B464" s="62">
        <f t="shared" si="325"/>
        <v>650000</v>
      </c>
      <c r="C464" s="62">
        <f t="shared" si="326"/>
        <v>650000</v>
      </c>
      <c r="D464" s="62">
        <f t="shared" si="327"/>
        <v>650000</v>
      </c>
      <c r="E464" s="62">
        <f t="shared" si="328"/>
        <v>650000</v>
      </c>
      <c r="F464" s="62">
        <f t="shared" si="329"/>
        <v>650000</v>
      </c>
      <c r="G464" s="62">
        <f t="shared" si="330"/>
        <v>650000</v>
      </c>
      <c r="H464" s="62">
        <f t="shared" si="331"/>
        <v>650000</v>
      </c>
      <c r="I464" s="62">
        <f t="shared" si="332"/>
        <v>650000</v>
      </c>
      <c r="J464" s="62">
        <f t="shared" si="333"/>
        <v>650000</v>
      </c>
      <c r="K464" s="62">
        <f t="shared" si="334"/>
        <v>650000</v>
      </c>
      <c r="L464" s="62">
        <f t="shared" si="335"/>
        <v>650000</v>
      </c>
      <c r="M464" s="62">
        <f t="shared" si="336"/>
        <v>650000</v>
      </c>
      <c r="N464" s="62">
        <f t="shared" si="337"/>
        <v>650000</v>
      </c>
      <c r="O464" s="62">
        <f t="shared" si="338"/>
        <v>650000</v>
      </c>
      <c r="P464" s="62">
        <f t="shared" si="339"/>
        <v>650000</v>
      </c>
      <c r="Q464" s="62">
        <f t="shared" si="340"/>
        <v>650000</v>
      </c>
      <c r="R464" s="62">
        <f t="shared" si="341"/>
        <v>650000</v>
      </c>
      <c r="S464" s="62">
        <f t="shared" si="342"/>
        <v>650000</v>
      </c>
      <c r="T464" s="62">
        <f t="shared" si="343"/>
        <v>650000</v>
      </c>
      <c r="U464" s="62">
        <f t="shared" si="344"/>
        <v>650000</v>
      </c>
      <c r="V464" s="62">
        <f t="shared" si="345"/>
        <v>650000</v>
      </c>
      <c r="W464" s="62">
        <f t="shared" si="346"/>
        <v>650000</v>
      </c>
      <c r="X464" s="62">
        <f t="shared" si="347"/>
        <v>650000</v>
      </c>
      <c r="Y464" s="62">
        <f t="shared" si="348"/>
        <v>650000</v>
      </c>
      <c r="Z464" s="62">
        <f t="shared" si="349"/>
        <v>650000</v>
      </c>
      <c r="AA464" s="62">
        <f t="shared" si="350"/>
        <v>650000</v>
      </c>
      <c r="AB464" s="62">
        <f t="shared" si="351"/>
        <v>650000</v>
      </c>
      <c r="AC464" s="62">
        <f t="shared" si="352"/>
        <v>650000</v>
      </c>
    </row>
    <row r="465" spans="1:29" x14ac:dyDescent="0.25">
      <c r="A465" s="30" t="str">
        <f t="shared" si="324"/>
        <v>Opex maintenance &amp; repair</v>
      </c>
      <c r="B465" s="62">
        <f t="shared" si="325"/>
        <v>1293563.9575177333</v>
      </c>
      <c r="C465" s="62">
        <f t="shared" si="326"/>
        <v>1290808.235093934</v>
      </c>
      <c r="D465" s="62">
        <f t="shared" si="327"/>
        <v>1286895.5042898762</v>
      </c>
      <c r="E465" s="62">
        <f t="shared" si="328"/>
        <v>1281365.2352877648</v>
      </c>
      <c r="F465" s="62">
        <f t="shared" si="329"/>
        <v>1273600.837383118</v>
      </c>
      <c r="G465" s="62">
        <f t="shared" si="330"/>
        <v>1262805.5057319398</v>
      </c>
      <c r="H465" s="62">
        <f t="shared" si="331"/>
        <v>1248005.5098923349</v>
      </c>
      <c r="I465" s="62">
        <f t="shared" si="332"/>
        <v>1228115.9013873441</v>
      </c>
      <c r="J465" s="62">
        <f t="shared" si="333"/>
        <v>1202116.3406815415</v>
      </c>
      <c r="K465" s="62">
        <f t="shared" si="334"/>
        <v>1169374.2884687176</v>
      </c>
      <c r="L465" s="62">
        <f t="shared" si="335"/>
        <v>1130084.7656740851</v>
      </c>
      <c r="M465" s="62">
        <f t="shared" si="336"/>
        <v>1085657.2084191416</v>
      </c>
      <c r="N465" s="62">
        <f t="shared" si="337"/>
        <v>1038755.2185067786</v>
      </c>
      <c r="O465" s="62">
        <f t="shared" si="338"/>
        <v>992776.17202817916</v>
      </c>
      <c r="P465" s="62">
        <f t="shared" si="339"/>
        <v>950920.49960650213</v>
      </c>
      <c r="Q465" s="62">
        <f t="shared" si="340"/>
        <v>915349.13841044903</v>
      </c>
      <c r="R465" s="62">
        <f t="shared" si="341"/>
        <v>886862.84856226621</v>
      </c>
      <c r="S465" s="62">
        <f t="shared" si="342"/>
        <v>865126.54509633617</v>
      </c>
      <c r="T465" s="62">
        <f t="shared" si="343"/>
        <v>849148.61879481981</v>
      </c>
      <c r="U465" s="62">
        <f t="shared" si="344"/>
        <v>837724.6326365323</v>
      </c>
      <c r="V465" s="62">
        <f t="shared" si="345"/>
        <v>829718.10542985611</v>
      </c>
      <c r="W465" s="62">
        <f t="shared" si="346"/>
        <v>824185.10301042092</v>
      </c>
      <c r="X465" s="62">
        <f t="shared" si="347"/>
        <v>820398.59373471502</v>
      </c>
      <c r="Y465" s="62">
        <f t="shared" si="348"/>
        <v>817824.59227500285</v>
      </c>
      <c r="Z465" s="62">
        <f t="shared" si="349"/>
        <v>816082.79412917187</v>
      </c>
      <c r="AA465" s="62">
        <f t="shared" si="350"/>
        <v>814907.77528152149</v>
      </c>
      <c r="AB465" s="62">
        <f t="shared" si="351"/>
        <v>814116.75843028165</v>
      </c>
      <c r="AC465" s="62">
        <f t="shared" si="352"/>
        <v>813584.99765465059</v>
      </c>
    </row>
    <row r="466" spans="1:29" x14ac:dyDescent="0.25">
      <c r="A466" s="30" t="str">
        <f t="shared" si="324"/>
        <v>Opex var (mode-fees, shunting)</v>
      </c>
      <c r="B466" s="62">
        <f t="shared" si="325"/>
        <v>3.9215686274509802</v>
      </c>
      <c r="C466" s="62">
        <f t="shared" si="326"/>
        <v>3.9215686274509802</v>
      </c>
      <c r="D466" s="62">
        <f t="shared" si="327"/>
        <v>3.9215686274509802</v>
      </c>
      <c r="E466" s="62">
        <f t="shared" si="328"/>
        <v>3.9215686274509802</v>
      </c>
      <c r="F466" s="62">
        <f t="shared" si="329"/>
        <v>3.9215686274509802</v>
      </c>
      <c r="G466" s="62">
        <f t="shared" si="330"/>
        <v>3.9215686274509802</v>
      </c>
      <c r="H466" s="62">
        <f t="shared" si="331"/>
        <v>3.9215686274509802</v>
      </c>
      <c r="I466" s="62">
        <f t="shared" si="332"/>
        <v>3.9215686274509802</v>
      </c>
      <c r="J466" s="62">
        <f t="shared" si="333"/>
        <v>3.9215686274509802</v>
      </c>
      <c r="K466" s="62">
        <f t="shared" si="334"/>
        <v>3.9215686274509802</v>
      </c>
      <c r="L466" s="62">
        <f t="shared" si="335"/>
        <v>3.9215686274509802</v>
      </c>
      <c r="M466" s="62">
        <f t="shared" si="336"/>
        <v>3.9215686274509802</v>
      </c>
      <c r="N466" s="62">
        <f t="shared" si="337"/>
        <v>3.9215686274509802</v>
      </c>
      <c r="O466" s="62">
        <f t="shared" si="338"/>
        <v>3.9215686274509802</v>
      </c>
      <c r="P466" s="62">
        <f t="shared" si="339"/>
        <v>3.9215686274509802</v>
      </c>
      <c r="Q466" s="62">
        <f t="shared" si="340"/>
        <v>3.9215686274509802</v>
      </c>
      <c r="R466" s="62">
        <f t="shared" si="341"/>
        <v>3.9215686274509802</v>
      </c>
      <c r="S466" s="62">
        <f t="shared" si="342"/>
        <v>3.9215686274509802</v>
      </c>
      <c r="T466" s="62">
        <f t="shared" si="343"/>
        <v>3.9215686274509802</v>
      </c>
      <c r="U466" s="62">
        <f t="shared" si="344"/>
        <v>3.9215686274509802</v>
      </c>
      <c r="V466" s="62">
        <f t="shared" si="345"/>
        <v>3.9215686274509802</v>
      </c>
      <c r="W466" s="62">
        <f t="shared" si="346"/>
        <v>3.9215686274509802</v>
      </c>
      <c r="X466" s="62">
        <f t="shared" si="347"/>
        <v>3.9215686274509802</v>
      </c>
      <c r="Y466" s="62">
        <f t="shared" si="348"/>
        <v>3.9215686274509802</v>
      </c>
      <c r="Z466" s="62">
        <f t="shared" si="349"/>
        <v>3.9215686274509802</v>
      </c>
      <c r="AA466" s="62">
        <f t="shared" si="350"/>
        <v>3.9215686274509802</v>
      </c>
      <c r="AB466" s="62">
        <f t="shared" si="351"/>
        <v>3.9215686274509802</v>
      </c>
      <c r="AC466" s="62">
        <f t="shared" si="352"/>
        <v>3.9215686274509802</v>
      </c>
    </row>
    <row r="467" spans="1:29" x14ac:dyDescent="0.25">
      <c r="A467" s="30" t="str">
        <f t="shared" si="324"/>
        <v>Fuel Economy</v>
      </c>
      <c r="B467" s="62">
        <f t="shared" si="325"/>
        <v>33.590199999999996</v>
      </c>
      <c r="C467" s="62">
        <f t="shared" si="326"/>
        <v>33.590199999999996</v>
      </c>
      <c r="D467" s="62">
        <f t="shared" si="327"/>
        <v>33.590199999999996</v>
      </c>
      <c r="E467" s="62">
        <f t="shared" si="328"/>
        <v>33.590199999999996</v>
      </c>
      <c r="F467" s="62">
        <f t="shared" si="329"/>
        <v>33.590199999999996</v>
      </c>
      <c r="G467" s="62">
        <f t="shared" si="330"/>
        <v>33.590199999999996</v>
      </c>
      <c r="H467" s="62">
        <f t="shared" si="331"/>
        <v>33.590199999999996</v>
      </c>
      <c r="I467" s="62">
        <f t="shared" si="332"/>
        <v>33.590199999999996</v>
      </c>
      <c r="J467" s="62">
        <f t="shared" si="333"/>
        <v>33.590199999999996</v>
      </c>
      <c r="K467" s="62">
        <f t="shared" si="334"/>
        <v>33.590199999999996</v>
      </c>
      <c r="L467" s="62">
        <f t="shared" si="335"/>
        <v>33.590199999999996</v>
      </c>
      <c r="M467" s="62">
        <f t="shared" si="336"/>
        <v>33.590199999999996</v>
      </c>
      <c r="N467" s="62">
        <f t="shared" si="337"/>
        <v>33.590199999999996</v>
      </c>
      <c r="O467" s="62">
        <f t="shared" si="338"/>
        <v>33.590199999999996</v>
      </c>
      <c r="P467" s="62">
        <f t="shared" si="339"/>
        <v>33.590199999999996</v>
      </c>
      <c r="Q467" s="62">
        <f t="shared" si="340"/>
        <v>33.590199999999996</v>
      </c>
      <c r="R467" s="62">
        <f t="shared" si="341"/>
        <v>33.590199999999996</v>
      </c>
      <c r="S467" s="62">
        <f t="shared" si="342"/>
        <v>33.590199999999996</v>
      </c>
      <c r="T467" s="62">
        <f t="shared" si="343"/>
        <v>33.590199999999996</v>
      </c>
      <c r="U467" s="62">
        <f t="shared" si="344"/>
        <v>33.590199999999996</v>
      </c>
      <c r="V467" s="62">
        <f t="shared" si="345"/>
        <v>33.590199999999996</v>
      </c>
      <c r="W467" s="62">
        <f t="shared" si="346"/>
        <v>33.590199999999996</v>
      </c>
      <c r="X467" s="62">
        <f t="shared" si="347"/>
        <v>33.590199999999996</v>
      </c>
      <c r="Y467" s="62">
        <f t="shared" si="348"/>
        <v>33.590199999999996</v>
      </c>
      <c r="Z467" s="62">
        <f t="shared" si="349"/>
        <v>33.590199999999996</v>
      </c>
      <c r="AA467" s="62">
        <f t="shared" si="350"/>
        <v>33.590199999999996</v>
      </c>
      <c r="AB467" s="62">
        <f t="shared" si="351"/>
        <v>33.590199999999996</v>
      </c>
      <c r="AC467" s="62">
        <f t="shared" si="352"/>
        <v>33.590199999999996</v>
      </c>
    </row>
    <row r="468" spans="1:29" x14ac:dyDescent="0.25">
      <c r="A468" s="30" t="str">
        <f t="shared" si="324"/>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353">A449</f>
        <v>Emission Cost</v>
      </c>
      <c r="B469" s="66">
        <f>$B449+($C449-$B449)*(1-Q449)</f>
        <v>0</v>
      </c>
      <c r="C469" s="66">
        <f t="shared" ref="C469:AC469" si="354">$B449+($C449-$B449)*(1-R449)</f>
        <v>0</v>
      </c>
      <c r="D469" s="66">
        <f t="shared" si="354"/>
        <v>0</v>
      </c>
      <c r="E469" s="66">
        <f t="shared" si="354"/>
        <v>0</v>
      </c>
      <c r="F469" s="66">
        <f t="shared" si="354"/>
        <v>0</v>
      </c>
      <c r="G469" s="66">
        <f t="shared" si="354"/>
        <v>0</v>
      </c>
      <c r="H469" s="66">
        <f t="shared" si="354"/>
        <v>0</v>
      </c>
      <c r="I469" s="66">
        <f t="shared" si="354"/>
        <v>0</v>
      </c>
      <c r="J469" s="66">
        <f t="shared" si="354"/>
        <v>0</v>
      </c>
      <c r="K469" s="66">
        <f t="shared" si="354"/>
        <v>0</v>
      </c>
      <c r="L469" s="66">
        <f t="shared" si="354"/>
        <v>0</v>
      </c>
      <c r="M469" s="66">
        <f t="shared" si="354"/>
        <v>0</v>
      </c>
      <c r="N469" s="66">
        <f t="shared" si="354"/>
        <v>0</v>
      </c>
      <c r="O469" s="66">
        <f t="shared" si="354"/>
        <v>0</v>
      </c>
      <c r="P469" s="66">
        <f t="shared" si="354"/>
        <v>0</v>
      </c>
      <c r="Q469" s="66">
        <f t="shared" si="354"/>
        <v>0</v>
      </c>
      <c r="R469" s="66">
        <f t="shared" si="354"/>
        <v>0</v>
      </c>
      <c r="S469" s="66">
        <f t="shared" si="354"/>
        <v>0</v>
      </c>
      <c r="T469" s="66">
        <f t="shared" si="354"/>
        <v>0</v>
      </c>
      <c r="U469" s="66">
        <f t="shared" si="354"/>
        <v>0</v>
      </c>
      <c r="V469" s="66">
        <f t="shared" si="354"/>
        <v>0</v>
      </c>
      <c r="W469" s="66">
        <f t="shared" si="354"/>
        <v>0</v>
      </c>
      <c r="X469" s="66">
        <f t="shared" si="354"/>
        <v>0</v>
      </c>
      <c r="Y469" s="66">
        <f t="shared" si="354"/>
        <v>0</v>
      </c>
      <c r="Z469" s="66">
        <f t="shared" si="354"/>
        <v>0</v>
      </c>
      <c r="AA469" s="66">
        <f t="shared" si="354"/>
        <v>0</v>
      </c>
      <c r="AB469" s="66">
        <f t="shared" si="354"/>
        <v>0</v>
      </c>
      <c r="AC469" s="66">
        <f t="shared" si="354"/>
        <v>0</v>
      </c>
    </row>
    <row r="470" spans="1:29" x14ac:dyDescent="0.25">
      <c r="A470" s="30" t="str">
        <f>A450</f>
        <v>Lifetime vehicle</v>
      </c>
      <c r="B470" s="62">
        <f>$B450+($C450-$B450)*(1-Q450)</f>
        <v>20</v>
      </c>
      <c r="C470" s="62">
        <f t="shared" ref="C470:L472" si="355">$B450+($C450-$B450)*(1-R450)</f>
        <v>20</v>
      </c>
      <c r="D470" s="62">
        <f t="shared" si="355"/>
        <v>20</v>
      </c>
      <c r="E470" s="62">
        <f t="shared" si="355"/>
        <v>20</v>
      </c>
      <c r="F470" s="62">
        <f t="shared" si="355"/>
        <v>20</v>
      </c>
      <c r="G470" s="62">
        <f t="shared" si="355"/>
        <v>20</v>
      </c>
      <c r="H470" s="62">
        <f t="shared" si="355"/>
        <v>20</v>
      </c>
      <c r="I470" s="62">
        <f t="shared" si="355"/>
        <v>20</v>
      </c>
      <c r="J470" s="62">
        <f t="shared" si="355"/>
        <v>20</v>
      </c>
      <c r="K470" s="62">
        <f t="shared" si="355"/>
        <v>20</v>
      </c>
      <c r="L470" s="62">
        <f t="shared" si="355"/>
        <v>20</v>
      </c>
      <c r="M470" s="62">
        <f t="shared" ref="M470:V472" si="356">$B450+($C450-$B450)*(1-AB450)</f>
        <v>20</v>
      </c>
      <c r="N470" s="62">
        <f t="shared" si="356"/>
        <v>20</v>
      </c>
      <c r="O470" s="62">
        <f t="shared" si="356"/>
        <v>20</v>
      </c>
      <c r="P470" s="62">
        <f t="shared" si="356"/>
        <v>20</v>
      </c>
      <c r="Q470" s="62">
        <f t="shared" si="356"/>
        <v>20</v>
      </c>
      <c r="R470" s="62">
        <f t="shared" si="356"/>
        <v>20</v>
      </c>
      <c r="S470" s="62">
        <f t="shared" si="356"/>
        <v>20</v>
      </c>
      <c r="T470" s="62">
        <f t="shared" si="356"/>
        <v>20</v>
      </c>
      <c r="U470" s="62">
        <f t="shared" si="356"/>
        <v>20</v>
      </c>
      <c r="V470" s="62">
        <f t="shared" si="356"/>
        <v>20</v>
      </c>
      <c r="W470" s="62">
        <f t="shared" ref="W470:AC472" si="357">$B450+($C450-$B450)*(1-AL450)</f>
        <v>20</v>
      </c>
      <c r="X470" s="62">
        <f t="shared" si="357"/>
        <v>20</v>
      </c>
      <c r="Y470" s="62">
        <f t="shared" si="357"/>
        <v>20</v>
      </c>
      <c r="Z470" s="62">
        <f t="shared" si="357"/>
        <v>20</v>
      </c>
      <c r="AA470" s="62">
        <f t="shared" si="357"/>
        <v>20</v>
      </c>
      <c r="AB470" s="62">
        <f t="shared" si="357"/>
        <v>20</v>
      </c>
      <c r="AC470" s="62">
        <f t="shared" si="357"/>
        <v>20</v>
      </c>
    </row>
    <row r="471" spans="1:29" x14ac:dyDescent="0.25">
      <c r="A471" s="30" t="str">
        <f>A451</f>
        <v>Lifetime costumization</v>
      </c>
      <c r="B471" s="62">
        <f>$B451+($C451-$B451)*(1-Q451)</f>
        <v>30</v>
      </c>
      <c r="C471" s="62">
        <f t="shared" si="355"/>
        <v>30</v>
      </c>
      <c r="D471" s="62">
        <f t="shared" si="355"/>
        <v>30</v>
      </c>
      <c r="E471" s="62">
        <f t="shared" si="355"/>
        <v>30</v>
      </c>
      <c r="F471" s="62">
        <f t="shared" si="355"/>
        <v>30</v>
      </c>
      <c r="G471" s="62">
        <f t="shared" si="355"/>
        <v>30</v>
      </c>
      <c r="H471" s="62">
        <f t="shared" si="355"/>
        <v>30</v>
      </c>
      <c r="I471" s="62">
        <f t="shared" si="355"/>
        <v>30</v>
      </c>
      <c r="J471" s="62">
        <f t="shared" si="355"/>
        <v>30</v>
      </c>
      <c r="K471" s="62">
        <f t="shared" si="355"/>
        <v>30</v>
      </c>
      <c r="L471" s="62">
        <f t="shared" si="355"/>
        <v>30</v>
      </c>
      <c r="M471" s="62">
        <f t="shared" si="356"/>
        <v>30</v>
      </c>
      <c r="N471" s="62">
        <f t="shared" si="356"/>
        <v>30</v>
      </c>
      <c r="O471" s="62">
        <f t="shared" si="356"/>
        <v>30</v>
      </c>
      <c r="P471" s="62">
        <f t="shared" si="356"/>
        <v>30</v>
      </c>
      <c r="Q471" s="62">
        <f t="shared" si="356"/>
        <v>30</v>
      </c>
      <c r="R471" s="62">
        <f t="shared" si="356"/>
        <v>30</v>
      </c>
      <c r="S471" s="62">
        <f t="shared" si="356"/>
        <v>30</v>
      </c>
      <c r="T471" s="62">
        <f t="shared" si="356"/>
        <v>30</v>
      </c>
      <c r="U471" s="62">
        <f t="shared" si="356"/>
        <v>30</v>
      </c>
      <c r="V471" s="62">
        <f t="shared" si="356"/>
        <v>30</v>
      </c>
      <c r="W471" s="62">
        <f t="shared" si="357"/>
        <v>30</v>
      </c>
      <c r="X471" s="62">
        <f t="shared" si="357"/>
        <v>30</v>
      </c>
      <c r="Y471" s="62">
        <f t="shared" si="357"/>
        <v>30</v>
      </c>
      <c r="Z471" s="62">
        <f t="shared" si="357"/>
        <v>30</v>
      </c>
      <c r="AA471" s="62">
        <f t="shared" si="357"/>
        <v>30</v>
      </c>
      <c r="AB471" s="62">
        <f t="shared" si="357"/>
        <v>30</v>
      </c>
      <c r="AC471" s="62">
        <f t="shared" si="357"/>
        <v>30</v>
      </c>
    </row>
    <row r="472" spans="1:29" x14ac:dyDescent="0.25">
      <c r="A472" s="30" t="str">
        <f>A452</f>
        <v>Tonnage .</v>
      </c>
      <c r="B472" s="62">
        <f>$B452+($C452-$B452)*(1-Q452)</f>
        <v>2800</v>
      </c>
      <c r="C472" s="62">
        <f t="shared" si="355"/>
        <v>2800</v>
      </c>
      <c r="D472" s="62">
        <f t="shared" si="355"/>
        <v>2800</v>
      </c>
      <c r="E472" s="62">
        <f t="shared" si="355"/>
        <v>2800</v>
      </c>
      <c r="F472" s="62">
        <f t="shared" si="355"/>
        <v>2800</v>
      </c>
      <c r="G472" s="62">
        <f t="shared" si="355"/>
        <v>2800</v>
      </c>
      <c r="H472" s="62">
        <f t="shared" si="355"/>
        <v>2800</v>
      </c>
      <c r="I472" s="62">
        <f t="shared" si="355"/>
        <v>2800</v>
      </c>
      <c r="J472" s="62">
        <f t="shared" si="355"/>
        <v>2800</v>
      </c>
      <c r="K472" s="62">
        <f t="shared" si="355"/>
        <v>2800</v>
      </c>
      <c r="L472" s="62">
        <f t="shared" si="355"/>
        <v>2800</v>
      </c>
      <c r="M472" s="62">
        <f t="shared" si="356"/>
        <v>2800</v>
      </c>
      <c r="N472" s="62">
        <f t="shared" si="356"/>
        <v>2800</v>
      </c>
      <c r="O472" s="62">
        <f t="shared" si="356"/>
        <v>2800</v>
      </c>
      <c r="P472" s="62">
        <f t="shared" si="356"/>
        <v>2800</v>
      </c>
      <c r="Q472" s="62">
        <f t="shared" si="356"/>
        <v>2800</v>
      </c>
      <c r="R472" s="62">
        <f t="shared" si="356"/>
        <v>2800</v>
      </c>
      <c r="S472" s="62">
        <f t="shared" si="356"/>
        <v>2800</v>
      </c>
      <c r="T472" s="62">
        <f t="shared" si="356"/>
        <v>2800</v>
      </c>
      <c r="U472" s="62">
        <f t="shared" si="356"/>
        <v>2800</v>
      </c>
      <c r="V472" s="62">
        <f t="shared" si="356"/>
        <v>2800</v>
      </c>
      <c r="W472" s="62">
        <f t="shared" si="357"/>
        <v>2800</v>
      </c>
      <c r="X472" s="62">
        <f t="shared" si="357"/>
        <v>2800</v>
      </c>
      <c r="Y472" s="62">
        <f t="shared" si="357"/>
        <v>2800</v>
      </c>
      <c r="Z472" s="62">
        <f t="shared" si="357"/>
        <v>2800</v>
      </c>
      <c r="AA472" s="62">
        <f t="shared" si="357"/>
        <v>2800</v>
      </c>
      <c r="AB472" s="62">
        <f t="shared" si="357"/>
        <v>2800</v>
      </c>
      <c r="AC472" s="62">
        <f t="shared" si="357"/>
        <v>2800</v>
      </c>
    </row>
    <row r="473" spans="1:29" x14ac:dyDescent="0.25">
      <c r="A473" s="30" t="str">
        <f>A453</f>
        <v>Market failure (av. utilization)</v>
      </c>
      <c r="B473" s="62">
        <f t="shared" ref="B473:K474" si="358">($B453+($C453-$B453)*(1-Q453))*B$44</f>
        <v>955.73333333333335</v>
      </c>
      <c r="C473" s="62">
        <f t="shared" si="358"/>
        <v>955.73333333333335</v>
      </c>
      <c r="D473" s="62">
        <f t="shared" si="358"/>
        <v>955.73333333333335</v>
      </c>
      <c r="E473" s="62">
        <f t="shared" si="358"/>
        <v>955.73333333333335</v>
      </c>
      <c r="F473" s="62">
        <f t="shared" si="358"/>
        <v>955.73333333333335</v>
      </c>
      <c r="G473" s="62">
        <f t="shared" si="358"/>
        <v>955.73333333333335</v>
      </c>
      <c r="H473" s="62">
        <f t="shared" si="358"/>
        <v>955.73333333333335</v>
      </c>
      <c r="I473" s="62">
        <f t="shared" si="358"/>
        <v>955.73333333333335</v>
      </c>
      <c r="J473" s="62">
        <f t="shared" si="358"/>
        <v>955.73333333333335</v>
      </c>
      <c r="K473" s="62">
        <f t="shared" si="358"/>
        <v>955.73333333333335</v>
      </c>
      <c r="L473" s="62">
        <f t="shared" ref="L473:U474" si="359">($B453+($C453-$B453)*(1-AA453))*L$44</f>
        <v>955.73333333333335</v>
      </c>
      <c r="M473" s="62">
        <f t="shared" si="359"/>
        <v>955.73333333333335</v>
      </c>
      <c r="N473" s="62">
        <f t="shared" si="359"/>
        <v>955.73333333333335</v>
      </c>
      <c r="O473" s="62">
        <f t="shared" si="359"/>
        <v>955.73333333333335</v>
      </c>
      <c r="P473" s="62">
        <f t="shared" si="359"/>
        <v>955.73333333333335</v>
      </c>
      <c r="Q473" s="62">
        <f t="shared" si="359"/>
        <v>955.73333333333335</v>
      </c>
      <c r="R473" s="62">
        <f t="shared" si="359"/>
        <v>955.73333333333335</v>
      </c>
      <c r="S473" s="62">
        <f t="shared" si="359"/>
        <v>955.73333333333335</v>
      </c>
      <c r="T473" s="62">
        <f t="shared" si="359"/>
        <v>955.73333333333335</v>
      </c>
      <c r="U473" s="62">
        <f t="shared" si="359"/>
        <v>955.73333333333335</v>
      </c>
      <c r="V473" s="62">
        <f t="shared" ref="V473:AC474" si="360">($B453+($C453-$B453)*(1-AK453))*V$44</f>
        <v>955.73333333333335</v>
      </c>
      <c r="W473" s="62">
        <f t="shared" si="360"/>
        <v>955.73333333333335</v>
      </c>
      <c r="X473" s="62">
        <f t="shared" si="360"/>
        <v>955.73333333333335</v>
      </c>
      <c r="Y473" s="62">
        <f t="shared" si="360"/>
        <v>955.73333333333335</v>
      </c>
      <c r="Z473" s="62">
        <f t="shared" si="360"/>
        <v>955.73333333333335</v>
      </c>
      <c r="AA473" s="62">
        <f t="shared" si="360"/>
        <v>955.73333333333335</v>
      </c>
      <c r="AB473" s="62">
        <f t="shared" si="360"/>
        <v>955.73333333333335</v>
      </c>
      <c r="AC473" s="62">
        <f t="shared" si="360"/>
        <v>955.73333333333335</v>
      </c>
    </row>
    <row r="474" spans="1:29" x14ac:dyDescent="0.25">
      <c r="A474" s="30" t="s">
        <v>73</v>
      </c>
      <c r="B474" s="62">
        <f t="shared" si="358"/>
        <v>79.471914462993496</v>
      </c>
      <c r="C474" s="62">
        <f t="shared" si="358"/>
        <v>79.245803905143291</v>
      </c>
      <c r="D474" s="62">
        <f t="shared" si="358"/>
        <v>78.924759326348806</v>
      </c>
      <c r="E474" s="62">
        <f t="shared" si="358"/>
        <v>78.470993664637106</v>
      </c>
      <c r="F474" s="62">
        <f t="shared" si="358"/>
        <v>77.833914862204551</v>
      </c>
      <c r="G474" s="62">
        <f t="shared" si="358"/>
        <v>76.948144060056592</v>
      </c>
      <c r="H474" s="62">
        <f t="shared" si="358"/>
        <v>75.733785427063381</v>
      </c>
      <c r="I474" s="62">
        <f t="shared" si="358"/>
        <v>74.101817549730796</v>
      </c>
      <c r="J474" s="62">
        <f t="shared" si="358"/>
        <v>71.968520261049548</v>
      </c>
      <c r="K474" s="62">
        <f t="shared" si="358"/>
        <v>69.281992899997348</v>
      </c>
      <c r="L474" s="62">
        <f t="shared" si="359"/>
        <v>66.058237183514677</v>
      </c>
      <c r="M474" s="62">
        <f t="shared" si="359"/>
        <v>62.412899152339826</v>
      </c>
      <c r="N474" s="62">
        <f t="shared" si="359"/>
        <v>58.564530749274141</v>
      </c>
      <c r="O474" s="62">
        <f t="shared" si="359"/>
        <v>54.79189103820957</v>
      </c>
      <c r="P474" s="62">
        <f t="shared" si="359"/>
        <v>51.357579454892473</v>
      </c>
      <c r="Q474" s="62">
        <f t="shared" si="359"/>
        <v>48.438903664447089</v>
      </c>
      <c r="R474" s="62">
        <f t="shared" si="359"/>
        <v>46.101567061519283</v>
      </c>
      <c r="S474" s="62">
        <f t="shared" si="359"/>
        <v>44.318075495083995</v>
      </c>
      <c r="T474" s="62">
        <f t="shared" si="359"/>
        <v>43.007066157523667</v>
      </c>
      <c r="U474" s="62">
        <f t="shared" si="359"/>
        <v>42.069713447100085</v>
      </c>
      <c r="V474" s="62">
        <f t="shared" si="360"/>
        <v>41.412767625013835</v>
      </c>
      <c r="W474" s="62">
        <f t="shared" si="360"/>
        <v>40.958777682906323</v>
      </c>
      <c r="X474" s="62">
        <f t="shared" si="360"/>
        <v>40.648089742335586</v>
      </c>
      <c r="Y474" s="62">
        <f t="shared" si="360"/>
        <v>40.43688962256433</v>
      </c>
      <c r="Z474" s="62">
        <f t="shared" si="360"/>
        <v>40.29397285162436</v>
      </c>
      <c r="AA474" s="62">
        <f t="shared" si="360"/>
        <v>40.197561048740226</v>
      </c>
      <c r="AB474" s="62">
        <f t="shared" si="360"/>
        <v>40.132657101971823</v>
      </c>
      <c r="AC474" s="62">
        <f t="shared" si="360"/>
        <v>40.08902544858671</v>
      </c>
    </row>
    <row r="475" spans="1:29" x14ac:dyDescent="0.25">
      <c r="A475" s="30" t="str">
        <f>A455</f>
        <v>Annual Mileage</v>
      </c>
      <c r="B475" s="62">
        <f t="shared" ref="B475:AC475" si="361">$B455+($C455-$B455)*(1-Q455)</f>
        <v>178500</v>
      </c>
      <c r="C475" s="62">
        <f t="shared" si="361"/>
        <v>178500</v>
      </c>
      <c r="D475" s="62">
        <f t="shared" si="361"/>
        <v>178500</v>
      </c>
      <c r="E475" s="62">
        <f t="shared" si="361"/>
        <v>178500</v>
      </c>
      <c r="F475" s="62">
        <f t="shared" si="361"/>
        <v>178500</v>
      </c>
      <c r="G475" s="62">
        <f t="shared" si="361"/>
        <v>178500</v>
      </c>
      <c r="H475" s="62">
        <f t="shared" si="361"/>
        <v>178500</v>
      </c>
      <c r="I475" s="62">
        <f t="shared" si="361"/>
        <v>178500</v>
      </c>
      <c r="J475" s="62">
        <f t="shared" si="361"/>
        <v>178500</v>
      </c>
      <c r="K475" s="62">
        <f t="shared" si="361"/>
        <v>178500</v>
      </c>
      <c r="L475" s="62">
        <f t="shared" si="361"/>
        <v>178500</v>
      </c>
      <c r="M475" s="62">
        <f t="shared" si="361"/>
        <v>178500</v>
      </c>
      <c r="N475" s="62">
        <f t="shared" si="361"/>
        <v>178500</v>
      </c>
      <c r="O475" s="62">
        <f t="shared" si="361"/>
        <v>178500</v>
      </c>
      <c r="P475" s="62">
        <f t="shared" si="361"/>
        <v>178500</v>
      </c>
      <c r="Q475" s="62">
        <f t="shared" si="361"/>
        <v>178500</v>
      </c>
      <c r="R475" s="62">
        <f t="shared" si="361"/>
        <v>178500</v>
      </c>
      <c r="S475" s="62">
        <f t="shared" si="361"/>
        <v>178500</v>
      </c>
      <c r="T475" s="62">
        <f t="shared" si="361"/>
        <v>178500</v>
      </c>
      <c r="U475" s="62">
        <f t="shared" si="361"/>
        <v>178500</v>
      </c>
      <c r="V475" s="62">
        <f t="shared" si="361"/>
        <v>178500</v>
      </c>
      <c r="W475" s="62">
        <f t="shared" si="361"/>
        <v>178500</v>
      </c>
      <c r="X475" s="62">
        <f t="shared" si="361"/>
        <v>178500</v>
      </c>
      <c r="Y475" s="62">
        <f t="shared" si="361"/>
        <v>178500</v>
      </c>
      <c r="Z475" s="62">
        <f t="shared" si="361"/>
        <v>178500</v>
      </c>
      <c r="AA475" s="62">
        <f t="shared" si="361"/>
        <v>178500</v>
      </c>
      <c r="AB475" s="62">
        <f t="shared" si="361"/>
        <v>178500</v>
      </c>
      <c r="AC475" s="62">
        <f t="shared" si="361"/>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2">((1+C463)^C470)*C463/(((1+C463)^C470)-1)*(C459)</f>
        <v>865681.10860566224</v>
      </c>
      <c r="D478" s="63">
        <f t="shared" si="362"/>
        <v>863057.03397703567</v>
      </c>
      <c r="E478" s="63">
        <f t="shared" si="362"/>
        <v>859348.15664694412</v>
      </c>
      <c r="F478" s="63">
        <f t="shared" si="362"/>
        <v>854140.95978918544</v>
      </c>
      <c r="G478" s="63">
        <f t="shared" si="362"/>
        <v>846901.06588590739</v>
      </c>
      <c r="H478" s="63">
        <f t="shared" si="362"/>
        <v>836975.44218948286</v>
      </c>
      <c r="I478" s="63">
        <f t="shared" si="362"/>
        <v>823636.46752832399</v>
      </c>
      <c r="J478" s="63">
        <f t="shared" si="362"/>
        <v>806199.8507457996</v>
      </c>
      <c r="K478" s="63">
        <f t="shared" si="362"/>
        <v>784241.37907896913</v>
      </c>
      <c r="L478" s="63">
        <f t="shared" si="362"/>
        <v>757891.84339680034</v>
      </c>
      <c r="M478" s="63">
        <f t="shared" si="362"/>
        <v>728096.48265190842</v>
      </c>
      <c r="N478" s="63">
        <f t="shared" si="362"/>
        <v>696641.64256081509</v>
      </c>
      <c r="O478" s="63">
        <f t="shared" si="362"/>
        <v>665805.77488808637</v>
      </c>
      <c r="P478" s="63">
        <f t="shared" si="362"/>
        <v>637735.24983383913</v>
      </c>
      <c r="Q478" s="63">
        <f t="shared" si="362"/>
        <v>613879.3008573663</v>
      </c>
      <c r="R478" s="63">
        <f t="shared" si="362"/>
        <v>594774.95808561263</v>
      </c>
      <c r="S478" s="63">
        <f t="shared" si="362"/>
        <v>580197.49663952412</v>
      </c>
      <c r="T478" s="63">
        <f t="shared" si="362"/>
        <v>569481.893362551</v>
      </c>
      <c r="U478" s="63">
        <f t="shared" si="362"/>
        <v>561820.39203855116</v>
      </c>
      <c r="V478" s="63">
        <f t="shared" si="362"/>
        <v>556450.81105826527</v>
      </c>
      <c r="W478" s="63">
        <f t="shared" si="362"/>
        <v>552740.10056064755</v>
      </c>
      <c r="X478" s="63">
        <f t="shared" si="362"/>
        <v>550200.67645533092</v>
      </c>
      <c r="Y478" s="63">
        <f t="shared" si="362"/>
        <v>548474.42124823271</v>
      </c>
      <c r="Z478" s="63">
        <f t="shared" si="362"/>
        <v>547306.28355832992</v>
      </c>
      <c r="AA478" s="63">
        <f t="shared" si="362"/>
        <v>546518.25665316184</v>
      </c>
      <c r="AB478" s="63">
        <f t="shared" si="362"/>
        <v>545987.76085518813</v>
      </c>
      <c r="AC478" s="63">
        <f t="shared" si="362"/>
        <v>545631.13525794924</v>
      </c>
    </row>
    <row r="479" spans="1:29" x14ac:dyDescent="0.25">
      <c r="A479" s="30" t="str">
        <f>A460</f>
        <v>Residual value (vehicle)</v>
      </c>
      <c r="B479" s="62">
        <f>((1+B463)^B470)*B463/(((1+B463)^B470)-1)*(B460)</f>
        <v>-44095.850871439077</v>
      </c>
      <c r="C479" s="62">
        <f t="shared" ref="C479:AC479" si="363">((1+C463)^C470)*C463/(((1+C463)^C470)-1)*(C460)</f>
        <v>-44311.465624091747</v>
      </c>
      <c r="D479" s="62">
        <f t="shared" si="363"/>
        <v>-44617.607664098185</v>
      </c>
      <c r="E479" s="62">
        <f t="shared" si="363"/>
        <v>-45050.310019275523</v>
      </c>
      <c r="F479" s="62">
        <f t="shared" si="363"/>
        <v>-45657.816319347374</v>
      </c>
      <c r="G479" s="62">
        <f t="shared" si="363"/>
        <v>-46502.470608063151</v>
      </c>
      <c r="H479" s="62">
        <f t="shared" si="363"/>
        <v>-47660.460039312675</v>
      </c>
      <c r="I479" s="62">
        <f t="shared" si="363"/>
        <v>-49216.673749781199</v>
      </c>
      <c r="J479" s="62">
        <f t="shared" si="363"/>
        <v>-51250.945707742365</v>
      </c>
      <c r="K479" s="62">
        <f t="shared" si="363"/>
        <v>-53812.767402205936</v>
      </c>
      <c r="L479" s="62">
        <f t="shared" si="363"/>
        <v>-56886.879898458967</v>
      </c>
      <c r="M479" s="62">
        <f t="shared" si="363"/>
        <v>-60363.005318696356</v>
      </c>
      <c r="N479" s="62">
        <f t="shared" si="363"/>
        <v>-64032.73666265724</v>
      </c>
      <c r="O479" s="62">
        <f t="shared" si="363"/>
        <v>-67630.254557808934</v>
      </c>
      <c r="P479" s="62">
        <f t="shared" si="363"/>
        <v>-70905.149147471107</v>
      </c>
      <c r="Q479" s="62">
        <f t="shared" si="363"/>
        <v>-73688.343194726258</v>
      </c>
      <c r="R479" s="62">
        <f t="shared" si="363"/>
        <v>-75917.183184764202</v>
      </c>
      <c r="S479" s="62">
        <f t="shared" si="363"/>
        <v>-77617.887020141206</v>
      </c>
      <c r="T479" s="62">
        <f t="shared" si="363"/>
        <v>-78868.040735788047</v>
      </c>
      <c r="U479" s="62">
        <f t="shared" si="363"/>
        <v>-79761.882556921351</v>
      </c>
      <c r="V479" s="62">
        <f t="shared" si="363"/>
        <v>-80388.333671288041</v>
      </c>
      <c r="W479" s="62">
        <f t="shared" si="363"/>
        <v>-80821.249896010122</v>
      </c>
      <c r="X479" s="62">
        <f t="shared" si="363"/>
        <v>-81117.516041630384</v>
      </c>
      <c r="Y479" s="62">
        <f t="shared" si="363"/>
        <v>-81318.912482458516</v>
      </c>
      <c r="Z479" s="62">
        <f t="shared" si="363"/>
        <v>-81455.19521294719</v>
      </c>
      <c r="AA479" s="62">
        <f t="shared" si="363"/>
        <v>-81547.131685216795</v>
      </c>
      <c r="AB479" s="62">
        <f t="shared" si="363"/>
        <v>-81609.022861647056</v>
      </c>
      <c r="AC479" s="62">
        <f t="shared" si="363"/>
        <v>-81650.629181324926</v>
      </c>
    </row>
    <row r="480" spans="1:29" x14ac:dyDescent="0.25">
      <c r="A480" s="30" t="str">
        <f>A461</f>
        <v>Capex costumization</v>
      </c>
      <c r="B480" s="62">
        <f>((1+B463)^B471)*B463/(((1+B463)^B471)-1)*(B461)</f>
        <v>254271.19021516517</v>
      </c>
      <c r="C480" s="62">
        <f t="shared" ref="C480:AC480" si="364">((1+C463)^C471)*C463/(((1+C463)^C471)-1)*(C461)</f>
        <v>254271.19021516517</v>
      </c>
      <c r="D480" s="62">
        <f t="shared" si="364"/>
        <v>254271.19021516517</v>
      </c>
      <c r="E480" s="62">
        <f t="shared" si="364"/>
        <v>254271.19021516517</v>
      </c>
      <c r="F480" s="62">
        <f t="shared" si="364"/>
        <v>254271.19021516517</v>
      </c>
      <c r="G480" s="62">
        <f t="shared" si="364"/>
        <v>254271.19021516517</v>
      </c>
      <c r="H480" s="62">
        <f t="shared" si="364"/>
        <v>254271.19021516517</v>
      </c>
      <c r="I480" s="62">
        <f t="shared" si="364"/>
        <v>254271.19021516517</v>
      </c>
      <c r="J480" s="62">
        <f t="shared" si="364"/>
        <v>254271.19021516517</v>
      </c>
      <c r="K480" s="62">
        <f t="shared" si="364"/>
        <v>254271.19021516517</v>
      </c>
      <c r="L480" s="62">
        <f t="shared" si="364"/>
        <v>254271.19021516517</v>
      </c>
      <c r="M480" s="62">
        <f t="shared" si="364"/>
        <v>254271.19021516517</v>
      </c>
      <c r="N480" s="62">
        <f t="shared" si="364"/>
        <v>254271.19021516517</v>
      </c>
      <c r="O480" s="62">
        <f t="shared" si="364"/>
        <v>254271.19021516517</v>
      </c>
      <c r="P480" s="62">
        <f t="shared" si="364"/>
        <v>254271.19021516517</v>
      </c>
      <c r="Q480" s="62">
        <f t="shared" si="364"/>
        <v>254271.19021516517</v>
      </c>
      <c r="R480" s="62">
        <f t="shared" si="364"/>
        <v>254271.19021516517</v>
      </c>
      <c r="S480" s="62">
        <f t="shared" si="364"/>
        <v>254271.19021516517</v>
      </c>
      <c r="T480" s="62">
        <f t="shared" si="364"/>
        <v>254271.19021516517</v>
      </c>
      <c r="U480" s="62">
        <f t="shared" si="364"/>
        <v>254271.19021516517</v>
      </c>
      <c r="V480" s="62">
        <f t="shared" si="364"/>
        <v>254271.19021516517</v>
      </c>
      <c r="W480" s="62">
        <f t="shared" si="364"/>
        <v>254271.19021516517</v>
      </c>
      <c r="X480" s="62">
        <f t="shared" si="364"/>
        <v>254271.19021516517</v>
      </c>
      <c r="Y480" s="62">
        <f t="shared" si="364"/>
        <v>254271.19021516517</v>
      </c>
      <c r="Z480" s="62">
        <f t="shared" si="364"/>
        <v>254271.19021516517</v>
      </c>
      <c r="AA480" s="62">
        <f t="shared" si="364"/>
        <v>254271.19021516517</v>
      </c>
      <c r="AB480" s="62">
        <f t="shared" si="364"/>
        <v>254271.19021516517</v>
      </c>
      <c r="AC480" s="62">
        <f t="shared" si="364"/>
        <v>254271.19021516517</v>
      </c>
    </row>
    <row r="481" spans="1:29" x14ac:dyDescent="0.25">
      <c r="A481" s="30" t="str">
        <f>A462</f>
        <v>Residual value (costumization)</v>
      </c>
      <c r="B481" s="62">
        <f>((1+B463)^B471)*B463/(((1+B463)^B471)-1)*(B462)</f>
        <v>-12713.559510758259</v>
      </c>
      <c r="C481" s="62">
        <f t="shared" ref="C481:AC481" si="365">((1+C463)^C471)*C463/(((1+C463)^C471)-1)*(C462)</f>
        <v>-12713.559510758259</v>
      </c>
      <c r="D481" s="62">
        <f t="shared" si="365"/>
        <v>-12713.559510758259</v>
      </c>
      <c r="E481" s="62">
        <f t="shared" si="365"/>
        <v>-12713.559510758259</v>
      </c>
      <c r="F481" s="62">
        <f t="shared" si="365"/>
        <v>-12713.559510758259</v>
      </c>
      <c r="G481" s="62">
        <f t="shared" si="365"/>
        <v>-12713.559510758259</v>
      </c>
      <c r="H481" s="62">
        <f t="shared" si="365"/>
        <v>-12713.559510758259</v>
      </c>
      <c r="I481" s="62">
        <f t="shared" si="365"/>
        <v>-12713.559510758259</v>
      </c>
      <c r="J481" s="62">
        <f t="shared" si="365"/>
        <v>-12713.559510758259</v>
      </c>
      <c r="K481" s="62">
        <f t="shared" si="365"/>
        <v>-12713.559510758259</v>
      </c>
      <c r="L481" s="62">
        <f t="shared" si="365"/>
        <v>-12713.559510758259</v>
      </c>
      <c r="M481" s="62">
        <f t="shared" si="365"/>
        <v>-12713.559510758259</v>
      </c>
      <c r="N481" s="62">
        <f t="shared" si="365"/>
        <v>-12713.559510758259</v>
      </c>
      <c r="O481" s="62">
        <f t="shared" si="365"/>
        <v>-12713.559510758259</v>
      </c>
      <c r="P481" s="62">
        <f t="shared" si="365"/>
        <v>-12713.559510758259</v>
      </c>
      <c r="Q481" s="62">
        <f t="shared" si="365"/>
        <v>-12713.559510758259</v>
      </c>
      <c r="R481" s="62">
        <f t="shared" si="365"/>
        <v>-12713.559510758259</v>
      </c>
      <c r="S481" s="62">
        <f t="shared" si="365"/>
        <v>-12713.559510758259</v>
      </c>
      <c r="T481" s="62">
        <f t="shared" si="365"/>
        <v>-12713.559510758259</v>
      </c>
      <c r="U481" s="62">
        <f t="shared" si="365"/>
        <v>-12713.559510758259</v>
      </c>
      <c r="V481" s="62">
        <f t="shared" si="365"/>
        <v>-12713.559510758259</v>
      </c>
      <c r="W481" s="62">
        <f t="shared" si="365"/>
        <v>-12713.559510758259</v>
      </c>
      <c r="X481" s="62">
        <f t="shared" si="365"/>
        <v>-12713.559510758259</v>
      </c>
      <c r="Y481" s="62">
        <f t="shared" si="365"/>
        <v>-12713.559510758259</v>
      </c>
      <c r="Z481" s="62">
        <f t="shared" si="365"/>
        <v>-12713.559510758259</v>
      </c>
      <c r="AA481" s="62">
        <f t="shared" si="365"/>
        <v>-12713.559510758259</v>
      </c>
      <c r="AB481" s="62">
        <f t="shared" si="365"/>
        <v>-12713.559510758259</v>
      </c>
      <c r="AC481" s="62">
        <f t="shared" si="365"/>
        <v>-12713.559510758259</v>
      </c>
    </row>
    <row r="482" spans="1:29" x14ac:dyDescent="0.25">
      <c r="A482" s="30" t="str">
        <f t="shared" ref="A482:AC482" si="366">A464</f>
        <v>Opex fix (admin, crew, insurance)</v>
      </c>
      <c r="B482" s="62">
        <f t="shared" si="366"/>
        <v>650000</v>
      </c>
      <c r="C482" s="62">
        <f t="shared" si="366"/>
        <v>650000</v>
      </c>
      <c r="D482" s="62">
        <f t="shared" si="366"/>
        <v>650000</v>
      </c>
      <c r="E482" s="62">
        <f t="shared" si="366"/>
        <v>650000</v>
      </c>
      <c r="F482" s="62">
        <f t="shared" si="366"/>
        <v>650000</v>
      </c>
      <c r="G482" s="62">
        <f t="shared" si="366"/>
        <v>650000</v>
      </c>
      <c r="H482" s="62">
        <f t="shared" si="366"/>
        <v>650000</v>
      </c>
      <c r="I482" s="62">
        <f t="shared" si="366"/>
        <v>650000</v>
      </c>
      <c r="J482" s="62">
        <f t="shared" si="366"/>
        <v>650000</v>
      </c>
      <c r="K482" s="62">
        <f t="shared" si="366"/>
        <v>650000</v>
      </c>
      <c r="L482" s="62">
        <f t="shared" si="366"/>
        <v>650000</v>
      </c>
      <c r="M482" s="62">
        <f t="shared" si="366"/>
        <v>650000</v>
      </c>
      <c r="N482" s="62">
        <f t="shared" si="366"/>
        <v>650000</v>
      </c>
      <c r="O482" s="62">
        <f t="shared" si="366"/>
        <v>650000</v>
      </c>
      <c r="P482" s="62">
        <f t="shared" si="366"/>
        <v>650000</v>
      </c>
      <c r="Q482" s="62">
        <f t="shared" si="366"/>
        <v>650000</v>
      </c>
      <c r="R482" s="62">
        <f t="shared" si="366"/>
        <v>650000</v>
      </c>
      <c r="S482" s="62">
        <f t="shared" si="366"/>
        <v>650000</v>
      </c>
      <c r="T482" s="62">
        <f t="shared" si="366"/>
        <v>650000</v>
      </c>
      <c r="U482" s="62">
        <f t="shared" si="366"/>
        <v>650000</v>
      </c>
      <c r="V482" s="62">
        <f t="shared" si="366"/>
        <v>650000</v>
      </c>
      <c r="W482" s="62">
        <f t="shared" si="366"/>
        <v>650000</v>
      </c>
      <c r="X482" s="62">
        <f t="shared" si="366"/>
        <v>650000</v>
      </c>
      <c r="Y482" s="62">
        <f t="shared" si="366"/>
        <v>650000</v>
      </c>
      <c r="Z482" s="62">
        <f t="shared" si="366"/>
        <v>650000</v>
      </c>
      <c r="AA482" s="62">
        <f t="shared" si="366"/>
        <v>650000</v>
      </c>
      <c r="AB482" s="62">
        <f t="shared" si="366"/>
        <v>650000</v>
      </c>
      <c r="AC482" s="62">
        <f t="shared" si="366"/>
        <v>650000</v>
      </c>
    </row>
    <row r="483" spans="1:29" x14ac:dyDescent="0.25">
      <c r="A483" s="30" t="str">
        <f t="shared" ref="A483:AC483" si="367">A465</f>
        <v>Opex maintenance &amp; repair</v>
      </c>
      <c r="B483" s="62">
        <f t="shared" si="367"/>
        <v>1293563.9575177333</v>
      </c>
      <c r="C483" s="62">
        <f t="shared" si="367"/>
        <v>1290808.235093934</v>
      </c>
      <c r="D483" s="62">
        <f t="shared" si="367"/>
        <v>1286895.5042898762</v>
      </c>
      <c r="E483" s="62">
        <f t="shared" si="367"/>
        <v>1281365.2352877648</v>
      </c>
      <c r="F483" s="62">
        <f t="shared" si="367"/>
        <v>1273600.837383118</v>
      </c>
      <c r="G483" s="62">
        <f t="shared" si="367"/>
        <v>1262805.5057319398</v>
      </c>
      <c r="H483" s="62">
        <f t="shared" si="367"/>
        <v>1248005.5098923349</v>
      </c>
      <c r="I483" s="62">
        <f t="shared" si="367"/>
        <v>1228115.9013873441</v>
      </c>
      <c r="J483" s="62">
        <f t="shared" si="367"/>
        <v>1202116.3406815415</v>
      </c>
      <c r="K483" s="62">
        <f t="shared" si="367"/>
        <v>1169374.2884687176</v>
      </c>
      <c r="L483" s="62">
        <f t="shared" si="367"/>
        <v>1130084.7656740851</v>
      </c>
      <c r="M483" s="62">
        <f t="shared" si="367"/>
        <v>1085657.2084191416</v>
      </c>
      <c r="N483" s="62">
        <f t="shared" si="367"/>
        <v>1038755.2185067786</v>
      </c>
      <c r="O483" s="62">
        <f t="shared" si="367"/>
        <v>992776.17202817916</v>
      </c>
      <c r="P483" s="62">
        <f t="shared" si="367"/>
        <v>950920.49960650213</v>
      </c>
      <c r="Q483" s="62">
        <f t="shared" si="367"/>
        <v>915349.13841044903</v>
      </c>
      <c r="R483" s="62">
        <f t="shared" si="367"/>
        <v>886862.84856226621</v>
      </c>
      <c r="S483" s="62">
        <f t="shared" si="367"/>
        <v>865126.54509633617</v>
      </c>
      <c r="T483" s="62">
        <f t="shared" si="367"/>
        <v>849148.61879481981</v>
      </c>
      <c r="U483" s="62">
        <f t="shared" si="367"/>
        <v>837724.6326365323</v>
      </c>
      <c r="V483" s="62">
        <f t="shared" si="367"/>
        <v>829718.10542985611</v>
      </c>
      <c r="W483" s="62">
        <f t="shared" si="367"/>
        <v>824185.10301042092</v>
      </c>
      <c r="X483" s="62">
        <f t="shared" si="367"/>
        <v>820398.59373471502</v>
      </c>
      <c r="Y483" s="62">
        <f t="shared" si="367"/>
        <v>817824.59227500285</v>
      </c>
      <c r="Z483" s="62">
        <f t="shared" si="367"/>
        <v>816082.79412917187</v>
      </c>
      <c r="AA483" s="62">
        <f t="shared" si="367"/>
        <v>814907.77528152149</v>
      </c>
      <c r="AB483" s="62">
        <f t="shared" si="367"/>
        <v>814116.75843028165</v>
      </c>
      <c r="AC483" s="62">
        <f t="shared" si="367"/>
        <v>813584.99765465059</v>
      </c>
    </row>
    <row r="484" spans="1:29" x14ac:dyDescent="0.25">
      <c r="A484" s="30" t="str">
        <f>A466</f>
        <v>Opex var (mode-fees, shunting)</v>
      </c>
      <c r="B484" s="62">
        <f>B466*B475</f>
        <v>700000</v>
      </c>
      <c r="C484" s="62">
        <f t="shared" ref="C484:AC484" si="368">C466*C475</f>
        <v>700000</v>
      </c>
      <c r="D484" s="62">
        <f t="shared" si="368"/>
        <v>700000</v>
      </c>
      <c r="E484" s="62">
        <f t="shared" si="368"/>
        <v>700000</v>
      </c>
      <c r="F484" s="62">
        <f t="shared" si="368"/>
        <v>700000</v>
      </c>
      <c r="G484" s="62">
        <f t="shared" si="368"/>
        <v>700000</v>
      </c>
      <c r="H484" s="62">
        <f t="shared" si="368"/>
        <v>700000</v>
      </c>
      <c r="I484" s="62">
        <f t="shared" si="368"/>
        <v>700000</v>
      </c>
      <c r="J484" s="62">
        <f t="shared" si="368"/>
        <v>700000</v>
      </c>
      <c r="K484" s="62">
        <f t="shared" si="368"/>
        <v>700000</v>
      </c>
      <c r="L484" s="62">
        <f t="shared" si="368"/>
        <v>700000</v>
      </c>
      <c r="M484" s="62">
        <f t="shared" si="368"/>
        <v>700000</v>
      </c>
      <c r="N484" s="62">
        <f t="shared" si="368"/>
        <v>700000</v>
      </c>
      <c r="O484" s="62">
        <f t="shared" si="368"/>
        <v>700000</v>
      </c>
      <c r="P484" s="62">
        <f t="shared" si="368"/>
        <v>700000</v>
      </c>
      <c r="Q484" s="62">
        <f t="shared" si="368"/>
        <v>700000</v>
      </c>
      <c r="R484" s="62">
        <f t="shared" si="368"/>
        <v>700000</v>
      </c>
      <c r="S484" s="62">
        <f t="shared" si="368"/>
        <v>700000</v>
      </c>
      <c r="T484" s="62">
        <f t="shared" si="368"/>
        <v>700000</v>
      </c>
      <c r="U484" s="62">
        <f t="shared" si="368"/>
        <v>700000</v>
      </c>
      <c r="V484" s="62">
        <f t="shared" si="368"/>
        <v>700000</v>
      </c>
      <c r="W484" s="62">
        <f t="shared" si="368"/>
        <v>700000</v>
      </c>
      <c r="X484" s="62">
        <f t="shared" si="368"/>
        <v>700000</v>
      </c>
      <c r="Y484" s="62">
        <f t="shared" si="368"/>
        <v>700000</v>
      </c>
      <c r="Z484" s="62">
        <f t="shared" si="368"/>
        <v>700000</v>
      </c>
      <c r="AA484" s="62">
        <f t="shared" si="368"/>
        <v>700000</v>
      </c>
      <c r="AB484" s="62">
        <f t="shared" si="368"/>
        <v>700000</v>
      </c>
      <c r="AC484" s="62">
        <f t="shared" si="368"/>
        <v>700000</v>
      </c>
    </row>
    <row r="485" spans="1:29" x14ac:dyDescent="0.25">
      <c r="A485" s="30" t="str">
        <f>A468</f>
        <v>Fuel Cost</v>
      </c>
      <c r="B485" s="62">
        <f>B467*B468*B475</f>
        <v>485663.88211701211</v>
      </c>
      <c r="C485" s="62">
        <f t="shared" ref="C485:AC485" si="369">C467*C468*C475</f>
        <v>485663.88211701211</v>
      </c>
      <c r="D485" s="62">
        <f t="shared" si="369"/>
        <v>485663.88211701211</v>
      </c>
      <c r="E485" s="62">
        <f t="shared" si="369"/>
        <v>485663.88211701211</v>
      </c>
      <c r="F485" s="62">
        <f t="shared" si="369"/>
        <v>485663.88211701211</v>
      </c>
      <c r="G485" s="62">
        <f t="shared" si="369"/>
        <v>485663.88211701211</v>
      </c>
      <c r="H485" s="62">
        <f t="shared" si="369"/>
        <v>485663.88211701211</v>
      </c>
      <c r="I485" s="62">
        <f t="shared" si="369"/>
        <v>485663.88211701211</v>
      </c>
      <c r="J485" s="62">
        <f t="shared" si="369"/>
        <v>498055.30565786961</v>
      </c>
      <c r="K485" s="62">
        <f t="shared" si="369"/>
        <v>510446.72919872717</v>
      </c>
      <c r="L485" s="62">
        <f t="shared" si="369"/>
        <v>522838.15273958468</v>
      </c>
      <c r="M485" s="62">
        <f t="shared" si="369"/>
        <v>535229.57628044218</v>
      </c>
      <c r="N485" s="62">
        <f t="shared" si="369"/>
        <v>547620.99982129969</v>
      </c>
      <c r="O485" s="62">
        <f t="shared" si="369"/>
        <v>542424.59640094009</v>
      </c>
      <c r="P485" s="62">
        <f t="shared" si="369"/>
        <v>537228.19298058038</v>
      </c>
      <c r="Q485" s="62">
        <f t="shared" si="369"/>
        <v>532031.78956022079</v>
      </c>
      <c r="R485" s="62">
        <f t="shared" si="369"/>
        <v>526835.38613986108</v>
      </c>
      <c r="S485" s="62">
        <f t="shared" si="369"/>
        <v>521638.9827195016</v>
      </c>
      <c r="T485" s="62">
        <f t="shared" si="369"/>
        <v>516442.57929914194</v>
      </c>
      <c r="U485" s="62">
        <f t="shared" si="369"/>
        <v>511246.17587878235</v>
      </c>
      <c r="V485" s="62">
        <f t="shared" si="369"/>
        <v>506049.7724584227</v>
      </c>
      <c r="W485" s="62">
        <f t="shared" si="369"/>
        <v>500853.36903806304</v>
      </c>
      <c r="X485" s="62">
        <f t="shared" si="369"/>
        <v>495656.96561770356</v>
      </c>
      <c r="Y485" s="62">
        <f t="shared" si="369"/>
        <v>490460.56219734391</v>
      </c>
      <c r="Z485" s="62">
        <f t="shared" si="369"/>
        <v>485264.15877698432</v>
      </c>
      <c r="AA485" s="62">
        <f t="shared" si="369"/>
        <v>480067.75535662472</v>
      </c>
      <c r="AB485" s="62">
        <f t="shared" si="369"/>
        <v>474871.35193626513</v>
      </c>
      <c r="AC485" s="62">
        <f t="shared" si="369"/>
        <v>469674.94851590559</v>
      </c>
    </row>
    <row r="486" spans="1:29" ht="15.75" thickBot="1" x14ac:dyDescent="0.3">
      <c r="A486" s="59" t="str">
        <f>A449</f>
        <v>Emission Cost</v>
      </c>
      <c r="B486" s="62">
        <f>B469*B475</f>
        <v>0</v>
      </c>
      <c r="C486" s="62">
        <f t="shared" ref="C486:AC486" si="370">C469*C475</f>
        <v>0</v>
      </c>
      <c r="D486" s="62">
        <f t="shared" si="370"/>
        <v>0</v>
      </c>
      <c r="E486" s="62">
        <f t="shared" si="370"/>
        <v>0</v>
      </c>
      <c r="F486" s="62">
        <f t="shared" si="370"/>
        <v>0</v>
      </c>
      <c r="G486" s="62">
        <f t="shared" si="370"/>
        <v>0</v>
      </c>
      <c r="H486" s="62">
        <f t="shared" si="370"/>
        <v>0</v>
      </c>
      <c r="I486" s="62">
        <f t="shared" si="370"/>
        <v>0</v>
      </c>
      <c r="J486" s="62">
        <f t="shared" si="370"/>
        <v>0</v>
      </c>
      <c r="K486" s="62">
        <f t="shared" si="370"/>
        <v>0</v>
      </c>
      <c r="L486" s="62">
        <f t="shared" si="370"/>
        <v>0</v>
      </c>
      <c r="M486" s="62">
        <f t="shared" si="370"/>
        <v>0</v>
      </c>
      <c r="N486" s="62">
        <f t="shared" si="370"/>
        <v>0</v>
      </c>
      <c r="O486" s="62">
        <f t="shared" si="370"/>
        <v>0</v>
      </c>
      <c r="P486" s="62">
        <f t="shared" si="370"/>
        <v>0</v>
      </c>
      <c r="Q486" s="62">
        <f t="shared" si="370"/>
        <v>0</v>
      </c>
      <c r="R486" s="62">
        <f t="shared" si="370"/>
        <v>0</v>
      </c>
      <c r="S486" s="62">
        <f t="shared" si="370"/>
        <v>0</v>
      </c>
      <c r="T486" s="62">
        <f t="shared" si="370"/>
        <v>0</v>
      </c>
      <c r="U486" s="62">
        <f t="shared" si="370"/>
        <v>0</v>
      </c>
      <c r="V486" s="62">
        <f t="shared" si="370"/>
        <v>0</v>
      </c>
      <c r="W486" s="62">
        <f t="shared" si="370"/>
        <v>0</v>
      </c>
      <c r="X486" s="62">
        <f t="shared" si="370"/>
        <v>0</v>
      </c>
      <c r="Y486" s="62">
        <f t="shared" si="370"/>
        <v>0</v>
      </c>
      <c r="Z486" s="62">
        <f t="shared" si="370"/>
        <v>0</v>
      </c>
      <c r="AA486" s="62">
        <f t="shared" si="370"/>
        <v>0</v>
      </c>
      <c r="AB486" s="62">
        <f t="shared" si="370"/>
        <v>0</v>
      </c>
      <c r="AC486" s="62">
        <f t="shared" si="370"/>
        <v>0</v>
      </c>
    </row>
    <row r="487" spans="1:29" ht="15.75" thickBot="1" x14ac:dyDescent="0.3">
      <c r="A487" s="31" t="s">
        <v>209</v>
      </c>
      <c r="B487" s="64">
        <f>B478+B479+B480+B481+B482+B483+B484+B485+B486</f>
        <v>4194218.8545246841</v>
      </c>
      <c r="C487" s="64">
        <f t="shared" ref="C487:AC487" si="371">C478+C479+C480+C481+C482+C483+C484+C485+C486</f>
        <v>4189399.3908969234</v>
      </c>
      <c r="D487" s="64">
        <f t="shared" si="371"/>
        <v>4182556.4434242328</v>
      </c>
      <c r="E487" s="64">
        <f t="shared" si="371"/>
        <v>4172884.5947368522</v>
      </c>
      <c r="F487" s="64">
        <f t="shared" si="371"/>
        <v>4159305.4936743751</v>
      </c>
      <c r="G487" s="64">
        <f t="shared" si="371"/>
        <v>4140425.613831203</v>
      </c>
      <c r="H487" s="64">
        <f t="shared" si="371"/>
        <v>4114542.0048639239</v>
      </c>
      <c r="I487" s="64">
        <f t="shared" si="371"/>
        <v>4079757.2079873057</v>
      </c>
      <c r="J487" s="64">
        <f t="shared" si="371"/>
        <v>4046678.1820818749</v>
      </c>
      <c r="K487" s="64">
        <f t="shared" si="371"/>
        <v>4001807.2600486148</v>
      </c>
      <c r="L487" s="64">
        <f t="shared" si="371"/>
        <v>3945485.5126164183</v>
      </c>
      <c r="M487" s="64">
        <f t="shared" si="371"/>
        <v>3880177.8927372023</v>
      </c>
      <c r="N487" s="64">
        <f t="shared" si="371"/>
        <v>3810542.7549306429</v>
      </c>
      <c r="O487" s="64">
        <f t="shared" si="371"/>
        <v>3724933.919463804</v>
      </c>
      <c r="P487" s="64">
        <f t="shared" si="371"/>
        <v>3646536.4239778575</v>
      </c>
      <c r="Q487" s="64">
        <f t="shared" si="371"/>
        <v>3579129.5163377165</v>
      </c>
      <c r="R487" s="64">
        <f t="shared" si="371"/>
        <v>3524113.6403073827</v>
      </c>
      <c r="S487" s="64">
        <f t="shared" si="371"/>
        <v>3480902.7681396278</v>
      </c>
      <c r="T487" s="64">
        <f t="shared" si="371"/>
        <v>3447762.6814251319</v>
      </c>
      <c r="U487" s="64">
        <f t="shared" si="371"/>
        <v>3422586.9487013514</v>
      </c>
      <c r="V487" s="64">
        <f t="shared" si="371"/>
        <v>3403387.9859796632</v>
      </c>
      <c r="W487" s="64">
        <f t="shared" si="371"/>
        <v>3388514.9534175284</v>
      </c>
      <c r="X487" s="64">
        <f t="shared" si="371"/>
        <v>3376696.3504705261</v>
      </c>
      <c r="Y487" s="64">
        <f t="shared" si="371"/>
        <v>3366998.2939425278</v>
      </c>
      <c r="Z487" s="64">
        <f t="shared" si="371"/>
        <v>3358755.6719559459</v>
      </c>
      <c r="AA487" s="64">
        <f t="shared" si="371"/>
        <v>3351504.2863104981</v>
      </c>
      <c r="AB487" s="64">
        <f t="shared" si="371"/>
        <v>3344924.4790644944</v>
      </c>
      <c r="AC487" s="64">
        <f t="shared" si="371"/>
        <v>3338798.0829515872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2">A478</f>
        <v>Capex vehicle</v>
      </c>
      <c r="B490" s="65">
        <f>((1+B463)^B470)*B463/(((1+B463)^B470)-1)*(B459)/B475</f>
        <v>4.8601077594228057</v>
      </c>
      <c r="C490" s="65">
        <f t="shared" ref="C490:AC490" si="373">((1+C463)^C470)*C463/(((1+C463)^C470)-1)*(C459)/C475</f>
        <v>4.8497541098356427</v>
      </c>
      <c r="D490" s="65">
        <f t="shared" si="373"/>
        <v>4.8350534116360544</v>
      </c>
      <c r="E490" s="65">
        <f t="shared" si="373"/>
        <v>4.8142753873778386</v>
      </c>
      <c r="F490" s="65">
        <f t="shared" si="373"/>
        <v>4.7851034161859127</v>
      </c>
      <c r="G490" s="65">
        <f t="shared" si="373"/>
        <v>4.7445437864756714</v>
      </c>
      <c r="H490" s="65">
        <f t="shared" si="373"/>
        <v>4.6889380514816965</v>
      </c>
      <c r="I490" s="65">
        <f t="shared" si="373"/>
        <v>4.6142099021194625</v>
      </c>
      <c r="J490" s="65">
        <f t="shared" si="373"/>
        <v>4.5165257744862721</v>
      </c>
      <c r="K490" s="65">
        <f t="shared" si="373"/>
        <v>4.3935091264928241</v>
      </c>
      <c r="L490" s="65">
        <f t="shared" si="373"/>
        <v>4.2458926800941192</v>
      </c>
      <c r="M490" s="65">
        <f t="shared" si="373"/>
        <v>4.0789718916073303</v>
      </c>
      <c r="N490" s="65">
        <f t="shared" si="373"/>
        <v>3.9027543000605887</v>
      </c>
      <c r="O490" s="65">
        <f t="shared" si="373"/>
        <v>3.7300043411097277</v>
      </c>
      <c r="P490" s="65">
        <f t="shared" si="373"/>
        <v>3.5727464976685668</v>
      </c>
      <c r="Q490" s="65">
        <f t="shared" si="373"/>
        <v>3.4390997246911277</v>
      </c>
      <c r="R490" s="65">
        <f t="shared" si="373"/>
        <v>3.3320725943171574</v>
      </c>
      <c r="S490" s="65">
        <f t="shared" si="373"/>
        <v>3.2504061436387905</v>
      </c>
      <c r="T490" s="65">
        <f t="shared" si="373"/>
        <v>3.1903747527313779</v>
      </c>
      <c r="U490" s="65">
        <f t="shared" si="373"/>
        <v>3.147453176686561</v>
      </c>
      <c r="V490" s="65">
        <f t="shared" si="373"/>
        <v>3.1173714905224945</v>
      </c>
      <c r="W490" s="65">
        <f t="shared" si="373"/>
        <v>3.0965831964181936</v>
      </c>
      <c r="X490" s="65">
        <f t="shared" si="373"/>
        <v>3.0823567308421902</v>
      </c>
      <c r="Y490" s="65">
        <f t="shared" si="373"/>
        <v>3.0726858333234324</v>
      </c>
      <c r="Z490" s="65">
        <f t="shared" si="373"/>
        <v>3.0661416445844814</v>
      </c>
      <c r="AA490" s="65">
        <f t="shared" si="373"/>
        <v>3.0617269280289179</v>
      </c>
      <c r="AB490" s="65">
        <f t="shared" si="373"/>
        <v>3.058754962774163</v>
      </c>
      <c r="AC490" s="65">
        <f t="shared" si="373"/>
        <v>3.0567570602686231</v>
      </c>
    </row>
    <row r="491" spans="1:29" x14ac:dyDescent="0.25">
      <c r="A491" s="30" t="str">
        <f t="shared" si="372"/>
        <v>Residual value (vehicle)</v>
      </c>
      <c r="B491" s="66">
        <f>((1+B463)^B470)*B463/(((1+B463)^B470)-1)*(B460)/B475</f>
        <v>-0.24703557911170351</v>
      </c>
      <c r="C491" s="66">
        <f t="shared" ref="C491:AC491" si="374">((1+C463)^C470)*C463/(((1+C463)^C470)-1)*(C460)/C475</f>
        <v>-0.24824350489687252</v>
      </c>
      <c r="D491" s="66">
        <f t="shared" si="374"/>
        <v>-0.24995858635349122</v>
      </c>
      <c r="E491" s="66">
        <f t="shared" si="374"/>
        <v>-0.25238268918361639</v>
      </c>
      <c r="F491" s="66">
        <f t="shared" si="374"/>
        <v>-0.25578608582267437</v>
      </c>
      <c r="G491" s="66">
        <f t="shared" si="374"/>
        <v>-0.26051804262220252</v>
      </c>
      <c r="H491" s="66">
        <f t="shared" si="374"/>
        <v>-0.26700537837149957</v>
      </c>
      <c r="I491" s="66">
        <f t="shared" si="374"/>
        <v>-0.27572366246376023</v>
      </c>
      <c r="J491" s="66">
        <f t="shared" si="374"/>
        <v>-0.28712014402096564</v>
      </c>
      <c r="K491" s="66">
        <f t="shared" si="374"/>
        <v>-0.301472086286868</v>
      </c>
      <c r="L491" s="66">
        <f t="shared" si="374"/>
        <v>-0.31869400503338358</v>
      </c>
      <c r="M491" s="66">
        <f t="shared" si="374"/>
        <v>-0.33816809702350897</v>
      </c>
      <c r="N491" s="66">
        <f t="shared" si="374"/>
        <v>-0.35872681603729545</v>
      </c>
      <c r="O491" s="66">
        <f t="shared" si="374"/>
        <v>-0.378880977914896</v>
      </c>
      <c r="P491" s="66">
        <f t="shared" si="374"/>
        <v>-0.39722772631636477</v>
      </c>
      <c r="Q491" s="66">
        <f t="shared" si="374"/>
        <v>-0.41281984983039921</v>
      </c>
      <c r="R491" s="66">
        <f t="shared" si="374"/>
        <v>-0.42530634837402914</v>
      </c>
      <c r="S491" s="66">
        <f t="shared" si="374"/>
        <v>-0.43483410095317204</v>
      </c>
      <c r="T491" s="66">
        <f t="shared" si="374"/>
        <v>-0.44183776322570334</v>
      </c>
      <c r="U491" s="66">
        <f t="shared" si="374"/>
        <v>-0.44684528043093191</v>
      </c>
      <c r="V491" s="66">
        <f t="shared" si="374"/>
        <v>-0.45035481048340636</v>
      </c>
      <c r="W491" s="66">
        <f t="shared" si="374"/>
        <v>-0.45278011146224156</v>
      </c>
      <c r="X491" s="66">
        <f t="shared" si="374"/>
        <v>-0.45443986577944195</v>
      </c>
      <c r="Y491" s="66">
        <f t="shared" si="374"/>
        <v>-0.45556813715663036</v>
      </c>
      <c r="Z491" s="66">
        <f t="shared" si="374"/>
        <v>-0.45633162584284143</v>
      </c>
      <c r="AA491" s="66">
        <f t="shared" si="374"/>
        <v>-0.45684667610765711</v>
      </c>
      <c r="AB491" s="66">
        <f t="shared" si="374"/>
        <v>-0.45719340538737846</v>
      </c>
      <c r="AC491" s="66">
        <f t="shared" si="374"/>
        <v>-0.45742649401302482</v>
      </c>
    </row>
    <row r="492" spans="1:29" x14ac:dyDescent="0.25">
      <c r="A492" s="30" t="str">
        <f t="shared" si="372"/>
        <v>Capex costumization</v>
      </c>
      <c r="B492" s="66">
        <f>((1+B463)^B471)*B463/(((1+B463)^B471)-1)*(B461)/B475</f>
        <v>1.4244884605891606</v>
      </c>
      <c r="C492" s="66">
        <f t="shared" ref="C492:AC492" si="375">((1+C463)^C471)*C463/(((1+C463)^C471)-1)*(C461)/C475</f>
        <v>1.4244884605891606</v>
      </c>
      <c r="D492" s="66">
        <f t="shared" si="375"/>
        <v>1.4244884605891606</v>
      </c>
      <c r="E492" s="66">
        <f t="shared" si="375"/>
        <v>1.4244884605891606</v>
      </c>
      <c r="F492" s="66">
        <f t="shared" si="375"/>
        <v>1.4244884605891606</v>
      </c>
      <c r="G492" s="66">
        <f t="shared" si="375"/>
        <v>1.4244884605891606</v>
      </c>
      <c r="H492" s="66">
        <f t="shared" si="375"/>
        <v>1.4244884605891606</v>
      </c>
      <c r="I492" s="66">
        <f t="shared" si="375"/>
        <v>1.4244884605891606</v>
      </c>
      <c r="J492" s="66">
        <f t="shared" si="375"/>
        <v>1.4244884605891606</v>
      </c>
      <c r="K492" s="66">
        <f t="shared" si="375"/>
        <v>1.4244884605891606</v>
      </c>
      <c r="L492" s="66">
        <f t="shared" si="375"/>
        <v>1.4244884605891606</v>
      </c>
      <c r="M492" s="66">
        <f t="shared" si="375"/>
        <v>1.4244884605891606</v>
      </c>
      <c r="N492" s="66">
        <f t="shared" si="375"/>
        <v>1.4244884605891606</v>
      </c>
      <c r="O492" s="66">
        <f t="shared" si="375"/>
        <v>1.4244884605891606</v>
      </c>
      <c r="P492" s="66">
        <f t="shared" si="375"/>
        <v>1.4244884605891606</v>
      </c>
      <c r="Q492" s="66">
        <f t="shared" si="375"/>
        <v>1.4244884605891606</v>
      </c>
      <c r="R492" s="66">
        <f t="shared" si="375"/>
        <v>1.4244884605891606</v>
      </c>
      <c r="S492" s="66">
        <f t="shared" si="375"/>
        <v>1.4244884605891606</v>
      </c>
      <c r="T492" s="66">
        <f t="shared" si="375"/>
        <v>1.4244884605891606</v>
      </c>
      <c r="U492" s="66">
        <f t="shared" si="375"/>
        <v>1.4244884605891606</v>
      </c>
      <c r="V492" s="66">
        <f t="shared" si="375"/>
        <v>1.4244884605891606</v>
      </c>
      <c r="W492" s="66">
        <f t="shared" si="375"/>
        <v>1.4244884605891606</v>
      </c>
      <c r="X492" s="66">
        <f t="shared" si="375"/>
        <v>1.4244884605891606</v>
      </c>
      <c r="Y492" s="66">
        <f t="shared" si="375"/>
        <v>1.4244884605891606</v>
      </c>
      <c r="Z492" s="66">
        <f t="shared" si="375"/>
        <v>1.4244884605891606</v>
      </c>
      <c r="AA492" s="66">
        <f t="shared" si="375"/>
        <v>1.4244884605891606</v>
      </c>
      <c r="AB492" s="66">
        <f t="shared" si="375"/>
        <v>1.4244884605891606</v>
      </c>
      <c r="AC492" s="66">
        <f t="shared" si="375"/>
        <v>1.4244884605891606</v>
      </c>
    </row>
    <row r="493" spans="1:29" x14ac:dyDescent="0.25">
      <c r="A493" s="30" t="str">
        <f t="shared" si="372"/>
        <v>Residual value (costumization)</v>
      </c>
      <c r="B493" s="66">
        <f>((1+B463)^B471)*B463/(((1+B463)^B471)-1)*(B462)/B475</f>
        <v>-7.1224423029458042E-2</v>
      </c>
      <c r="C493" s="66">
        <f t="shared" ref="C493:AC493" si="376">((1+C463)^C471)*C463/(((1+C463)^C471)-1)*(C462)/C475</f>
        <v>-7.1224423029458042E-2</v>
      </c>
      <c r="D493" s="66">
        <f t="shared" si="376"/>
        <v>-7.1224423029458042E-2</v>
      </c>
      <c r="E493" s="66">
        <f t="shared" si="376"/>
        <v>-7.1224423029458042E-2</v>
      </c>
      <c r="F493" s="66">
        <f t="shared" si="376"/>
        <v>-7.1224423029458042E-2</v>
      </c>
      <c r="G493" s="66">
        <f t="shared" si="376"/>
        <v>-7.1224423029458042E-2</v>
      </c>
      <c r="H493" s="66">
        <f t="shared" si="376"/>
        <v>-7.1224423029458042E-2</v>
      </c>
      <c r="I493" s="66">
        <f t="shared" si="376"/>
        <v>-7.1224423029458042E-2</v>
      </c>
      <c r="J493" s="66">
        <f t="shared" si="376"/>
        <v>-7.1224423029458042E-2</v>
      </c>
      <c r="K493" s="66">
        <f t="shared" si="376"/>
        <v>-7.1224423029458042E-2</v>
      </c>
      <c r="L493" s="66">
        <f t="shared" si="376"/>
        <v>-7.1224423029458042E-2</v>
      </c>
      <c r="M493" s="66">
        <f t="shared" si="376"/>
        <v>-7.1224423029458042E-2</v>
      </c>
      <c r="N493" s="66">
        <f t="shared" si="376"/>
        <v>-7.1224423029458042E-2</v>
      </c>
      <c r="O493" s="66">
        <f t="shared" si="376"/>
        <v>-7.1224423029458042E-2</v>
      </c>
      <c r="P493" s="66">
        <f t="shared" si="376"/>
        <v>-7.1224423029458042E-2</v>
      </c>
      <c r="Q493" s="66">
        <f t="shared" si="376"/>
        <v>-7.1224423029458042E-2</v>
      </c>
      <c r="R493" s="66">
        <f t="shared" si="376"/>
        <v>-7.1224423029458042E-2</v>
      </c>
      <c r="S493" s="66">
        <f t="shared" si="376"/>
        <v>-7.1224423029458042E-2</v>
      </c>
      <c r="T493" s="66">
        <f t="shared" si="376"/>
        <v>-7.1224423029458042E-2</v>
      </c>
      <c r="U493" s="66">
        <f t="shared" si="376"/>
        <v>-7.1224423029458042E-2</v>
      </c>
      <c r="V493" s="66">
        <f t="shared" si="376"/>
        <v>-7.1224423029458042E-2</v>
      </c>
      <c r="W493" s="66">
        <f t="shared" si="376"/>
        <v>-7.1224423029458042E-2</v>
      </c>
      <c r="X493" s="66">
        <f t="shared" si="376"/>
        <v>-7.1224423029458042E-2</v>
      </c>
      <c r="Y493" s="66">
        <f t="shared" si="376"/>
        <v>-7.1224423029458042E-2</v>
      </c>
      <c r="Z493" s="66">
        <f t="shared" si="376"/>
        <v>-7.1224423029458042E-2</v>
      </c>
      <c r="AA493" s="66">
        <f t="shared" si="376"/>
        <v>-7.1224423029458042E-2</v>
      </c>
      <c r="AB493" s="66">
        <f t="shared" si="376"/>
        <v>-7.1224423029458042E-2</v>
      </c>
      <c r="AC493" s="66">
        <f t="shared" si="376"/>
        <v>-7.1224423029458042E-2</v>
      </c>
    </row>
    <row r="494" spans="1:29" x14ac:dyDescent="0.25">
      <c r="A494" s="30" t="str">
        <f t="shared" si="372"/>
        <v>Opex fix (admin, crew, insurance)</v>
      </c>
      <c r="B494" s="66">
        <f>B464/B475</f>
        <v>3.6414565826330532</v>
      </c>
      <c r="C494" s="66">
        <f t="shared" ref="C494:AC494" si="377">C464/C475</f>
        <v>3.6414565826330532</v>
      </c>
      <c r="D494" s="66">
        <f t="shared" si="377"/>
        <v>3.6414565826330532</v>
      </c>
      <c r="E494" s="66">
        <f t="shared" si="377"/>
        <v>3.6414565826330532</v>
      </c>
      <c r="F494" s="66">
        <f t="shared" si="377"/>
        <v>3.6414565826330532</v>
      </c>
      <c r="G494" s="66">
        <f t="shared" si="377"/>
        <v>3.6414565826330532</v>
      </c>
      <c r="H494" s="66">
        <f t="shared" si="377"/>
        <v>3.6414565826330532</v>
      </c>
      <c r="I494" s="66">
        <f t="shared" si="377"/>
        <v>3.6414565826330532</v>
      </c>
      <c r="J494" s="66">
        <f t="shared" si="377"/>
        <v>3.6414565826330532</v>
      </c>
      <c r="K494" s="66">
        <f t="shared" si="377"/>
        <v>3.6414565826330532</v>
      </c>
      <c r="L494" s="66">
        <f t="shared" si="377"/>
        <v>3.6414565826330532</v>
      </c>
      <c r="M494" s="66">
        <f t="shared" si="377"/>
        <v>3.6414565826330532</v>
      </c>
      <c r="N494" s="66">
        <f t="shared" si="377"/>
        <v>3.6414565826330532</v>
      </c>
      <c r="O494" s="66">
        <f t="shared" si="377"/>
        <v>3.6414565826330532</v>
      </c>
      <c r="P494" s="66">
        <f t="shared" si="377"/>
        <v>3.6414565826330532</v>
      </c>
      <c r="Q494" s="66">
        <f t="shared" si="377"/>
        <v>3.6414565826330532</v>
      </c>
      <c r="R494" s="66">
        <f t="shared" si="377"/>
        <v>3.6414565826330532</v>
      </c>
      <c r="S494" s="66">
        <f t="shared" si="377"/>
        <v>3.6414565826330532</v>
      </c>
      <c r="T494" s="66">
        <f t="shared" si="377"/>
        <v>3.6414565826330532</v>
      </c>
      <c r="U494" s="66">
        <f t="shared" si="377"/>
        <v>3.6414565826330532</v>
      </c>
      <c r="V494" s="66">
        <f t="shared" si="377"/>
        <v>3.6414565826330532</v>
      </c>
      <c r="W494" s="66">
        <f t="shared" si="377"/>
        <v>3.6414565826330532</v>
      </c>
      <c r="X494" s="66">
        <f t="shared" si="377"/>
        <v>3.6414565826330532</v>
      </c>
      <c r="Y494" s="66">
        <f t="shared" si="377"/>
        <v>3.6414565826330532</v>
      </c>
      <c r="Z494" s="66">
        <f t="shared" si="377"/>
        <v>3.6414565826330532</v>
      </c>
      <c r="AA494" s="66">
        <f t="shared" si="377"/>
        <v>3.6414565826330532</v>
      </c>
      <c r="AB494" s="66">
        <f t="shared" si="377"/>
        <v>3.6414565826330532</v>
      </c>
      <c r="AC494" s="66">
        <f t="shared" si="377"/>
        <v>3.6414565826330532</v>
      </c>
    </row>
    <row r="495" spans="1:29" x14ac:dyDescent="0.25">
      <c r="A495" s="30" t="str">
        <f t="shared" si="372"/>
        <v>Opex maintenance &amp; repair</v>
      </c>
      <c r="B495" s="66">
        <f>B465/B475</f>
        <v>7.246856904861251</v>
      </c>
      <c r="C495" s="66">
        <f t="shared" ref="C495:AC495" si="378">C465/C475</f>
        <v>7.2314186839996299</v>
      </c>
      <c r="D495" s="66">
        <f t="shared" si="378"/>
        <v>7.2094986234726957</v>
      </c>
      <c r="E495" s="66">
        <f t="shared" si="378"/>
        <v>7.1785167243012031</v>
      </c>
      <c r="F495" s="66">
        <f t="shared" si="378"/>
        <v>7.1350186968241909</v>
      </c>
      <c r="G495" s="66">
        <f t="shared" si="378"/>
        <v>7.0745406483582061</v>
      </c>
      <c r="H495" s="66">
        <f t="shared" si="378"/>
        <v>6.9916275063996354</v>
      </c>
      <c r="I495" s="66">
        <f t="shared" si="378"/>
        <v>6.8802011282204152</v>
      </c>
      <c r="J495" s="66">
        <f t="shared" si="378"/>
        <v>6.7345453259470114</v>
      </c>
      <c r="K495" s="66">
        <f t="shared" si="378"/>
        <v>6.5511164620096221</v>
      </c>
      <c r="L495" s="66">
        <f t="shared" si="378"/>
        <v>6.3310070906111209</v>
      </c>
      <c r="M495" s="66">
        <f t="shared" si="378"/>
        <v>6.0821132124321657</v>
      </c>
      <c r="N495" s="66">
        <f t="shared" si="378"/>
        <v>5.8193569664245297</v>
      </c>
      <c r="O495" s="66">
        <f t="shared" si="378"/>
        <v>5.56177127186655</v>
      </c>
      <c r="P495" s="66">
        <f t="shared" si="378"/>
        <v>5.3272857120812445</v>
      </c>
      <c r="Q495" s="66">
        <f t="shared" si="378"/>
        <v>5.1280063776495748</v>
      </c>
      <c r="R495" s="66">
        <f t="shared" si="378"/>
        <v>4.9684193196765616</v>
      </c>
      <c r="S495" s="66">
        <f t="shared" si="378"/>
        <v>4.8466473114640678</v>
      </c>
      <c r="T495" s="66">
        <f t="shared" si="378"/>
        <v>4.7571351192987104</v>
      </c>
      <c r="U495" s="66">
        <f t="shared" si="378"/>
        <v>4.6931351968433184</v>
      </c>
      <c r="V495" s="66">
        <f t="shared" si="378"/>
        <v>4.6482807026882691</v>
      </c>
      <c r="W495" s="66">
        <f t="shared" si="378"/>
        <v>4.6172834902544588</v>
      </c>
      <c r="X495" s="66">
        <f t="shared" si="378"/>
        <v>4.5960705531356583</v>
      </c>
      <c r="Y495" s="66">
        <f t="shared" si="378"/>
        <v>4.5816503768907726</v>
      </c>
      <c r="Z495" s="66">
        <f t="shared" si="378"/>
        <v>4.5718924040849966</v>
      </c>
      <c r="AA495" s="66">
        <f t="shared" si="378"/>
        <v>4.5653096654426975</v>
      </c>
      <c r="AB495" s="66">
        <f t="shared" si="378"/>
        <v>4.5608781984889726</v>
      </c>
      <c r="AC495" s="66">
        <f t="shared" si="378"/>
        <v>4.5578991465246528</v>
      </c>
    </row>
    <row r="496" spans="1:29" x14ac:dyDescent="0.25">
      <c r="A496" s="30" t="str">
        <f t="shared" si="372"/>
        <v>Opex var (mode-fees, shunting)</v>
      </c>
      <c r="B496" s="66">
        <f>B466*B475/B475</f>
        <v>3.9215686274509802</v>
      </c>
      <c r="C496" s="66">
        <f t="shared" ref="C496:AC496" si="379">C466*C475/C475</f>
        <v>3.9215686274509802</v>
      </c>
      <c r="D496" s="66">
        <f t="shared" si="379"/>
        <v>3.9215686274509802</v>
      </c>
      <c r="E496" s="66">
        <f t="shared" si="379"/>
        <v>3.9215686274509802</v>
      </c>
      <c r="F496" s="66">
        <f t="shared" si="379"/>
        <v>3.9215686274509802</v>
      </c>
      <c r="G496" s="66">
        <f t="shared" si="379"/>
        <v>3.9215686274509802</v>
      </c>
      <c r="H496" s="66">
        <f t="shared" si="379"/>
        <v>3.9215686274509802</v>
      </c>
      <c r="I496" s="66">
        <f t="shared" si="379"/>
        <v>3.9215686274509802</v>
      </c>
      <c r="J496" s="66">
        <f t="shared" si="379"/>
        <v>3.9215686274509802</v>
      </c>
      <c r="K496" s="66">
        <f t="shared" si="379"/>
        <v>3.9215686274509802</v>
      </c>
      <c r="L496" s="66">
        <f t="shared" si="379"/>
        <v>3.9215686274509802</v>
      </c>
      <c r="M496" s="66">
        <f t="shared" si="379"/>
        <v>3.9215686274509802</v>
      </c>
      <c r="N496" s="66">
        <f t="shared" si="379"/>
        <v>3.9215686274509802</v>
      </c>
      <c r="O496" s="66">
        <f t="shared" si="379"/>
        <v>3.9215686274509802</v>
      </c>
      <c r="P496" s="66">
        <f t="shared" si="379"/>
        <v>3.9215686274509802</v>
      </c>
      <c r="Q496" s="66">
        <f t="shared" si="379"/>
        <v>3.9215686274509802</v>
      </c>
      <c r="R496" s="66">
        <f t="shared" si="379"/>
        <v>3.9215686274509802</v>
      </c>
      <c r="S496" s="66">
        <f t="shared" si="379"/>
        <v>3.9215686274509802</v>
      </c>
      <c r="T496" s="66">
        <f t="shared" si="379"/>
        <v>3.9215686274509802</v>
      </c>
      <c r="U496" s="66">
        <f t="shared" si="379"/>
        <v>3.9215686274509802</v>
      </c>
      <c r="V496" s="66">
        <f t="shared" si="379"/>
        <v>3.9215686274509802</v>
      </c>
      <c r="W496" s="66">
        <f t="shared" si="379"/>
        <v>3.9215686274509802</v>
      </c>
      <c r="X496" s="66">
        <f t="shared" si="379"/>
        <v>3.9215686274509802</v>
      </c>
      <c r="Y496" s="66">
        <f t="shared" si="379"/>
        <v>3.9215686274509802</v>
      </c>
      <c r="Z496" s="66">
        <f t="shared" si="379"/>
        <v>3.9215686274509802</v>
      </c>
      <c r="AA496" s="66">
        <f t="shared" si="379"/>
        <v>3.9215686274509802</v>
      </c>
      <c r="AB496" s="66">
        <f t="shared" si="379"/>
        <v>3.9215686274509802</v>
      </c>
      <c r="AC496" s="66">
        <f t="shared" si="379"/>
        <v>3.9215686274509802</v>
      </c>
    </row>
    <row r="497" spans="1:29" x14ac:dyDescent="0.25">
      <c r="A497" s="30" t="str">
        <f t="shared" si="372"/>
        <v>Fuel Cost</v>
      </c>
      <c r="B497" s="66">
        <f>B467*B468*B475/B475</f>
        <v>2.7208060622801797</v>
      </c>
      <c r="C497" s="66">
        <f t="shared" ref="C497:AC497" si="380">C467*C468*C475/C475</f>
        <v>2.7208060622801797</v>
      </c>
      <c r="D497" s="66">
        <f t="shared" si="380"/>
        <v>2.7208060622801797</v>
      </c>
      <c r="E497" s="66">
        <f t="shared" si="380"/>
        <v>2.7208060622801797</v>
      </c>
      <c r="F497" s="66">
        <f t="shared" si="380"/>
        <v>2.7208060622801797</v>
      </c>
      <c r="G497" s="66">
        <f t="shared" si="380"/>
        <v>2.7208060622801797</v>
      </c>
      <c r="H497" s="66">
        <f t="shared" si="380"/>
        <v>2.7208060622801797</v>
      </c>
      <c r="I497" s="66">
        <f t="shared" si="380"/>
        <v>2.7208060622801797</v>
      </c>
      <c r="J497" s="66">
        <f t="shared" si="380"/>
        <v>2.7902258020048718</v>
      </c>
      <c r="K497" s="66">
        <f t="shared" si="380"/>
        <v>2.8596455417295639</v>
      </c>
      <c r="L497" s="66">
        <f t="shared" si="380"/>
        <v>2.9290652814542559</v>
      </c>
      <c r="M497" s="66">
        <f t="shared" si="380"/>
        <v>2.998485021178948</v>
      </c>
      <c r="N497" s="66">
        <f t="shared" si="380"/>
        <v>3.0679047609036396</v>
      </c>
      <c r="O497" s="66">
        <f t="shared" si="380"/>
        <v>3.0387932571481238</v>
      </c>
      <c r="P497" s="66">
        <f t="shared" si="380"/>
        <v>3.009681753392607</v>
      </c>
      <c r="Q497" s="66">
        <f t="shared" si="380"/>
        <v>2.9805702496370912</v>
      </c>
      <c r="R497" s="66">
        <f t="shared" si="380"/>
        <v>2.9514587458815749</v>
      </c>
      <c r="S497" s="66">
        <f t="shared" si="380"/>
        <v>2.9223472421260595</v>
      </c>
      <c r="T497" s="66">
        <f t="shared" si="380"/>
        <v>2.8932357383705432</v>
      </c>
      <c r="U497" s="66">
        <f t="shared" si="380"/>
        <v>2.8641242346150273</v>
      </c>
      <c r="V497" s="66">
        <f t="shared" si="380"/>
        <v>2.835012730859511</v>
      </c>
      <c r="W497" s="66">
        <f t="shared" si="380"/>
        <v>2.8059012271039947</v>
      </c>
      <c r="X497" s="66">
        <f t="shared" si="380"/>
        <v>2.7767897233484793</v>
      </c>
      <c r="Y497" s="66">
        <f t="shared" si="380"/>
        <v>2.747678219592963</v>
      </c>
      <c r="Z497" s="66">
        <f t="shared" si="380"/>
        <v>2.7185667158374471</v>
      </c>
      <c r="AA497" s="66">
        <f t="shared" si="380"/>
        <v>2.6894552120819313</v>
      </c>
      <c r="AB497" s="66">
        <f t="shared" si="380"/>
        <v>2.6603437083264154</v>
      </c>
      <c r="AC497" s="66">
        <f t="shared" si="380"/>
        <v>2.6312322045708996</v>
      </c>
    </row>
    <row r="498" spans="1:29" ht="15.75" thickBot="1" x14ac:dyDescent="0.3">
      <c r="A498" s="59" t="str">
        <f t="shared" ref="A498" si="381">A486</f>
        <v>Emission Cost</v>
      </c>
      <c r="B498" s="66">
        <f>B469</f>
        <v>0</v>
      </c>
      <c r="C498" s="66">
        <f t="shared" ref="C498:AC498" si="382">C469</f>
        <v>0</v>
      </c>
      <c r="D498" s="66">
        <f t="shared" si="382"/>
        <v>0</v>
      </c>
      <c r="E498" s="66">
        <f t="shared" si="382"/>
        <v>0</v>
      </c>
      <c r="F498" s="66">
        <f t="shared" si="382"/>
        <v>0</v>
      </c>
      <c r="G498" s="66">
        <f t="shared" si="382"/>
        <v>0</v>
      </c>
      <c r="H498" s="66">
        <f t="shared" si="382"/>
        <v>0</v>
      </c>
      <c r="I498" s="66">
        <f t="shared" si="382"/>
        <v>0</v>
      </c>
      <c r="J498" s="66">
        <f t="shared" si="382"/>
        <v>0</v>
      </c>
      <c r="K498" s="66">
        <f t="shared" si="382"/>
        <v>0</v>
      </c>
      <c r="L498" s="66">
        <f t="shared" si="382"/>
        <v>0</v>
      </c>
      <c r="M498" s="66">
        <f t="shared" si="382"/>
        <v>0</v>
      </c>
      <c r="N498" s="66">
        <f t="shared" si="382"/>
        <v>0</v>
      </c>
      <c r="O498" s="66">
        <f t="shared" si="382"/>
        <v>0</v>
      </c>
      <c r="P498" s="66">
        <f t="shared" si="382"/>
        <v>0</v>
      </c>
      <c r="Q498" s="66">
        <f t="shared" si="382"/>
        <v>0</v>
      </c>
      <c r="R498" s="66">
        <f t="shared" si="382"/>
        <v>0</v>
      </c>
      <c r="S498" s="66">
        <f t="shared" si="382"/>
        <v>0</v>
      </c>
      <c r="T498" s="66">
        <f t="shared" si="382"/>
        <v>0</v>
      </c>
      <c r="U498" s="66">
        <f t="shared" si="382"/>
        <v>0</v>
      </c>
      <c r="V498" s="66">
        <f t="shared" si="382"/>
        <v>0</v>
      </c>
      <c r="W498" s="66">
        <f t="shared" si="382"/>
        <v>0</v>
      </c>
      <c r="X498" s="66">
        <f t="shared" si="382"/>
        <v>0</v>
      </c>
      <c r="Y498" s="66">
        <f t="shared" si="382"/>
        <v>0</v>
      </c>
      <c r="Z498" s="66">
        <f t="shared" si="382"/>
        <v>0</v>
      </c>
      <c r="AA498" s="66">
        <f t="shared" si="382"/>
        <v>0</v>
      </c>
      <c r="AB498" s="66">
        <f t="shared" si="382"/>
        <v>0</v>
      </c>
      <c r="AC498" s="66">
        <f t="shared" si="382"/>
        <v>0</v>
      </c>
    </row>
    <row r="499" spans="1:29" ht="15.75" thickBot="1" x14ac:dyDescent="0.3">
      <c r="A499" s="31" t="s">
        <v>63</v>
      </c>
      <c r="B499" s="76">
        <f>B490+B491+B492-B493+B494+B495+B496+B497+B498</f>
        <v>23.639473241155184</v>
      </c>
      <c r="C499" s="76">
        <f t="shared" ref="C499:AC499" si="383">C490+C491+C492-C493+C494+C495+C496+C497+C498</f>
        <v>23.612473444921232</v>
      </c>
      <c r="D499" s="76">
        <f t="shared" si="383"/>
        <v>23.574137604738088</v>
      </c>
      <c r="E499" s="76">
        <f t="shared" si="383"/>
        <v>23.519953578478255</v>
      </c>
      <c r="F499" s="76">
        <f t="shared" si="383"/>
        <v>23.443880183170261</v>
      </c>
      <c r="G499" s="76">
        <f t="shared" si="383"/>
        <v>23.338110548194507</v>
      </c>
      <c r="H499" s="76">
        <f t="shared" si="383"/>
        <v>23.193104335492663</v>
      </c>
      <c r="I499" s="76">
        <f t="shared" si="383"/>
        <v>22.998231523858948</v>
      </c>
      <c r="J499" s="76">
        <f t="shared" si="383"/>
        <v>22.812914852119842</v>
      </c>
      <c r="K499" s="76">
        <f t="shared" si="383"/>
        <v>22.561537137647793</v>
      </c>
      <c r="L499" s="76">
        <f t="shared" si="383"/>
        <v>22.246009140828765</v>
      </c>
      <c r="M499" s="76">
        <f t="shared" si="383"/>
        <v>21.880140121897586</v>
      </c>
      <c r="N499" s="76">
        <f t="shared" si="383"/>
        <v>21.490027305054117</v>
      </c>
      <c r="O499" s="76">
        <f t="shared" si="383"/>
        <v>21.01042598591216</v>
      </c>
      <c r="P499" s="76">
        <f t="shared" si="383"/>
        <v>20.571224330528704</v>
      </c>
      <c r="Q499" s="76">
        <f t="shared" si="383"/>
        <v>20.193594595850044</v>
      </c>
      <c r="R499" s="76">
        <f t="shared" si="383"/>
        <v>19.885382405203917</v>
      </c>
      <c r="S499" s="76">
        <f t="shared" si="383"/>
        <v>19.643304689978397</v>
      </c>
      <c r="T499" s="76">
        <f t="shared" si="383"/>
        <v>19.45764594087758</v>
      </c>
      <c r="U499" s="76">
        <f t="shared" si="383"/>
        <v>19.316605421416625</v>
      </c>
      <c r="V499" s="76">
        <f t="shared" si="383"/>
        <v>19.20904820728952</v>
      </c>
      <c r="W499" s="76">
        <f t="shared" si="383"/>
        <v>19.125725896017059</v>
      </c>
      <c r="X499" s="76">
        <f t="shared" si="383"/>
        <v>19.059515235249538</v>
      </c>
      <c r="Y499" s="76">
        <f t="shared" si="383"/>
        <v>19.005184386353189</v>
      </c>
      <c r="Z499" s="76">
        <f t="shared" si="383"/>
        <v>18.959007232366734</v>
      </c>
      <c r="AA499" s="76">
        <f t="shared" si="383"/>
        <v>18.918383223148542</v>
      </c>
      <c r="AB499" s="76">
        <f t="shared" si="383"/>
        <v>18.881521557904826</v>
      </c>
      <c r="AC499" s="76">
        <f t="shared" si="383"/>
        <v>18.8472000110538</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4">A478</f>
        <v>Capex vehicle</v>
      </c>
      <c r="B502" s="65">
        <f>((1+B463)^B470)*B463/(((1+B463)^B470)-1)*(B459)/B475/(B472)</f>
        <v>1.7357527712224307E-3</v>
      </c>
      <c r="C502" s="65">
        <f t="shared" ref="C502:AC502" si="385">((1+C463)^C470)*C463/(((1+C463)^C470)-1)*(C459)/C475/(C472)</f>
        <v>1.7320550392270152E-3</v>
      </c>
      <c r="D502" s="65">
        <f t="shared" si="385"/>
        <v>1.7268047898700194E-3</v>
      </c>
      <c r="E502" s="65">
        <f t="shared" si="385"/>
        <v>1.7193840669206565E-3</v>
      </c>
      <c r="F502" s="65">
        <f t="shared" si="385"/>
        <v>1.7089655057806832E-3</v>
      </c>
      <c r="G502" s="65">
        <f t="shared" si="385"/>
        <v>1.6944799237413111E-3</v>
      </c>
      <c r="H502" s="65">
        <f t="shared" si="385"/>
        <v>1.6746207326720345E-3</v>
      </c>
      <c r="I502" s="65">
        <f t="shared" si="385"/>
        <v>1.647932107899808E-3</v>
      </c>
      <c r="J502" s="65">
        <f t="shared" si="385"/>
        <v>1.6130449194593829E-3</v>
      </c>
      <c r="K502" s="65">
        <f t="shared" si="385"/>
        <v>1.5691104023188658E-3</v>
      </c>
      <c r="L502" s="65">
        <f t="shared" si="385"/>
        <v>1.5163902428907568E-3</v>
      </c>
      <c r="M502" s="65">
        <f t="shared" si="385"/>
        <v>1.4567756755740466E-3</v>
      </c>
      <c r="N502" s="65">
        <f t="shared" si="385"/>
        <v>1.3938408214502103E-3</v>
      </c>
      <c r="O502" s="65">
        <f t="shared" si="385"/>
        <v>1.3321444075391885E-3</v>
      </c>
      <c r="P502" s="65">
        <f t="shared" si="385"/>
        <v>1.275980892024488E-3</v>
      </c>
      <c r="Q502" s="65">
        <f t="shared" si="385"/>
        <v>1.2282499016754028E-3</v>
      </c>
      <c r="R502" s="65">
        <f t="shared" si="385"/>
        <v>1.1900259265418419E-3</v>
      </c>
      <c r="S502" s="65">
        <f t="shared" si="385"/>
        <v>1.1608593370138539E-3</v>
      </c>
      <c r="T502" s="65">
        <f t="shared" si="385"/>
        <v>1.1394195545469208E-3</v>
      </c>
      <c r="U502" s="65">
        <f t="shared" si="385"/>
        <v>1.1240904202452003E-3</v>
      </c>
      <c r="V502" s="65">
        <f t="shared" si="385"/>
        <v>1.1133469609008908E-3</v>
      </c>
      <c r="W502" s="65">
        <f t="shared" si="385"/>
        <v>1.1059225701493549E-3</v>
      </c>
      <c r="X502" s="65">
        <f t="shared" si="385"/>
        <v>1.1008416895864966E-3</v>
      </c>
      <c r="Y502" s="65">
        <f t="shared" si="385"/>
        <v>1.0973877976155116E-3</v>
      </c>
      <c r="Z502" s="65">
        <f t="shared" si="385"/>
        <v>1.0950505873516005E-3</v>
      </c>
      <c r="AA502" s="65">
        <f t="shared" si="385"/>
        <v>1.0934739028674706E-3</v>
      </c>
      <c r="AB502" s="65">
        <f t="shared" si="385"/>
        <v>1.0924124867050583E-3</v>
      </c>
      <c r="AC502" s="65">
        <f t="shared" si="385"/>
        <v>1.0916989500959369E-3</v>
      </c>
    </row>
    <row r="503" spans="1:29" x14ac:dyDescent="0.25">
      <c r="A503" s="30" t="str">
        <f t="shared" si="384"/>
        <v>Residual value (vehicle)</v>
      </c>
      <c r="B503" s="68">
        <f>((1+B463)^B470)*B463/(((1+B463)^B470)-1)*(B460)/B475/(B472)</f>
        <v>-8.822699253989411E-5</v>
      </c>
      <c r="C503" s="68">
        <f t="shared" ref="C503:AC503" si="386">((1+C463)^C470)*C463/(((1+C463)^C470)-1)*(C460)/C475/(C472)</f>
        <v>-8.8658394606025906E-5</v>
      </c>
      <c r="D503" s="68">
        <f t="shared" si="386"/>
        <v>-8.927092369767544E-5</v>
      </c>
      <c r="E503" s="68">
        <f t="shared" si="386"/>
        <v>-9.0136674708434433E-5</v>
      </c>
      <c r="F503" s="68">
        <f t="shared" si="386"/>
        <v>-9.1352173508097987E-5</v>
      </c>
      <c r="G503" s="68">
        <f t="shared" si="386"/>
        <v>-9.3042158079358043E-5</v>
      </c>
      <c r="H503" s="68">
        <f t="shared" si="386"/>
        <v>-9.5359063704106992E-5</v>
      </c>
      <c r="I503" s="68">
        <f t="shared" si="386"/>
        <v>-9.8472736594200079E-5</v>
      </c>
      <c r="J503" s="68">
        <f t="shared" si="386"/>
        <v>-1.0254290857891629E-4</v>
      </c>
      <c r="K503" s="68">
        <f t="shared" si="386"/>
        <v>-1.0766860224531E-4</v>
      </c>
      <c r="L503" s="68">
        <f t="shared" si="386"/>
        <v>-1.1381928751192271E-4</v>
      </c>
      <c r="M503" s="68">
        <f t="shared" si="386"/>
        <v>-1.2077432036553891E-4</v>
      </c>
      <c r="N503" s="68">
        <f t="shared" si="386"/>
        <v>-1.281167200133198E-4</v>
      </c>
      <c r="O503" s="68">
        <f t="shared" si="386"/>
        <v>-1.3531463496960572E-4</v>
      </c>
      <c r="P503" s="68">
        <f t="shared" si="386"/>
        <v>-1.4186704511298743E-4</v>
      </c>
      <c r="Q503" s="68">
        <f t="shared" si="386"/>
        <v>-1.4743566065371401E-4</v>
      </c>
      <c r="R503" s="68">
        <f t="shared" si="386"/>
        <v>-1.5189512441929611E-4</v>
      </c>
      <c r="S503" s="68">
        <f t="shared" si="386"/>
        <v>-1.5529789319756145E-4</v>
      </c>
      <c r="T503" s="68">
        <f t="shared" si="386"/>
        <v>-1.5779920115203692E-4</v>
      </c>
      <c r="U503" s="68">
        <f t="shared" si="386"/>
        <v>-1.5958760015390426E-4</v>
      </c>
      <c r="V503" s="68">
        <f t="shared" si="386"/>
        <v>-1.6084100374407371E-4</v>
      </c>
      <c r="W503" s="68">
        <f t="shared" si="386"/>
        <v>-1.6170718266508627E-4</v>
      </c>
      <c r="X503" s="68">
        <f t="shared" si="386"/>
        <v>-1.6229995206408642E-4</v>
      </c>
      <c r="Y503" s="68">
        <f t="shared" si="386"/>
        <v>-1.6270290612736799E-4</v>
      </c>
      <c r="Z503" s="68">
        <f t="shared" si="386"/>
        <v>-1.6297558065815764E-4</v>
      </c>
      <c r="AA503" s="68">
        <f t="shared" si="386"/>
        <v>-1.6315952718130611E-4</v>
      </c>
      <c r="AB503" s="68">
        <f t="shared" si="386"/>
        <v>-1.6328335906692088E-4</v>
      </c>
      <c r="AC503" s="68">
        <f t="shared" si="386"/>
        <v>-1.6336660500465173E-4</v>
      </c>
    </row>
    <row r="504" spans="1:29" x14ac:dyDescent="0.25">
      <c r="A504" s="30" t="str">
        <f t="shared" si="384"/>
        <v>Capex costumization</v>
      </c>
      <c r="B504" s="66">
        <f>((1+B463)^B471)*B463/(((1+B463)^B471)-1)*(B461)/B475/(B472)</f>
        <v>5.0874587878184309E-4</v>
      </c>
      <c r="C504" s="66">
        <f t="shared" ref="C504:AC504" si="387">((1+C463)^C471)*C463/(((1+C463)^C471)-1)*(C461)/C475/(C472)</f>
        <v>5.0874587878184309E-4</v>
      </c>
      <c r="D504" s="66">
        <f t="shared" si="387"/>
        <v>5.0874587878184309E-4</v>
      </c>
      <c r="E504" s="66">
        <f t="shared" si="387"/>
        <v>5.0874587878184309E-4</v>
      </c>
      <c r="F504" s="66">
        <f t="shared" si="387"/>
        <v>5.0874587878184309E-4</v>
      </c>
      <c r="G504" s="66">
        <f t="shared" si="387"/>
        <v>5.0874587878184309E-4</v>
      </c>
      <c r="H504" s="66">
        <f t="shared" si="387"/>
        <v>5.0874587878184309E-4</v>
      </c>
      <c r="I504" s="66">
        <f t="shared" si="387"/>
        <v>5.0874587878184309E-4</v>
      </c>
      <c r="J504" s="66">
        <f t="shared" si="387"/>
        <v>5.0874587878184309E-4</v>
      </c>
      <c r="K504" s="66">
        <f t="shared" si="387"/>
        <v>5.0874587878184309E-4</v>
      </c>
      <c r="L504" s="66">
        <f t="shared" si="387"/>
        <v>5.0874587878184309E-4</v>
      </c>
      <c r="M504" s="66">
        <f t="shared" si="387"/>
        <v>5.0874587878184309E-4</v>
      </c>
      <c r="N504" s="66">
        <f t="shared" si="387"/>
        <v>5.0874587878184309E-4</v>
      </c>
      <c r="O504" s="66">
        <f t="shared" si="387"/>
        <v>5.0874587878184309E-4</v>
      </c>
      <c r="P504" s="66">
        <f t="shared" si="387"/>
        <v>5.0874587878184309E-4</v>
      </c>
      <c r="Q504" s="66">
        <f t="shared" si="387"/>
        <v>5.0874587878184309E-4</v>
      </c>
      <c r="R504" s="66">
        <f t="shared" si="387"/>
        <v>5.0874587878184309E-4</v>
      </c>
      <c r="S504" s="66">
        <f t="shared" si="387"/>
        <v>5.0874587878184309E-4</v>
      </c>
      <c r="T504" s="66">
        <f t="shared" si="387"/>
        <v>5.0874587878184309E-4</v>
      </c>
      <c r="U504" s="66">
        <f t="shared" si="387"/>
        <v>5.0874587878184309E-4</v>
      </c>
      <c r="V504" s="66">
        <f t="shared" si="387"/>
        <v>5.0874587878184309E-4</v>
      </c>
      <c r="W504" s="66">
        <f t="shared" si="387"/>
        <v>5.0874587878184309E-4</v>
      </c>
      <c r="X504" s="66">
        <f t="shared" si="387"/>
        <v>5.0874587878184309E-4</v>
      </c>
      <c r="Y504" s="66">
        <f t="shared" si="387"/>
        <v>5.0874587878184309E-4</v>
      </c>
      <c r="Z504" s="66">
        <f t="shared" si="387"/>
        <v>5.0874587878184309E-4</v>
      </c>
      <c r="AA504" s="66">
        <f t="shared" si="387"/>
        <v>5.0874587878184309E-4</v>
      </c>
      <c r="AB504" s="66">
        <f t="shared" si="387"/>
        <v>5.0874587878184309E-4</v>
      </c>
      <c r="AC504" s="66">
        <f t="shared" si="387"/>
        <v>5.0874587878184309E-4</v>
      </c>
    </row>
    <row r="505" spans="1:29" x14ac:dyDescent="0.25">
      <c r="A505" s="30" t="str">
        <f t="shared" si="384"/>
        <v>Residual value (costumization)</v>
      </c>
      <c r="B505" s="69">
        <f>((1+B463)^B471)*B463/(((1+B463)^B471)-1)*(B462)/B475/(B472)</f>
        <v>-2.5437293939092159E-5</v>
      </c>
      <c r="C505" s="69">
        <f t="shared" ref="C505:AC505" si="388">((1+C463)^C471)*C463/(((1+C463)^C471)-1)*(C462)/C475/(C472)</f>
        <v>-2.5437293939092159E-5</v>
      </c>
      <c r="D505" s="69">
        <f t="shared" si="388"/>
        <v>-2.5437293939092159E-5</v>
      </c>
      <c r="E505" s="69">
        <f t="shared" si="388"/>
        <v>-2.5437293939092159E-5</v>
      </c>
      <c r="F505" s="69">
        <f t="shared" si="388"/>
        <v>-2.5437293939092159E-5</v>
      </c>
      <c r="G505" s="69">
        <f t="shared" si="388"/>
        <v>-2.5437293939092159E-5</v>
      </c>
      <c r="H505" s="69">
        <f t="shared" si="388"/>
        <v>-2.5437293939092159E-5</v>
      </c>
      <c r="I505" s="69">
        <f t="shared" si="388"/>
        <v>-2.5437293939092159E-5</v>
      </c>
      <c r="J505" s="69">
        <f t="shared" si="388"/>
        <v>-2.5437293939092159E-5</v>
      </c>
      <c r="K505" s="69">
        <f t="shared" si="388"/>
        <v>-2.5437293939092159E-5</v>
      </c>
      <c r="L505" s="69">
        <f t="shared" si="388"/>
        <v>-2.5437293939092159E-5</v>
      </c>
      <c r="M505" s="69">
        <f t="shared" si="388"/>
        <v>-2.5437293939092159E-5</v>
      </c>
      <c r="N505" s="69">
        <f t="shared" si="388"/>
        <v>-2.5437293939092159E-5</v>
      </c>
      <c r="O505" s="69">
        <f t="shared" si="388"/>
        <v>-2.5437293939092159E-5</v>
      </c>
      <c r="P505" s="69">
        <f t="shared" si="388"/>
        <v>-2.5437293939092159E-5</v>
      </c>
      <c r="Q505" s="69">
        <f t="shared" si="388"/>
        <v>-2.5437293939092159E-5</v>
      </c>
      <c r="R505" s="69">
        <f t="shared" si="388"/>
        <v>-2.5437293939092159E-5</v>
      </c>
      <c r="S505" s="69">
        <f t="shared" si="388"/>
        <v>-2.5437293939092159E-5</v>
      </c>
      <c r="T505" s="69">
        <f t="shared" si="388"/>
        <v>-2.5437293939092159E-5</v>
      </c>
      <c r="U505" s="69">
        <f t="shared" si="388"/>
        <v>-2.5437293939092159E-5</v>
      </c>
      <c r="V505" s="69">
        <f t="shared" si="388"/>
        <v>-2.5437293939092159E-5</v>
      </c>
      <c r="W505" s="69">
        <f t="shared" si="388"/>
        <v>-2.5437293939092159E-5</v>
      </c>
      <c r="X505" s="69">
        <f t="shared" si="388"/>
        <v>-2.5437293939092159E-5</v>
      </c>
      <c r="Y505" s="69">
        <f t="shared" si="388"/>
        <v>-2.5437293939092159E-5</v>
      </c>
      <c r="Z505" s="69">
        <f t="shared" si="388"/>
        <v>-2.5437293939092159E-5</v>
      </c>
      <c r="AA505" s="69">
        <f t="shared" si="388"/>
        <v>-2.5437293939092159E-5</v>
      </c>
      <c r="AB505" s="69">
        <f t="shared" si="388"/>
        <v>-2.5437293939092159E-5</v>
      </c>
      <c r="AC505" s="69">
        <f t="shared" si="388"/>
        <v>-2.5437293939092159E-5</v>
      </c>
    </row>
    <row r="506" spans="1:29" x14ac:dyDescent="0.25">
      <c r="A506" s="30" t="str">
        <f t="shared" si="384"/>
        <v>Opex fix (admin, crew, insurance)</v>
      </c>
      <c r="B506" s="66">
        <f>B464/B475/(B472)</f>
        <v>1.3005202080832333E-3</v>
      </c>
      <c r="C506" s="66">
        <f t="shared" ref="C506:AC506" si="389">C464/C475/(C472)</f>
        <v>1.3005202080832333E-3</v>
      </c>
      <c r="D506" s="66">
        <f t="shared" si="389"/>
        <v>1.3005202080832333E-3</v>
      </c>
      <c r="E506" s="66">
        <f t="shared" si="389"/>
        <v>1.3005202080832333E-3</v>
      </c>
      <c r="F506" s="66">
        <f t="shared" si="389"/>
        <v>1.3005202080832333E-3</v>
      </c>
      <c r="G506" s="66">
        <f t="shared" si="389"/>
        <v>1.3005202080832333E-3</v>
      </c>
      <c r="H506" s="66">
        <f t="shared" si="389"/>
        <v>1.3005202080832333E-3</v>
      </c>
      <c r="I506" s="66">
        <f t="shared" si="389"/>
        <v>1.3005202080832333E-3</v>
      </c>
      <c r="J506" s="66">
        <f t="shared" si="389"/>
        <v>1.3005202080832333E-3</v>
      </c>
      <c r="K506" s="66">
        <f t="shared" si="389"/>
        <v>1.3005202080832333E-3</v>
      </c>
      <c r="L506" s="66">
        <f t="shared" si="389"/>
        <v>1.3005202080832333E-3</v>
      </c>
      <c r="M506" s="66">
        <f t="shared" si="389"/>
        <v>1.3005202080832333E-3</v>
      </c>
      <c r="N506" s="66">
        <f t="shared" si="389"/>
        <v>1.3005202080832333E-3</v>
      </c>
      <c r="O506" s="66">
        <f t="shared" si="389"/>
        <v>1.3005202080832333E-3</v>
      </c>
      <c r="P506" s="66">
        <f t="shared" si="389"/>
        <v>1.3005202080832333E-3</v>
      </c>
      <c r="Q506" s="66">
        <f t="shared" si="389"/>
        <v>1.3005202080832333E-3</v>
      </c>
      <c r="R506" s="66">
        <f t="shared" si="389"/>
        <v>1.3005202080832333E-3</v>
      </c>
      <c r="S506" s="66">
        <f t="shared" si="389"/>
        <v>1.3005202080832333E-3</v>
      </c>
      <c r="T506" s="66">
        <f t="shared" si="389"/>
        <v>1.3005202080832333E-3</v>
      </c>
      <c r="U506" s="66">
        <f t="shared" si="389"/>
        <v>1.3005202080832333E-3</v>
      </c>
      <c r="V506" s="66">
        <f t="shared" si="389"/>
        <v>1.3005202080832333E-3</v>
      </c>
      <c r="W506" s="66">
        <f t="shared" si="389"/>
        <v>1.3005202080832333E-3</v>
      </c>
      <c r="X506" s="66">
        <f t="shared" si="389"/>
        <v>1.3005202080832333E-3</v>
      </c>
      <c r="Y506" s="66">
        <f t="shared" si="389"/>
        <v>1.3005202080832333E-3</v>
      </c>
      <c r="Z506" s="66">
        <f t="shared" si="389"/>
        <v>1.3005202080832333E-3</v>
      </c>
      <c r="AA506" s="66">
        <f t="shared" si="389"/>
        <v>1.3005202080832333E-3</v>
      </c>
      <c r="AB506" s="66">
        <f t="shared" si="389"/>
        <v>1.3005202080832333E-3</v>
      </c>
      <c r="AC506" s="66">
        <f t="shared" si="389"/>
        <v>1.3005202080832333E-3</v>
      </c>
    </row>
    <row r="507" spans="1:29" x14ac:dyDescent="0.25">
      <c r="A507" s="30" t="str">
        <f t="shared" si="384"/>
        <v>Opex maintenance &amp; repair</v>
      </c>
      <c r="B507" s="66">
        <f>B465/B475/(B472)</f>
        <v>2.5881631803075897E-3</v>
      </c>
      <c r="C507" s="66">
        <f t="shared" ref="C507:AC507" si="390">C465/C475/(C472)</f>
        <v>2.582649529999868E-3</v>
      </c>
      <c r="D507" s="66">
        <f t="shared" si="390"/>
        <v>2.5748209369545342E-3</v>
      </c>
      <c r="E507" s="66">
        <f t="shared" si="390"/>
        <v>2.5637559729647153E-3</v>
      </c>
      <c r="F507" s="66">
        <f t="shared" si="390"/>
        <v>2.5482209631514968E-3</v>
      </c>
      <c r="G507" s="66">
        <f t="shared" si="390"/>
        <v>2.5266216601279308E-3</v>
      </c>
      <c r="H507" s="66">
        <f t="shared" si="390"/>
        <v>2.4970098237141556E-3</v>
      </c>
      <c r="I507" s="66">
        <f t="shared" si="390"/>
        <v>2.4572146886501483E-3</v>
      </c>
      <c r="J507" s="66">
        <f t="shared" si="390"/>
        <v>2.4051947592667899E-3</v>
      </c>
      <c r="K507" s="66">
        <f t="shared" si="390"/>
        <v>2.3396844507177221E-3</v>
      </c>
      <c r="L507" s="66">
        <f t="shared" si="390"/>
        <v>2.2610739609325433E-3</v>
      </c>
      <c r="M507" s="66">
        <f t="shared" si="390"/>
        <v>2.1721832901543448E-3</v>
      </c>
      <c r="N507" s="66">
        <f t="shared" si="390"/>
        <v>2.0783417737230462E-3</v>
      </c>
      <c r="O507" s="66">
        <f t="shared" si="390"/>
        <v>1.9863468828094821E-3</v>
      </c>
      <c r="P507" s="66">
        <f t="shared" si="390"/>
        <v>1.9026020400290159E-3</v>
      </c>
      <c r="Q507" s="66">
        <f t="shared" si="390"/>
        <v>1.8314308491605624E-3</v>
      </c>
      <c r="R507" s="66">
        <f t="shared" si="390"/>
        <v>1.7744354713130578E-3</v>
      </c>
      <c r="S507" s="66">
        <f t="shared" si="390"/>
        <v>1.7309454683800242E-3</v>
      </c>
      <c r="T507" s="66">
        <f t="shared" si="390"/>
        <v>1.6989768283209681E-3</v>
      </c>
      <c r="U507" s="66">
        <f t="shared" si="390"/>
        <v>1.676119713158328E-3</v>
      </c>
      <c r="V507" s="66">
        <f t="shared" si="390"/>
        <v>1.6601002509600961E-3</v>
      </c>
      <c r="W507" s="66">
        <f t="shared" si="390"/>
        <v>1.6490298179480209E-3</v>
      </c>
      <c r="X507" s="66">
        <f t="shared" si="390"/>
        <v>1.6414537689770209E-3</v>
      </c>
      <c r="Y507" s="66">
        <f t="shared" si="390"/>
        <v>1.6363037060324187E-3</v>
      </c>
      <c r="Z507" s="66">
        <f t="shared" si="390"/>
        <v>1.6328187157446416E-3</v>
      </c>
      <c r="AA507" s="66">
        <f t="shared" si="390"/>
        <v>1.6304677376581063E-3</v>
      </c>
      <c r="AB507" s="66">
        <f t="shared" si="390"/>
        <v>1.6288850708889187E-3</v>
      </c>
      <c r="AC507" s="66">
        <f t="shared" si="390"/>
        <v>1.6278211237588046E-3</v>
      </c>
    </row>
    <row r="508" spans="1:29" x14ac:dyDescent="0.25">
      <c r="A508" s="30" t="str">
        <f t="shared" si="384"/>
        <v>Opex var (mode-fees, shunting)</v>
      </c>
      <c r="B508" s="66">
        <f>B466*B475/B475/(B472)</f>
        <v>1.4005602240896359E-3</v>
      </c>
      <c r="C508" s="66">
        <f t="shared" ref="C508:AC508" si="391">C466*C475/C475/(C472)</f>
        <v>1.4005602240896359E-3</v>
      </c>
      <c r="D508" s="66">
        <f t="shared" si="391"/>
        <v>1.4005602240896359E-3</v>
      </c>
      <c r="E508" s="66">
        <f t="shared" si="391"/>
        <v>1.4005602240896359E-3</v>
      </c>
      <c r="F508" s="66">
        <f t="shared" si="391"/>
        <v>1.4005602240896359E-3</v>
      </c>
      <c r="G508" s="66">
        <f t="shared" si="391"/>
        <v>1.4005602240896359E-3</v>
      </c>
      <c r="H508" s="66">
        <f t="shared" si="391"/>
        <v>1.4005602240896359E-3</v>
      </c>
      <c r="I508" s="66">
        <f t="shared" si="391"/>
        <v>1.4005602240896359E-3</v>
      </c>
      <c r="J508" s="66">
        <f t="shared" si="391"/>
        <v>1.4005602240896359E-3</v>
      </c>
      <c r="K508" s="66">
        <f t="shared" si="391"/>
        <v>1.4005602240896359E-3</v>
      </c>
      <c r="L508" s="66">
        <f t="shared" si="391"/>
        <v>1.4005602240896359E-3</v>
      </c>
      <c r="M508" s="66">
        <f t="shared" si="391"/>
        <v>1.4005602240896359E-3</v>
      </c>
      <c r="N508" s="66">
        <f t="shared" si="391"/>
        <v>1.4005602240896359E-3</v>
      </c>
      <c r="O508" s="66">
        <f t="shared" si="391"/>
        <v>1.4005602240896359E-3</v>
      </c>
      <c r="P508" s="66">
        <f t="shared" si="391"/>
        <v>1.4005602240896359E-3</v>
      </c>
      <c r="Q508" s="66">
        <f t="shared" si="391"/>
        <v>1.4005602240896359E-3</v>
      </c>
      <c r="R508" s="66">
        <f t="shared" si="391"/>
        <v>1.4005602240896359E-3</v>
      </c>
      <c r="S508" s="66">
        <f t="shared" si="391"/>
        <v>1.4005602240896359E-3</v>
      </c>
      <c r="T508" s="66">
        <f t="shared" si="391"/>
        <v>1.4005602240896359E-3</v>
      </c>
      <c r="U508" s="66">
        <f t="shared" si="391"/>
        <v>1.4005602240896359E-3</v>
      </c>
      <c r="V508" s="66">
        <f t="shared" si="391"/>
        <v>1.4005602240896359E-3</v>
      </c>
      <c r="W508" s="66">
        <f t="shared" si="391"/>
        <v>1.4005602240896359E-3</v>
      </c>
      <c r="X508" s="66">
        <f t="shared" si="391"/>
        <v>1.4005602240896359E-3</v>
      </c>
      <c r="Y508" s="66">
        <f t="shared" si="391"/>
        <v>1.4005602240896359E-3</v>
      </c>
      <c r="Z508" s="66">
        <f t="shared" si="391"/>
        <v>1.4005602240896359E-3</v>
      </c>
      <c r="AA508" s="66">
        <f t="shared" si="391"/>
        <v>1.4005602240896359E-3</v>
      </c>
      <c r="AB508" s="66">
        <f t="shared" si="391"/>
        <v>1.4005602240896359E-3</v>
      </c>
      <c r="AC508" s="66">
        <f t="shared" si="391"/>
        <v>1.4005602240896359E-3</v>
      </c>
    </row>
    <row r="509" spans="1:29" x14ac:dyDescent="0.25">
      <c r="A509" s="30" t="str">
        <f t="shared" si="384"/>
        <v>Fuel Cost</v>
      </c>
      <c r="B509" s="66">
        <f>B467*B468*B475/B475/(B472)</f>
        <v>9.717164508143499E-4</v>
      </c>
      <c r="C509" s="66">
        <f t="shared" ref="C509:AC509" si="392">C467*C468*C475/C475/(C472)</f>
        <v>9.717164508143499E-4</v>
      </c>
      <c r="D509" s="66">
        <f t="shared" si="392"/>
        <v>9.717164508143499E-4</v>
      </c>
      <c r="E509" s="66">
        <f t="shared" si="392"/>
        <v>9.717164508143499E-4</v>
      </c>
      <c r="F509" s="66">
        <f t="shared" si="392"/>
        <v>9.717164508143499E-4</v>
      </c>
      <c r="G509" s="66">
        <f t="shared" si="392"/>
        <v>9.717164508143499E-4</v>
      </c>
      <c r="H509" s="66">
        <f t="shared" si="392"/>
        <v>9.717164508143499E-4</v>
      </c>
      <c r="I509" s="66">
        <f t="shared" si="392"/>
        <v>9.717164508143499E-4</v>
      </c>
      <c r="J509" s="66">
        <f t="shared" si="392"/>
        <v>9.9650921500173996E-4</v>
      </c>
      <c r="K509" s="66">
        <f t="shared" si="392"/>
        <v>1.02130197918913E-3</v>
      </c>
      <c r="L509" s="66">
        <f t="shared" si="392"/>
        <v>1.0460947433765201E-3</v>
      </c>
      <c r="M509" s="66">
        <f t="shared" si="392"/>
        <v>1.0708875075639099E-3</v>
      </c>
      <c r="N509" s="66">
        <f t="shared" si="392"/>
        <v>1.0956802717512998E-3</v>
      </c>
      <c r="O509" s="66">
        <f t="shared" si="392"/>
        <v>1.0852833061243299E-3</v>
      </c>
      <c r="P509" s="66">
        <f t="shared" si="392"/>
        <v>1.0748863404973596E-3</v>
      </c>
      <c r="Q509" s="66">
        <f t="shared" si="392"/>
        <v>1.0644893748703898E-3</v>
      </c>
      <c r="R509" s="66">
        <f t="shared" si="392"/>
        <v>1.0540924092434195E-3</v>
      </c>
      <c r="S509" s="66">
        <f t="shared" si="392"/>
        <v>1.0436954436164499E-3</v>
      </c>
      <c r="T509" s="66">
        <f t="shared" si="392"/>
        <v>1.0332984779894798E-3</v>
      </c>
      <c r="U509" s="66">
        <f t="shared" si="392"/>
        <v>1.0229015123625097E-3</v>
      </c>
      <c r="V509" s="66">
        <f t="shared" si="392"/>
        <v>1.0125045467355397E-3</v>
      </c>
      <c r="W509" s="66">
        <f t="shared" si="392"/>
        <v>1.0021075811085696E-3</v>
      </c>
      <c r="X509" s="66">
        <f t="shared" si="392"/>
        <v>9.9171061548159974E-4</v>
      </c>
      <c r="Y509" s="66">
        <f t="shared" si="392"/>
        <v>9.8131364985462968E-4</v>
      </c>
      <c r="Z509" s="66">
        <f t="shared" si="392"/>
        <v>9.7091668422765972E-4</v>
      </c>
      <c r="AA509" s="66">
        <f t="shared" si="392"/>
        <v>9.6051971860068976E-4</v>
      </c>
      <c r="AB509" s="66">
        <f t="shared" si="392"/>
        <v>9.501227529737198E-4</v>
      </c>
      <c r="AC509" s="66">
        <f t="shared" si="392"/>
        <v>9.3972578734674984E-4</v>
      </c>
    </row>
    <row r="510" spans="1:29" x14ac:dyDescent="0.25">
      <c r="A510" s="59" t="str">
        <f>A473</f>
        <v>Market failure (av. utilization)</v>
      </c>
      <c r="B510" s="66">
        <f t="shared" ref="B510:AC510" si="393">B499/B473-B499/B472</f>
        <v>1.6291712864300586E-2</v>
      </c>
      <c r="C510" s="66">
        <f t="shared" si="393"/>
        <v>1.6273105303838013E-2</v>
      </c>
      <c r="D510" s="66">
        <f t="shared" si="393"/>
        <v>1.6246685235408224E-2</v>
      </c>
      <c r="E510" s="66">
        <f t="shared" si="393"/>
        <v>1.6209343007489198E-2</v>
      </c>
      <c r="F510" s="66">
        <f t="shared" si="393"/>
        <v>1.6156915193200484E-2</v>
      </c>
      <c r="G510" s="66">
        <f t="shared" si="393"/>
        <v>1.6084021499453247E-2</v>
      </c>
      <c r="H510" s="66">
        <f t="shared" si="393"/>
        <v>1.5984086972284282E-2</v>
      </c>
      <c r="I510" s="66">
        <f t="shared" si="393"/>
        <v>1.5849785676320199E-2</v>
      </c>
      <c r="J510" s="66">
        <f t="shared" si="393"/>
        <v>1.5722070224535718E-2</v>
      </c>
      <c r="K510" s="66">
        <f t="shared" si="393"/>
        <v>1.5548827212608829E-2</v>
      </c>
      <c r="L510" s="66">
        <f t="shared" si="393"/>
        <v>1.5331373487122503E-2</v>
      </c>
      <c r="M510" s="66">
        <f t="shared" si="393"/>
        <v>1.5079226032669374E-2</v>
      </c>
      <c r="N510" s="66">
        <f t="shared" si="393"/>
        <v>1.481037038043629E-2</v>
      </c>
      <c r="O510" s="66">
        <f t="shared" si="393"/>
        <v>1.4479841569532095E-2</v>
      </c>
      <c r="P510" s="66">
        <f t="shared" si="393"/>
        <v>1.4177155160827539E-2</v>
      </c>
      <c r="Q510" s="66">
        <f t="shared" si="393"/>
        <v>1.3916902525599777E-2</v>
      </c>
      <c r="R510" s="66">
        <f t="shared" si="393"/>
        <v>1.3704490664300691E-2</v>
      </c>
      <c r="S510" s="66">
        <f t="shared" si="393"/>
        <v>1.3537656971050959E-2</v>
      </c>
      <c r="T510" s="66">
        <f t="shared" si="393"/>
        <v>1.3409705768406143E-2</v>
      </c>
      <c r="U510" s="66">
        <f t="shared" si="393"/>
        <v>1.3312504294335677E-2</v>
      </c>
      <c r="V510" s="66">
        <f t="shared" si="393"/>
        <v>1.3238378647322857E-2</v>
      </c>
      <c r="W510" s="66">
        <f t="shared" si="393"/>
        <v>1.3180955067846577E-2</v>
      </c>
      <c r="X510" s="66">
        <f t="shared" si="393"/>
        <v>1.3135324394828785E-2</v>
      </c>
      <c r="Y510" s="66">
        <f t="shared" si="393"/>
        <v>1.3097880980550328E-2</v>
      </c>
      <c r="Z510" s="66">
        <f t="shared" si="393"/>
        <v>1.3066056881681314E-2</v>
      </c>
      <c r="AA510" s="66">
        <f t="shared" si="393"/>
        <v>1.3038059866399804E-2</v>
      </c>
      <c r="AB510" s="66">
        <f t="shared" si="393"/>
        <v>1.3012655761167669E-2</v>
      </c>
      <c r="AC510" s="66">
        <f t="shared" si="393"/>
        <v>1.298900223976085E-2</v>
      </c>
    </row>
    <row r="511" spans="1:29" x14ac:dyDescent="0.25">
      <c r="A511" s="59" t="str">
        <f>A474</f>
        <v>Payload loss (fuel)</v>
      </c>
      <c r="B511" s="66">
        <f>B499/(B472-B474)-B499/B472</f>
        <v>2.4662677564051862E-4</v>
      </c>
      <c r="C511" s="66">
        <f t="shared" ref="C511:AC511" si="394">C499/(C472-C474)-C499/C472</f>
        <v>2.456237847339466E-4</v>
      </c>
      <c r="D511" s="66">
        <f t="shared" si="394"/>
        <v>2.4420272085419643E-4</v>
      </c>
      <c r="E511" s="66">
        <f t="shared" si="394"/>
        <v>2.4220026472946202E-4</v>
      </c>
      <c r="F511" s="66">
        <f t="shared" si="394"/>
        <v>2.3940086643540852E-4</v>
      </c>
      <c r="G511" s="66">
        <f t="shared" si="394"/>
        <v>2.3553198862868649E-4</v>
      </c>
      <c r="H511" s="66">
        <f t="shared" si="394"/>
        <v>2.3027191397391455E-4</v>
      </c>
      <c r="I511" s="66">
        <f t="shared" si="394"/>
        <v>2.2328299076395351E-4</v>
      </c>
      <c r="J511" s="66">
        <f t="shared" si="394"/>
        <v>2.1493935631688131E-4</v>
      </c>
      <c r="K511" s="66">
        <f t="shared" si="394"/>
        <v>2.0443449196974432E-4</v>
      </c>
      <c r="L511" s="66">
        <f t="shared" si="394"/>
        <v>1.9196930864206173E-4</v>
      </c>
      <c r="M511" s="66">
        <f t="shared" si="394"/>
        <v>1.7815518981820211E-4</v>
      </c>
      <c r="N511" s="66">
        <f t="shared" si="394"/>
        <v>1.6395911910099294E-4</v>
      </c>
      <c r="O511" s="66">
        <f t="shared" si="394"/>
        <v>1.4976759054757816E-4</v>
      </c>
      <c r="P511" s="66">
        <f t="shared" si="394"/>
        <v>1.3727403859741753E-4</v>
      </c>
      <c r="Q511" s="66">
        <f t="shared" si="394"/>
        <v>1.2696112043579771E-4</v>
      </c>
      <c r="R511" s="66">
        <f t="shared" si="394"/>
        <v>1.1888955042429865E-4</v>
      </c>
      <c r="S511" s="66">
        <f t="shared" si="394"/>
        <v>1.1282577546958567E-4</v>
      </c>
      <c r="T511" s="66">
        <f t="shared" si="394"/>
        <v>1.0840178390129299E-4</v>
      </c>
      <c r="U511" s="66">
        <f t="shared" si="394"/>
        <v>1.0523471931262428E-4</v>
      </c>
      <c r="V511" s="66">
        <f t="shared" si="394"/>
        <v>1.0299006891878286E-4</v>
      </c>
      <c r="W511" s="66">
        <f t="shared" si="394"/>
        <v>1.0140250749100018E-4</v>
      </c>
      <c r="X511" s="66">
        <f t="shared" si="394"/>
        <v>1.0027366038481596E-4</v>
      </c>
      <c r="Y511" s="66">
        <f t="shared" si="394"/>
        <v>9.9460690042543071E-5</v>
      </c>
      <c r="Z511" s="66">
        <f t="shared" si="394"/>
        <v>9.8863237502162284E-5</v>
      </c>
      <c r="AA511" s="66">
        <f t="shared" si="394"/>
        <v>9.8411918111915124E-5</v>
      </c>
      <c r="AB511" s="66">
        <f t="shared" si="394"/>
        <v>9.8059271916616994E-5</v>
      </c>
      <c r="AC511" s="66">
        <f t="shared" si="394"/>
        <v>9.7773065850501051E-5</v>
      </c>
    </row>
    <row r="512" spans="1:29" ht="15.75" thickBot="1" x14ac:dyDescent="0.3">
      <c r="A512" s="59" t="str">
        <f>A449</f>
        <v>Emission Cost</v>
      </c>
      <c r="B512" s="68">
        <f>B469*B475/B475/(B472)</f>
        <v>0</v>
      </c>
      <c r="C512" s="68">
        <f t="shared" ref="C512:AC512" si="395">C469*C475/C475/(C472)</f>
        <v>0</v>
      </c>
      <c r="D512" s="68">
        <f t="shared" si="395"/>
        <v>0</v>
      </c>
      <c r="E512" s="68">
        <f t="shared" si="395"/>
        <v>0</v>
      </c>
      <c r="F512" s="68">
        <f t="shared" si="395"/>
        <v>0</v>
      </c>
      <c r="G512" s="68">
        <f t="shared" si="395"/>
        <v>0</v>
      </c>
      <c r="H512" s="68">
        <f t="shared" si="395"/>
        <v>0</v>
      </c>
      <c r="I512" s="68">
        <f t="shared" si="395"/>
        <v>0</v>
      </c>
      <c r="J512" s="68">
        <f t="shared" si="395"/>
        <v>0</v>
      </c>
      <c r="K512" s="68">
        <f t="shared" si="395"/>
        <v>0</v>
      </c>
      <c r="L512" s="68">
        <f t="shared" si="395"/>
        <v>0</v>
      </c>
      <c r="M512" s="68">
        <f t="shared" si="395"/>
        <v>0</v>
      </c>
      <c r="N512" s="68">
        <f t="shared" si="395"/>
        <v>0</v>
      </c>
      <c r="O512" s="68">
        <f t="shared" si="395"/>
        <v>0</v>
      </c>
      <c r="P512" s="68">
        <f t="shared" si="395"/>
        <v>0</v>
      </c>
      <c r="Q512" s="68">
        <f t="shared" si="395"/>
        <v>0</v>
      </c>
      <c r="R512" s="68">
        <f t="shared" si="395"/>
        <v>0</v>
      </c>
      <c r="S512" s="68">
        <f t="shared" si="395"/>
        <v>0</v>
      </c>
      <c r="T512" s="68">
        <f t="shared" si="395"/>
        <v>0</v>
      </c>
      <c r="U512" s="68">
        <f t="shared" si="395"/>
        <v>0</v>
      </c>
      <c r="V512" s="68">
        <f t="shared" si="395"/>
        <v>0</v>
      </c>
      <c r="W512" s="68">
        <f t="shared" si="395"/>
        <v>0</v>
      </c>
      <c r="X512" s="68">
        <f t="shared" si="395"/>
        <v>0</v>
      </c>
      <c r="Y512" s="68">
        <f t="shared" si="395"/>
        <v>0</v>
      </c>
      <c r="Z512" s="68">
        <f t="shared" si="395"/>
        <v>0</v>
      </c>
      <c r="AA512" s="68">
        <f t="shared" si="395"/>
        <v>0</v>
      </c>
      <c r="AB512" s="68">
        <f t="shared" si="395"/>
        <v>0</v>
      </c>
      <c r="AC512" s="68">
        <f t="shared" si="395"/>
        <v>0</v>
      </c>
    </row>
    <row r="513" spans="1:29" ht="15.75" thickBot="1" x14ac:dyDescent="0.3">
      <c r="A513" s="31" t="s">
        <v>210</v>
      </c>
      <c r="B513" s="67">
        <f>B502+B503+B504+B505+B506+B507+B508+B509+B510+B511+B512</f>
        <v>2.49301340667612E-2</v>
      </c>
      <c r="C513" s="67">
        <f t="shared" ref="C513:AC513" si="396">C502+C503+C504+C505+C506+C507+C508+C509+C510+C511+C512</f>
        <v>2.4900880731022784E-2</v>
      </c>
      <c r="D513" s="67">
        <f t="shared" si="396"/>
        <v>2.4859348227219268E-2</v>
      </c>
      <c r="E513" s="67">
        <f t="shared" si="396"/>
        <v>2.4800652105225567E-2</v>
      </c>
      <c r="F513" s="67">
        <f t="shared" si="396"/>
        <v>2.4718255822889945E-2</v>
      </c>
      <c r="G513" s="67">
        <f t="shared" si="396"/>
        <v>2.4603718381701788E-2</v>
      </c>
      <c r="H513" s="67">
        <f t="shared" si="396"/>
        <v>2.4446735846770248E-2</v>
      </c>
      <c r="I513" s="67">
        <f t="shared" si="396"/>
        <v>2.4235848194869881E-2</v>
      </c>
      <c r="J513" s="67">
        <f t="shared" si="396"/>
        <v>2.4033604583017218E-2</v>
      </c>
      <c r="K513" s="67">
        <f t="shared" si="396"/>
        <v>2.3760078951574601E-2</v>
      </c>
      <c r="L513" s="67">
        <f t="shared" si="396"/>
        <v>2.3417471472468081E-2</v>
      </c>
      <c r="M513" s="67">
        <f t="shared" si="396"/>
        <v>2.302084239242996E-2</v>
      </c>
      <c r="N513" s="67">
        <f t="shared" si="396"/>
        <v>2.2598464663464136E-2</v>
      </c>
      <c r="O513" s="67">
        <f t="shared" si="396"/>
        <v>2.2082458138598687E-2</v>
      </c>
      <c r="P513" s="67">
        <f t="shared" si="396"/>
        <v>2.1610420443878453E-2</v>
      </c>
      <c r="Q513" s="67">
        <f t="shared" si="396"/>
        <v>2.1204987128103838E-2</v>
      </c>
      <c r="R513" s="67">
        <f t="shared" si="396"/>
        <v>2.0874427914419631E-2</v>
      </c>
      <c r="S513" s="67">
        <f t="shared" si="396"/>
        <v>2.0615074119348931E-2</v>
      </c>
      <c r="T513" s="67">
        <f t="shared" si="396"/>
        <v>2.0416392229028388E-2</v>
      </c>
      <c r="U513" s="67">
        <f t="shared" si="396"/>
        <v>2.0265652076276057E-2</v>
      </c>
      <c r="V513" s="67">
        <f t="shared" si="396"/>
        <v>2.0150868488109715E-2</v>
      </c>
      <c r="W513" s="67">
        <f t="shared" si="396"/>
        <v>2.0062099378894055E-2</v>
      </c>
      <c r="X513" s="67">
        <f t="shared" si="396"/>
        <v>1.999169319421025E-2</v>
      </c>
      <c r="Y513" s="67">
        <f t="shared" si="396"/>
        <v>1.9934032934983682E-2</v>
      </c>
      <c r="Z513" s="67">
        <f t="shared" si="396"/>
        <v>1.988511954286484E-2</v>
      </c>
      <c r="AA513" s="67">
        <f t="shared" si="396"/>
        <v>1.9842162633472302E-2</v>
      </c>
      <c r="AB513" s="67">
        <f t="shared" si="396"/>
        <v>1.9803241001600684E-2</v>
      </c>
      <c r="AC513" s="67">
        <f t="shared" si="396"/>
        <v>1.976704357882381E-2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99"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Input'!$L$183</f>
        <v>10000000</v>
      </c>
      <c r="C11" s="42">
        <f>'Parameter Input'!$M$183</f>
        <v>4000000</v>
      </c>
      <c r="D11" s="1" t="s">
        <v>15</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Input'!$L$184</f>
        <v>-500000</v>
      </c>
      <c r="C12" s="61">
        <f>'Parameter Input'!$M$184</f>
        <v>-600000</v>
      </c>
      <c r="D12" s="1" t="s">
        <v>15</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Input'!$L$190</f>
        <v>0.06</v>
      </c>
      <c r="C15" s="46">
        <f>'Parameter Input'!$M$190</f>
        <v>0.06</v>
      </c>
      <c r="D15" s="1" t="s">
        <v>57</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Input'!$L$186</f>
        <v>1400000.0000000002</v>
      </c>
      <c r="C17" s="44">
        <f>'Parameter Input'!$M$186</f>
        <v>560000</v>
      </c>
      <c r="D17" s="1" t="s">
        <v>38</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Input'!$L$187</f>
        <v>48.858472727272719</v>
      </c>
      <c r="C19" s="48">
        <f>'Parameter Input'!$M$187</f>
        <v>41.341784615384611</v>
      </c>
      <c r="D19" s="1" t="s">
        <v>60</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Input'!$L$188</f>
        <v>0.2544561408768215</v>
      </c>
      <c r="C20" s="46">
        <f>'Parameter Input'!$M$188</f>
        <v>0.10949010032952979</v>
      </c>
      <c r="D20" s="1" t="s">
        <v>68</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Input'!$L$191</f>
        <v>0</v>
      </c>
      <c r="C21" s="116">
        <f>'Parameter Input'!$M$191</f>
        <v>0</v>
      </c>
      <c r="D21" s="1" t="s">
        <v>76</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Input'!$L$185</f>
        <v>20</v>
      </c>
      <c r="C22" s="44">
        <f>'Parameter Input'!$M$185</f>
        <v>20</v>
      </c>
      <c r="D22" s="1" t="s">
        <v>42</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Input'!$L$189</f>
        <v>1.7857142857142856E-2</v>
      </c>
      <c r="C26" s="73">
        <f>'Parameter Input'!$M$189</f>
        <v>1.7857142857142856E-2</v>
      </c>
      <c r="D26" s="1" t="s">
        <v>57</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53" x14ac:dyDescent="0.25">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1536237.9594715287</v>
      </c>
      <c r="C57" s="62">
        <f t="shared" ref="C57:AC57" si="59">C39*C40*C47</f>
        <v>1490588.6499186431</v>
      </c>
      <c r="D57" s="62">
        <f t="shared" si="59"/>
        <v>1444487.0174955064</v>
      </c>
      <c r="E57" s="62">
        <f t="shared" si="59"/>
        <v>1411592.0125598572</v>
      </c>
      <c r="F57" s="62">
        <f t="shared" si="59"/>
        <v>1377824.0219901975</v>
      </c>
      <c r="G57" s="62">
        <f t="shared" si="59"/>
        <v>1342905.9551219621</v>
      </c>
      <c r="H57" s="62">
        <f t="shared" si="59"/>
        <v>1306517.2767749848</v>
      </c>
      <c r="I57" s="62">
        <f t="shared" si="59"/>
        <v>1268329.4447673161</v>
      </c>
      <c r="J57" s="62">
        <f t="shared" si="59"/>
        <v>1260151.2563238961</v>
      </c>
      <c r="K57" s="62">
        <f t="shared" si="59"/>
        <v>1249158.9920120442</v>
      </c>
      <c r="L57" s="62">
        <f t="shared" si="59"/>
        <v>1235416.7241177468</v>
      </c>
      <c r="M57" s="62">
        <f t="shared" si="59"/>
        <v>1219490.4264371614</v>
      </c>
      <c r="N57" s="62">
        <f t="shared" si="59"/>
        <v>1202469.2980244758</v>
      </c>
      <c r="O57" s="62">
        <f t="shared" si="59"/>
        <v>1156548.0365537594</v>
      </c>
      <c r="P57" s="62">
        <f t="shared" si="59"/>
        <v>1113119.1926938726</v>
      </c>
      <c r="Q57" s="62">
        <f t="shared" si="59"/>
        <v>1072899.2096325678</v>
      </c>
      <c r="R57" s="62">
        <f t="shared" si="59"/>
        <v>1036011.8797505791</v>
      </c>
      <c r="S57" s="62">
        <f t="shared" si="59"/>
        <v>1002134.5214844714</v>
      </c>
      <c r="T57" s="62">
        <f t="shared" si="59"/>
        <v>972674.44199255272</v>
      </c>
      <c r="U57" s="62">
        <f t="shared" si="59"/>
        <v>945082.08247779054</v>
      </c>
      <c r="V57" s="62">
        <f t="shared" si="59"/>
        <v>918851.81719617802</v>
      </c>
      <c r="W57" s="62">
        <f t="shared" si="59"/>
        <v>893581.39059454401</v>
      </c>
      <c r="X57" s="62">
        <f t="shared" si="59"/>
        <v>868971.42681532865</v>
      </c>
      <c r="Y57" s="62">
        <f t="shared" si="59"/>
        <v>849093.10405644623</v>
      </c>
      <c r="Z57" s="62">
        <f t="shared" si="59"/>
        <v>829508.39653284661</v>
      </c>
      <c r="AA57" s="62">
        <f t="shared" si="59"/>
        <v>810119.48053092149</v>
      </c>
      <c r="AB57" s="62">
        <f t="shared" si="59"/>
        <v>790860.42201772577</v>
      </c>
      <c r="AC57" s="62">
        <f t="shared" si="59"/>
        <v>771687.16536570783</v>
      </c>
    </row>
    <row r="58" spans="1:29" ht="15.75" thickBot="1" x14ac:dyDescent="0.3">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75" thickBot="1" x14ac:dyDescent="0.3">
      <c r="A59" s="31" t="s">
        <v>209</v>
      </c>
      <c r="B59" s="64">
        <f>B50+B51+B52+B53+B54+B55+B56+B57+B58</f>
        <v>5386249.3735223245</v>
      </c>
      <c r="C59" s="64">
        <f t="shared" ref="C59:AC59" si="61">C50+C51+C52+C53+C54+C55+C56+C57+C58</f>
        <v>5332845.4565604571</v>
      </c>
      <c r="D59" s="64">
        <f t="shared" si="61"/>
        <v>5275733.3932534037</v>
      </c>
      <c r="E59" s="64">
        <f t="shared" si="61"/>
        <v>5227276.2022981923</v>
      </c>
      <c r="F59" s="64">
        <f t="shared" si="61"/>
        <v>5171659.1833221614</v>
      </c>
      <c r="G59" s="64">
        <f t="shared" si="61"/>
        <v>5106363.0355261536</v>
      </c>
      <c r="H59" s="64">
        <f t="shared" si="61"/>
        <v>5028327.1446734685</v>
      </c>
      <c r="I59" s="64">
        <f t="shared" si="61"/>
        <v>4934169.921792997</v>
      </c>
      <c r="J59" s="64">
        <f t="shared" si="61"/>
        <v>4852828.9269876983</v>
      </c>
      <c r="K59" s="64">
        <f t="shared" si="61"/>
        <v>4749700.474182372</v>
      </c>
      <c r="L59" s="64">
        <f t="shared" si="61"/>
        <v>4625397.4248656109</v>
      </c>
      <c r="M59" s="64">
        <f t="shared" si="61"/>
        <v>4484451.9083853289</v>
      </c>
      <c r="N59" s="64">
        <f t="shared" si="61"/>
        <v>4335448.5036267526</v>
      </c>
      <c r="O59" s="64">
        <f t="shared" si="61"/>
        <v>4160142.1301427074</v>
      </c>
      <c r="P59" s="64">
        <f t="shared" si="61"/>
        <v>3998931.3556115869</v>
      </c>
      <c r="Q59" s="64">
        <f t="shared" si="61"/>
        <v>3858613.5039491998</v>
      </c>
      <c r="R59" s="64">
        <f t="shared" si="61"/>
        <v>3741565.7078303411</v>
      </c>
      <c r="S59" s="64">
        <f t="shared" si="61"/>
        <v>3646522.3560501216</v>
      </c>
      <c r="T59" s="64">
        <f t="shared" si="61"/>
        <v>3572100.3658055598</v>
      </c>
      <c r="U59" s="64">
        <f t="shared" si="61"/>
        <v>3512360.8905515298</v>
      </c>
      <c r="V59" s="64">
        <f t="shared" si="61"/>
        <v>3463600.2446115073</v>
      </c>
      <c r="W59" s="64">
        <f t="shared" si="61"/>
        <v>3422759.9401494907</v>
      </c>
      <c r="X59" s="64">
        <f t="shared" si="61"/>
        <v>3387494.7330736415</v>
      </c>
      <c r="Y59" s="64">
        <f t="shared" si="61"/>
        <v>3360373.1659960165</v>
      </c>
      <c r="Z59" s="64">
        <f t="shared" si="61"/>
        <v>3335887.0356404353</v>
      </c>
      <c r="AA59" s="64">
        <f t="shared" si="61"/>
        <v>3313191.61467887</v>
      </c>
      <c r="AB59" s="64">
        <f t="shared" si="61"/>
        <v>3291706.6334521673</v>
      </c>
      <c r="AC59" s="64">
        <f t="shared" si="61"/>
        <v>3271037.001107553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8.606375123089796</v>
      </c>
      <c r="C69" s="66">
        <f t="shared" ref="C69:AC69" si="70">C39*C40*C47/C47</f>
        <v>8.3506366942220893</v>
      </c>
      <c r="D69" s="66">
        <f t="shared" si="70"/>
        <v>8.0923642436723053</v>
      </c>
      <c r="E69" s="66">
        <f t="shared" si="70"/>
        <v>7.9080785017358952</v>
      </c>
      <c r="F69" s="66">
        <f t="shared" si="70"/>
        <v>7.7189020839786977</v>
      </c>
      <c r="G69" s="66">
        <f t="shared" si="70"/>
        <v>7.5232826617476869</v>
      </c>
      <c r="H69" s="66">
        <f t="shared" si="70"/>
        <v>7.3194245197478143</v>
      </c>
      <c r="I69" s="66">
        <f t="shared" si="70"/>
        <v>7.1054870855311822</v>
      </c>
      <c r="J69" s="66">
        <f t="shared" si="70"/>
        <v>7.059670903775328</v>
      </c>
      <c r="K69" s="66">
        <f t="shared" si="70"/>
        <v>6.9980895911038887</v>
      </c>
      <c r="L69" s="66">
        <f t="shared" si="70"/>
        <v>6.9211020958977416</v>
      </c>
      <c r="M69" s="66">
        <f t="shared" si="70"/>
        <v>6.8318791397039851</v>
      </c>
      <c r="N69" s="66">
        <f t="shared" si="70"/>
        <v>6.7365226780082681</v>
      </c>
      <c r="O69" s="66">
        <f t="shared" si="70"/>
        <v>6.4792607089846461</v>
      </c>
      <c r="P69" s="66">
        <f t="shared" si="70"/>
        <v>6.2359618638312195</v>
      </c>
      <c r="Q69" s="66">
        <f t="shared" si="70"/>
        <v>6.0106398298743295</v>
      </c>
      <c r="R69" s="66">
        <f t="shared" si="70"/>
        <v>5.803988121851984</v>
      </c>
      <c r="S69" s="66">
        <f t="shared" si="70"/>
        <v>5.6141989999130049</v>
      </c>
      <c r="T69" s="66">
        <f t="shared" si="70"/>
        <v>5.4491565377734048</v>
      </c>
      <c r="U69" s="66">
        <f t="shared" si="70"/>
        <v>5.2945774928727758</v>
      </c>
      <c r="V69" s="66">
        <f t="shared" si="70"/>
        <v>5.1476292279897926</v>
      </c>
      <c r="W69" s="66">
        <f t="shared" si="70"/>
        <v>5.0060582106136922</v>
      </c>
      <c r="X69" s="66">
        <f t="shared" si="70"/>
        <v>4.8681872650718692</v>
      </c>
      <c r="Y69" s="66">
        <f t="shared" si="70"/>
        <v>4.7568241123610431</v>
      </c>
      <c r="Z69" s="66">
        <f t="shared" si="70"/>
        <v>4.6471058629291129</v>
      </c>
      <c r="AA69" s="66">
        <f t="shared" si="70"/>
        <v>4.5384844847670669</v>
      </c>
      <c r="AB69" s="66">
        <f t="shared" si="70"/>
        <v>4.4305905995390802</v>
      </c>
      <c r="AC69" s="66">
        <f t="shared" si="70"/>
        <v>4.3231773970067664</v>
      </c>
    </row>
    <row r="70" spans="1:29" ht="15.75" thickBot="1" x14ac:dyDescent="0.3">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75" thickBot="1" x14ac:dyDescent="0.3">
      <c r="A71" s="31" t="s">
        <v>63</v>
      </c>
      <c r="B71" s="76">
        <f>B62+B63+B64-B65+B66+B67+B68+B69+B70</f>
        <v>30.34600513360305</v>
      </c>
      <c r="C71" s="76">
        <f t="shared" ref="C71:AC71" si="73">C62+C63+C64-C65+C66+C67+C68+C69+C70</f>
        <v>30.046823525973537</v>
      </c>
      <c r="D71" s="76">
        <f t="shared" si="73"/>
        <v>29.726867989239345</v>
      </c>
      <c r="E71" s="76">
        <f t="shared" si="73"/>
        <v>29.455399132347409</v>
      </c>
      <c r="F71" s="76">
        <f t="shared" si="73"/>
        <v>29.143819194106339</v>
      </c>
      <c r="G71" s="76">
        <f t="shared" si="73"/>
        <v>28.778014444548873</v>
      </c>
      <c r="H71" s="76">
        <f t="shared" si="73"/>
        <v>28.340838585430184</v>
      </c>
      <c r="I71" s="76">
        <f t="shared" si="73"/>
        <v>27.81334714072166</v>
      </c>
      <c r="J71" s="76">
        <f t="shared" si="73"/>
        <v>27.357655293072927</v>
      </c>
      <c r="K71" s="76">
        <f t="shared" si="73"/>
        <v>26.77990485718875</v>
      </c>
      <c r="L71" s="76">
        <f t="shared" si="73"/>
        <v>26.083529230764317</v>
      </c>
      <c r="M71" s="76">
        <f t="shared" si="73"/>
        <v>25.293918494180108</v>
      </c>
      <c r="N71" s="76">
        <f t="shared" si="73"/>
        <v>24.45916552634494</v>
      </c>
      <c r="O71" s="76">
        <f t="shared" si="73"/>
        <v>23.477056991420326</v>
      </c>
      <c r="P71" s="76">
        <f t="shared" si="73"/>
        <v>22.573915397408442</v>
      </c>
      <c r="Q71" s="76">
        <f t="shared" si="73"/>
        <v>21.787820990336247</v>
      </c>
      <c r="R71" s="76">
        <f t="shared" si="73"/>
        <v>21.132091040090536</v>
      </c>
      <c r="S71" s="76">
        <f t="shared" si="73"/>
        <v>20.599635287820401</v>
      </c>
      <c r="T71" s="76">
        <f t="shared" si="73"/>
        <v>20.182705370483923</v>
      </c>
      <c r="U71" s="76">
        <f t="shared" si="73"/>
        <v>19.848030439088792</v>
      </c>
      <c r="V71" s="76">
        <f t="shared" si="73"/>
        <v>19.57486155427074</v>
      </c>
      <c r="W71" s="76">
        <f t="shared" si="73"/>
        <v>19.346064330393897</v>
      </c>
      <c r="X71" s="76">
        <f t="shared" si="73"/>
        <v>19.148500145095021</v>
      </c>
      <c r="Y71" s="76">
        <f t="shared" si="73"/>
        <v>18.996558592839417</v>
      </c>
      <c r="Z71" s="76">
        <f t="shared" si="73"/>
        <v>18.859381391967815</v>
      </c>
      <c r="AA71" s="76">
        <f t="shared" si="73"/>
        <v>18.732236176496862</v>
      </c>
      <c r="AB71" s="76">
        <f t="shared" si="73"/>
        <v>18.611872136011129</v>
      </c>
      <c r="AC71" s="76">
        <f t="shared" si="73"/>
        <v>18.496075876377439</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3.8421317513793731E-3</v>
      </c>
      <c r="C81" s="66">
        <f t="shared" ref="C81:AC81" si="82">C39*C40*C47/C47/(C44)</f>
        <v>3.7279628099205755E-3</v>
      </c>
      <c r="D81" s="66">
        <f t="shared" si="82"/>
        <v>3.6126626087822794E-3</v>
      </c>
      <c r="E81" s="66">
        <f t="shared" si="82"/>
        <v>3.5303921882749532E-3</v>
      </c>
      <c r="F81" s="66">
        <f t="shared" si="82"/>
        <v>3.4459384303476329E-3</v>
      </c>
      <c r="G81" s="66">
        <f t="shared" si="82"/>
        <v>3.3586083311373601E-3</v>
      </c>
      <c r="H81" s="66">
        <f t="shared" si="82"/>
        <v>3.2676002320302742E-3</v>
      </c>
      <c r="I81" s="66">
        <f t="shared" si="82"/>
        <v>3.1720924488978491E-3</v>
      </c>
      <c r="J81" s="66">
        <f t="shared" si="82"/>
        <v>3.1516387963282716E-3</v>
      </c>
      <c r="K81" s="66">
        <f t="shared" si="82"/>
        <v>3.1241471388856645E-3</v>
      </c>
      <c r="L81" s="66">
        <f t="shared" si="82"/>
        <v>3.0897777213829206E-3</v>
      </c>
      <c r="M81" s="66">
        <f t="shared" si="82"/>
        <v>3.0499460445107076E-3</v>
      </c>
      <c r="N81" s="66">
        <f t="shared" si="82"/>
        <v>3.0073761955394054E-3</v>
      </c>
      <c r="O81" s="66">
        <f t="shared" si="82"/>
        <v>2.8925271022252883E-3</v>
      </c>
      <c r="P81" s="66">
        <f t="shared" si="82"/>
        <v>2.7839115463532231E-3</v>
      </c>
      <c r="Q81" s="66">
        <f t="shared" si="82"/>
        <v>2.6833213526224683E-3</v>
      </c>
      <c r="R81" s="66">
        <f t="shared" si="82"/>
        <v>2.5910661258267786E-3</v>
      </c>
      <c r="S81" s="66">
        <f t="shared" si="82"/>
        <v>2.5063388392468772E-3</v>
      </c>
      <c r="T81" s="66">
        <f t="shared" si="82"/>
        <v>2.4326591686488416E-3</v>
      </c>
      <c r="U81" s="66">
        <f t="shared" si="82"/>
        <v>2.3636506664610605E-3</v>
      </c>
      <c r="V81" s="66">
        <f t="shared" si="82"/>
        <v>2.2980487624954431E-3</v>
      </c>
      <c r="W81" s="66">
        <f t="shared" si="82"/>
        <v>2.2348474154525412E-3</v>
      </c>
      <c r="X81" s="66">
        <f t="shared" si="82"/>
        <v>2.1732978861927986E-3</v>
      </c>
      <c r="Y81" s="66">
        <f t="shared" si="82"/>
        <v>2.1235821930183228E-3</v>
      </c>
      <c r="Z81" s="66">
        <f t="shared" si="82"/>
        <v>2.0746008316647824E-3</v>
      </c>
      <c r="AA81" s="66">
        <f t="shared" si="82"/>
        <v>2.0261091449852975E-3</v>
      </c>
      <c r="AB81" s="66">
        <f t="shared" si="82"/>
        <v>1.9779422319370892E-3</v>
      </c>
      <c r="AC81" s="66">
        <f t="shared" si="82"/>
        <v>1.9299899093780208E-3</v>
      </c>
    </row>
    <row r="82" spans="1:29" x14ac:dyDescent="0.25">
      <c r="A82" s="59" t="str">
        <f>A45</f>
        <v>Market failure (av. utilization)</v>
      </c>
      <c r="B82" s="66">
        <f t="shared" ref="B82:AC82" si="83">B71/B45-B71/B44</f>
        <v>7.6203695927016587E-3</v>
      </c>
      <c r="C82" s="66">
        <f t="shared" si="83"/>
        <v>7.545240282750049E-3</v>
      </c>
      <c r="D82" s="66">
        <f t="shared" si="83"/>
        <v>7.4648943053335377E-3</v>
      </c>
      <c r="E82" s="66">
        <f t="shared" si="83"/>
        <v>7.3967241124756316E-3</v>
      </c>
      <c r="F82" s="66">
        <f t="shared" si="83"/>
        <v>7.3184813824485762E-3</v>
      </c>
      <c r="G82" s="66">
        <f t="shared" si="83"/>
        <v>7.2266219308297925E-3</v>
      </c>
      <c r="H82" s="66">
        <f t="shared" si="83"/>
        <v>7.1168400465644981E-3</v>
      </c>
      <c r="I82" s="66">
        <f t="shared" si="83"/>
        <v>6.9843784672571126E-3</v>
      </c>
      <c r="J82" s="66">
        <f t="shared" si="83"/>
        <v>6.8699469206935336E-3</v>
      </c>
      <c r="K82" s="66">
        <f t="shared" si="83"/>
        <v>6.7248645009681546E-3</v>
      </c>
      <c r="L82" s="66">
        <f t="shared" si="83"/>
        <v>6.5499933894218407E-3</v>
      </c>
      <c r="M82" s="66">
        <f t="shared" si="83"/>
        <v>6.3517094432929966E-3</v>
      </c>
      <c r="N82" s="66">
        <f t="shared" si="83"/>
        <v>6.1420895573968855E-3</v>
      </c>
      <c r="O82" s="66">
        <f t="shared" si="83"/>
        <v>5.8954663203901487E-3</v>
      </c>
      <c r="P82" s="66">
        <f t="shared" si="83"/>
        <v>5.6686729513581464E-3</v>
      </c>
      <c r="Q82" s="66">
        <f t="shared" si="83"/>
        <v>5.4712720120822043E-3</v>
      </c>
      <c r="R82" s="66">
        <f t="shared" si="83"/>
        <v>5.306607683058448E-3</v>
      </c>
      <c r="S82" s="66">
        <f t="shared" si="83"/>
        <v>5.1728994863388267E-3</v>
      </c>
      <c r="T82" s="66">
        <f t="shared" si="83"/>
        <v>5.0682016834362516E-3</v>
      </c>
      <c r="U82" s="66">
        <f t="shared" si="83"/>
        <v>4.9841594294586788E-3</v>
      </c>
      <c r="V82" s="66">
        <f t="shared" si="83"/>
        <v>4.9155623322666465E-3</v>
      </c>
      <c r="W82" s="66">
        <f t="shared" si="83"/>
        <v>4.8581076722529291E-3</v>
      </c>
      <c r="X82" s="66">
        <f t="shared" si="83"/>
        <v>4.808496130185691E-3</v>
      </c>
      <c r="Y82" s="66">
        <f t="shared" si="83"/>
        <v>4.7703411644965041E-3</v>
      </c>
      <c r="Z82" s="66">
        <f t="shared" si="83"/>
        <v>4.7358937647240581E-3</v>
      </c>
      <c r="AA82" s="66">
        <f t="shared" si="83"/>
        <v>4.7039655577140547E-3</v>
      </c>
      <c r="AB82" s="66">
        <f t="shared" si="83"/>
        <v>4.6737402127260078E-3</v>
      </c>
      <c r="AC82" s="66">
        <f t="shared" si="83"/>
        <v>4.6446619109206718E-3</v>
      </c>
    </row>
    <row r="83" spans="1:29" x14ac:dyDescent="0.25">
      <c r="A83" s="59" t="str">
        <f>A46</f>
        <v>Payload loss (fuel)</v>
      </c>
      <c r="B83" s="66">
        <f>B71/(B44-B46)-B71/B44</f>
        <v>2.4631497673379202E-4</v>
      </c>
      <c r="C83" s="66">
        <f t="shared" ref="C83:AC83" si="84">C71/(C44-C46)-C71/C44</f>
        <v>2.4388655459394067E-4</v>
      </c>
      <c r="D83" s="66">
        <f t="shared" si="84"/>
        <v>2.4128951289966935E-4</v>
      </c>
      <c r="E83" s="66">
        <f t="shared" si="84"/>
        <v>2.3908603191840488E-4</v>
      </c>
      <c r="F83" s="66">
        <f t="shared" si="84"/>
        <v>2.3655697397813487E-4</v>
      </c>
      <c r="G83" s="66">
        <f t="shared" si="84"/>
        <v>2.3358777958237646E-4</v>
      </c>
      <c r="H83" s="66">
        <f t="shared" si="84"/>
        <v>2.3003927423238639E-4</v>
      </c>
      <c r="I83" s="66">
        <f t="shared" si="84"/>
        <v>2.2575768783053389E-4</v>
      </c>
      <c r="J83" s="66">
        <f t="shared" si="84"/>
        <v>2.220588903658529E-4</v>
      </c>
      <c r="K83" s="66">
        <f t="shared" si="84"/>
        <v>2.1736935760705185E-4</v>
      </c>
      <c r="L83" s="66">
        <f t="shared" si="84"/>
        <v>2.1171695804191731E-4</v>
      </c>
      <c r="M83" s="66">
        <f t="shared" si="84"/>
        <v>2.0530777998522924E-4</v>
      </c>
      <c r="N83" s="66">
        <f t="shared" si="84"/>
        <v>1.9853218771383879E-4</v>
      </c>
      <c r="O83" s="66">
        <f t="shared" si="84"/>
        <v>1.9056052752776213E-4</v>
      </c>
      <c r="P83" s="66">
        <f t="shared" si="84"/>
        <v>1.8322983277117323E-4</v>
      </c>
      <c r="Q83" s="66">
        <f t="shared" si="84"/>
        <v>1.7684919635013209E-4</v>
      </c>
      <c r="R83" s="66">
        <f t="shared" si="84"/>
        <v>1.7152671298774867E-4</v>
      </c>
      <c r="S83" s="66">
        <f t="shared" si="84"/>
        <v>1.672048318816597E-4</v>
      </c>
      <c r="T83" s="66">
        <f t="shared" si="84"/>
        <v>1.638206604747082E-4</v>
      </c>
      <c r="U83" s="66">
        <f t="shared" si="84"/>
        <v>1.6110414317442243E-4</v>
      </c>
      <c r="V83" s="66">
        <f t="shared" si="84"/>
        <v>1.5888686326518374E-4</v>
      </c>
      <c r="W83" s="66">
        <f t="shared" si="84"/>
        <v>1.5702974294150816E-4</v>
      </c>
      <c r="X83" s="66">
        <f t="shared" si="84"/>
        <v>1.5542613754135522E-4</v>
      </c>
      <c r="Y83" s="66">
        <f t="shared" si="84"/>
        <v>1.5419284572109823E-4</v>
      </c>
      <c r="Z83" s="66">
        <f t="shared" si="84"/>
        <v>1.5307939441532199E-4</v>
      </c>
      <c r="AA83" s="66">
        <f t="shared" si="84"/>
        <v>1.5204737156247587E-4</v>
      </c>
      <c r="AB83" s="66">
        <f t="shared" si="84"/>
        <v>1.5107039071437546E-4</v>
      </c>
      <c r="AC83" s="66">
        <f t="shared" si="84"/>
        <v>1.5013048600955731E-4</v>
      </c>
    </row>
    <row r="84" spans="1:29" ht="15.75" thickBot="1" x14ac:dyDescent="0.3">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75" thickBot="1" x14ac:dyDescent="0.3">
      <c r="A85" s="31" t="s">
        <v>210</v>
      </c>
      <c r="B85" s="77">
        <f>B74+B75+B76+B77+B78+B79+B80+B81+B82+B83+B84</f>
        <v>2.133769640797668E-2</v>
      </c>
      <c r="C85" s="77">
        <f t="shared" ref="C85:AC85" si="86">C74+C75+C76+C77+C78+C79+C80+C81+C82+C83+C84</f>
        <v>2.1126575458193471E-2</v>
      </c>
      <c r="D85" s="77">
        <f t="shared" si="86"/>
        <v>2.090079514589778E-2</v>
      </c>
      <c r="E85" s="77">
        <f t="shared" si="86"/>
        <v>2.0709230018088998E-2</v>
      </c>
      <c r="F85" s="77">
        <f t="shared" si="86"/>
        <v>2.0489360043406908E-2</v>
      </c>
      <c r="G85" s="77">
        <f t="shared" si="86"/>
        <v>2.023122570562564E-2</v>
      </c>
      <c r="H85" s="77">
        <f t="shared" si="86"/>
        <v>1.9922727521760941E-2</v>
      </c>
      <c r="I85" s="77">
        <f t="shared" si="86"/>
        <v>1.9550497103949682E-2</v>
      </c>
      <c r="J85" s="77">
        <f t="shared" si="86"/>
        <v>1.9228932899363955E-2</v>
      </c>
      <c r="K85" s="77">
        <f t="shared" si="86"/>
        <v>1.8821236645145761E-2</v>
      </c>
      <c r="L85" s="77">
        <f t="shared" si="86"/>
        <v>1.8329831157951983E-2</v>
      </c>
      <c r="M85" s="77">
        <f t="shared" si="86"/>
        <v>1.7772633240648497E-2</v>
      </c>
      <c r="N85" s="77">
        <f t="shared" si="86"/>
        <v>1.718358018755458E-2</v>
      </c>
      <c r="O85" s="77">
        <f t="shared" si="86"/>
        <v>1.6490543980127566E-2</v>
      </c>
      <c r="P85" s="77">
        <f t="shared" si="86"/>
        <v>1.5853231704726523E-2</v>
      </c>
      <c r="Q85" s="77">
        <f t="shared" si="86"/>
        <v>1.5298515125872311E-2</v>
      </c>
      <c r="R85" s="77">
        <f t="shared" si="86"/>
        <v>1.4835791728555052E-2</v>
      </c>
      <c r="S85" s="77">
        <f t="shared" si="86"/>
        <v>1.4460058189894459E-2</v>
      </c>
      <c r="T85" s="77">
        <f t="shared" si="86"/>
        <v>1.4165846788202577E-2</v>
      </c>
      <c r="U85" s="77">
        <f t="shared" si="86"/>
        <v>1.3929679565409036E-2</v>
      </c>
      <c r="V85" s="77">
        <f t="shared" si="86"/>
        <v>1.3736914793299705E-2</v>
      </c>
      <c r="W85" s="77">
        <f t="shared" si="86"/>
        <v>1.357546139516015E-2</v>
      </c>
      <c r="X85" s="77">
        <f t="shared" si="86"/>
        <v>1.3436047950684333E-2</v>
      </c>
      <c r="Y85" s="77">
        <f t="shared" si="86"/>
        <v>1.3328828643060781E-2</v>
      </c>
      <c r="Z85" s="77">
        <f t="shared" si="86"/>
        <v>1.3232027970164879E-2</v>
      </c>
      <c r="AA85" s="77">
        <f t="shared" si="86"/>
        <v>1.3142306483395353E-2</v>
      </c>
      <c r="AB85" s="77">
        <f t="shared" si="86"/>
        <v>1.305737021091379E-2</v>
      </c>
      <c r="AC85" s="77">
        <f t="shared" si="86"/>
        <v>1.2975657245638596E-2</v>
      </c>
    </row>
    <row r="87" spans="1:29" x14ac:dyDescent="0.25">
      <c r="B87" s="40"/>
    </row>
    <row r="107" spans="1:2" s="3" customFormat="1" ht="21" x14ac:dyDescent="0.35">
      <c r="A107" s="2" t="str">
        <f>'Parameter Input'!A158</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Input'!$L$183</f>
        <v>10000000</v>
      </c>
      <c r="C117" s="42">
        <f>'Parameter Input'!$M$183</f>
        <v>4000000</v>
      </c>
      <c r="D117" s="1" t="s">
        <v>15</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Input'!$L$184</f>
        <v>-500000</v>
      </c>
      <c r="C118" s="61">
        <f>'Parameter Input'!$M$184</f>
        <v>-600000</v>
      </c>
      <c r="D118" s="1" t="s">
        <v>15</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Input'!$L$190</f>
        <v>0.06</v>
      </c>
      <c r="C121" s="46">
        <f>'Parameter Input'!$M$190</f>
        <v>0.06</v>
      </c>
      <c r="D121" s="1" t="s">
        <v>57</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Input'!$L$186</f>
        <v>1400000.0000000002</v>
      </c>
      <c r="C123" s="44">
        <f>'Parameter Input'!$M$186</f>
        <v>560000</v>
      </c>
      <c r="D123" s="1" t="s">
        <v>38</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Input'!$L$187</f>
        <v>48.858472727272719</v>
      </c>
      <c r="C125" s="48">
        <f>'Parameter Input'!$M$187</f>
        <v>41.341784615384611</v>
      </c>
      <c r="D125" s="1" t="s">
        <v>60</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Input'!$L$188</f>
        <v>0.2544561408768215</v>
      </c>
      <c r="C126" s="46">
        <f>'Parameter Input'!$M$188</f>
        <v>0.10949010032952979</v>
      </c>
      <c r="D126" s="1" t="s">
        <v>68</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Input'!$L$191</f>
        <v>0</v>
      </c>
      <c r="C127" s="116">
        <f>'Parameter Input'!$M$191</f>
        <v>0</v>
      </c>
      <c r="D127" s="1" t="s">
        <v>76</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Input'!$L$185</f>
        <v>20</v>
      </c>
      <c r="C128" s="44">
        <f>'Parameter Input'!$M$185</f>
        <v>20</v>
      </c>
      <c r="D128" s="1" t="s">
        <v>42</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Input'!$L$189</f>
        <v>1.7857142857142856E-2</v>
      </c>
      <c r="C132" s="73">
        <f>'Parameter Input'!$M$189</f>
        <v>1.7857142857142856E-2</v>
      </c>
      <c r="D132" s="1" t="s">
        <v>57</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25">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1536237.9594715287</v>
      </c>
      <c r="C163" s="62">
        <f t="shared" ref="C163:AC163" si="163">C145*C146*C153</f>
        <v>1490588.6499186431</v>
      </c>
      <c r="D163" s="62">
        <f t="shared" si="163"/>
        <v>1444487.0174955064</v>
      </c>
      <c r="E163" s="62">
        <f t="shared" si="163"/>
        <v>1411592.0125598572</v>
      </c>
      <c r="F163" s="62">
        <f t="shared" si="163"/>
        <v>1377824.0219901975</v>
      </c>
      <c r="G163" s="62">
        <f t="shared" si="163"/>
        <v>1342905.9551219621</v>
      </c>
      <c r="H163" s="62">
        <f t="shared" si="163"/>
        <v>1306517.2767749848</v>
      </c>
      <c r="I163" s="62">
        <f t="shared" si="163"/>
        <v>1268329.4447673161</v>
      </c>
      <c r="J163" s="62">
        <f t="shared" si="163"/>
        <v>1260151.2563238961</v>
      </c>
      <c r="K163" s="62">
        <f t="shared" si="163"/>
        <v>1249158.9920120442</v>
      </c>
      <c r="L163" s="62">
        <f t="shared" si="163"/>
        <v>1235416.7241177468</v>
      </c>
      <c r="M163" s="62">
        <f t="shared" si="163"/>
        <v>1219490.4264371614</v>
      </c>
      <c r="N163" s="62">
        <f t="shared" si="163"/>
        <v>1202469.2980244758</v>
      </c>
      <c r="O163" s="62">
        <f t="shared" si="163"/>
        <v>1156548.0365537594</v>
      </c>
      <c r="P163" s="62">
        <f t="shared" si="163"/>
        <v>1113119.1926938726</v>
      </c>
      <c r="Q163" s="62">
        <f t="shared" si="163"/>
        <v>1072899.2096325678</v>
      </c>
      <c r="R163" s="62">
        <f t="shared" si="163"/>
        <v>1036011.8797505791</v>
      </c>
      <c r="S163" s="62">
        <f t="shared" si="163"/>
        <v>1002134.5214844714</v>
      </c>
      <c r="T163" s="62">
        <f t="shared" si="163"/>
        <v>972674.44199255272</v>
      </c>
      <c r="U163" s="62">
        <f t="shared" si="163"/>
        <v>945082.08247779054</v>
      </c>
      <c r="V163" s="62">
        <f t="shared" si="163"/>
        <v>918851.81719617802</v>
      </c>
      <c r="W163" s="62">
        <f t="shared" si="163"/>
        <v>893581.39059454401</v>
      </c>
      <c r="X163" s="62">
        <f t="shared" si="163"/>
        <v>868971.42681532865</v>
      </c>
      <c r="Y163" s="62">
        <f t="shared" si="163"/>
        <v>849093.10405644623</v>
      </c>
      <c r="Z163" s="62">
        <f t="shared" si="163"/>
        <v>829508.39653284661</v>
      </c>
      <c r="AA163" s="62">
        <f t="shared" si="163"/>
        <v>810119.48053092149</v>
      </c>
      <c r="AB163" s="62">
        <f t="shared" si="163"/>
        <v>790860.42201772577</v>
      </c>
      <c r="AC163" s="62">
        <f t="shared" si="163"/>
        <v>771687.16536570783</v>
      </c>
    </row>
    <row r="164" spans="1:29" ht="15.75" thickBot="1" x14ac:dyDescent="0.3">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75" thickBot="1" x14ac:dyDescent="0.3">
      <c r="A165" s="31" t="s">
        <v>209</v>
      </c>
      <c r="B165" s="64">
        <f>B156+B157+B158+B159+B160+B161+B162+B163+B164</f>
        <v>5402872.4258040879</v>
      </c>
      <c r="C165" s="64">
        <f t="shared" ref="C165:AC165" si="165">C156+C157+C158+C159+C160+C161+C162+C163+C164</f>
        <v>5349468.5088422196</v>
      </c>
      <c r="D165" s="64">
        <f t="shared" si="165"/>
        <v>5292356.4455351662</v>
      </c>
      <c r="E165" s="64">
        <f t="shared" si="165"/>
        <v>5243899.2545799557</v>
      </c>
      <c r="F165" s="64">
        <f t="shared" si="165"/>
        <v>5188282.2356039248</v>
      </c>
      <c r="G165" s="64">
        <f t="shared" si="165"/>
        <v>5122986.087807917</v>
      </c>
      <c r="H165" s="64">
        <f t="shared" si="165"/>
        <v>5044950.1969552319</v>
      </c>
      <c r="I165" s="64">
        <f t="shared" si="165"/>
        <v>4950792.9740747605</v>
      </c>
      <c r="J165" s="64">
        <f t="shared" si="165"/>
        <v>4869451.9792694608</v>
      </c>
      <c r="K165" s="64">
        <f t="shared" si="165"/>
        <v>4766323.5264641354</v>
      </c>
      <c r="L165" s="64">
        <f t="shared" si="165"/>
        <v>4642020.4771473734</v>
      </c>
      <c r="M165" s="64">
        <f t="shared" si="165"/>
        <v>4501074.9606670924</v>
      </c>
      <c r="N165" s="64">
        <f t="shared" si="165"/>
        <v>4352071.5559085151</v>
      </c>
      <c r="O165" s="64">
        <f t="shared" si="165"/>
        <v>4176765.1824244708</v>
      </c>
      <c r="P165" s="64">
        <f t="shared" si="165"/>
        <v>4015554.4078933494</v>
      </c>
      <c r="Q165" s="64">
        <f t="shared" si="165"/>
        <v>3875236.5562309632</v>
      </c>
      <c r="R165" s="64">
        <f t="shared" si="165"/>
        <v>3758188.7601121035</v>
      </c>
      <c r="S165" s="64">
        <f t="shared" si="165"/>
        <v>3663145.4083318845</v>
      </c>
      <c r="T165" s="64">
        <f t="shared" si="165"/>
        <v>3588723.4180873232</v>
      </c>
      <c r="U165" s="64">
        <f t="shared" si="165"/>
        <v>3528983.9428332923</v>
      </c>
      <c r="V165" s="64">
        <f t="shared" si="165"/>
        <v>3480223.2968932698</v>
      </c>
      <c r="W165" s="64">
        <f t="shared" si="165"/>
        <v>3439382.9924312532</v>
      </c>
      <c r="X165" s="64">
        <f t="shared" si="165"/>
        <v>3404117.7853554045</v>
      </c>
      <c r="Y165" s="64">
        <f t="shared" si="165"/>
        <v>3376996.2182777794</v>
      </c>
      <c r="Z165" s="64">
        <f t="shared" si="165"/>
        <v>3352510.0879221978</v>
      </c>
      <c r="AA165" s="64">
        <f t="shared" si="165"/>
        <v>3329814.6669606324</v>
      </c>
      <c r="AB165" s="64">
        <f t="shared" si="165"/>
        <v>3308329.6857339297</v>
      </c>
      <c r="AC165" s="64">
        <f t="shared" si="165"/>
        <v>3287660.0533893164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8.606375123089796</v>
      </c>
      <c r="C175" s="66">
        <f t="shared" ref="C175:AC175" si="174">C145*C146*C153/C153</f>
        <v>8.3506366942220893</v>
      </c>
      <c r="D175" s="66">
        <f t="shared" si="174"/>
        <v>8.0923642436723053</v>
      </c>
      <c r="E175" s="66">
        <f t="shared" si="174"/>
        <v>7.9080785017358952</v>
      </c>
      <c r="F175" s="66">
        <f t="shared" si="174"/>
        <v>7.7189020839786977</v>
      </c>
      <c r="G175" s="66">
        <f t="shared" si="174"/>
        <v>7.5232826617476869</v>
      </c>
      <c r="H175" s="66">
        <f t="shared" si="174"/>
        <v>7.3194245197478143</v>
      </c>
      <c r="I175" s="66">
        <f t="shared" si="174"/>
        <v>7.1054870855311822</v>
      </c>
      <c r="J175" s="66">
        <f t="shared" si="174"/>
        <v>7.059670903775328</v>
      </c>
      <c r="K175" s="66">
        <f t="shared" si="174"/>
        <v>6.9980895911038887</v>
      </c>
      <c r="L175" s="66">
        <f t="shared" si="174"/>
        <v>6.9211020958977416</v>
      </c>
      <c r="M175" s="66">
        <f t="shared" si="174"/>
        <v>6.8318791397039851</v>
      </c>
      <c r="N175" s="66">
        <f t="shared" si="174"/>
        <v>6.7365226780082681</v>
      </c>
      <c r="O175" s="66">
        <f t="shared" si="174"/>
        <v>6.4792607089846461</v>
      </c>
      <c r="P175" s="66">
        <f t="shared" si="174"/>
        <v>6.2359618638312195</v>
      </c>
      <c r="Q175" s="66">
        <f t="shared" si="174"/>
        <v>6.0106398298743295</v>
      </c>
      <c r="R175" s="66">
        <f t="shared" si="174"/>
        <v>5.803988121851984</v>
      </c>
      <c r="S175" s="66">
        <f t="shared" si="174"/>
        <v>5.6141989999130049</v>
      </c>
      <c r="T175" s="66">
        <f t="shared" si="174"/>
        <v>5.4491565377734048</v>
      </c>
      <c r="U175" s="66">
        <f t="shared" si="174"/>
        <v>5.2945774928727758</v>
      </c>
      <c r="V175" s="66">
        <f t="shared" si="174"/>
        <v>5.1476292279897926</v>
      </c>
      <c r="W175" s="66">
        <f t="shared" si="174"/>
        <v>5.0060582106136922</v>
      </c>
      <c r="X175" s="66">
        <f t="shared" si="174"/>
        <v>4.8681872650718692</v>
      </c>
      <c r="Y175" s="66">
        <f t="shared" si="174"/>
        <v>4.7568241123610431</v>
      </c>
      <c r="Z175" s="66">
        <f t="shared" si="174"/>
        <v>4.6471058629291129</v>
      </c>
      <c r="AA175" s="66">
        <f t="shared" si="174"/>
        <v>4.5384844847670669</v>
      </c>
      <c r="AB175" s="66">
        <f t="shared" si="174"/>
        <v>4.4305905995390802</v>
      </c>
      <c r="AC175" s="66">
        <f t="shared" si="174"/>
        <v>4.3231773970067664</v>
      </c>
    </row>
    <row r="176" spans="1:29" ht="15.75" thickBot="1" x14ac:dyDescent="0.3">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75" thickBot="1" x14ac:dyDescent="0.3">
      <c r="A177" s="31" t="s">
        <v>63</v>
      </c>
      <c r="B177" s="76">
        <f>B168+B169+B170-B171+B172+B173+B174+B175+B176</f>
        <v>30.496111015341818</v>
      </c>
      <c r="C177" s="76">
        <f t="shared" ref="C177:AC177" si="177">C168+C169+C170-C171+C172+C173+C174+C175+C176</f>
        <v>30.196929407712304</v>
      </c>
      <c r="D177" s="76">
        <f t="shared" si="177"/>
        <v>29.876973870978112</v>
      </c>
      <c r="E177" s="76">
        <f t="shared" si="177"/>
        <v>29.605505014086177</v>
      </c>
      <c r="F177" s="76">
        <f t="shared" si="177"/>
        <v>29.293925075845106</v>
      </c>
      <c r="G177" s="76">
        <f t="shared" si="177"/>
        <v>28.928120326287637</v>
      </c>
      <c r="H177" s="76">
        <f t="shared" si="177"/>
        <v>28.490944467168951</v>
      </c>
      <c r="I177" s="76">
        <f t="shared" si="177"/>
        <v>27.963453022460428</v>
      </c>
      <c r="J177" s="76">
        <f t="shared" si="177"/>
        <v>27.507761174811694</v>
      </c>
      <c r="K177" s="76">
        <f t="shared" si="177"/>
        <v>26.930010738927518</v>
      </c>
      <c r="L177" s="76">
        <f t="shared" si="177"/>
        <v>26.233635112503084</v>
      </c>
      <c r="M177" s="76">
        <f t="shared" si="177"/>
        <v>25.444024375918872</v>
      </c>
      <c r="N177" s="76">
        <f t="shared" si="177"/>
        <v>24.609271408083707</v>
      </c>
      <c r="O177" s="76">
        <f t="shared" si="177"/>
        <v>23.62716287315909</v>
      </c>
      <c r="P177" s="76">
        <f t="shared" si="177"/>
        <v>22.724021279147209</v>
      </c>
      <c r="Q177" s="76">
        <f t="shared" si="177"/>
        <v>21.937926872075007</v>
      </c>
      <c r="R177" s="76">
        <f t="shared" si="177"/>
        <v>21.2821969218293</v>
      </c>
      <c r="S177" s="76">
        <f t="shared" si="177"/>
        <v>20.749741169559165</v>
      </c>
      <c r="T177" s="76">
        <f t="shared" si="177"/>
        <v>20.332811252222683</v>
      </c>
      <c r="U177" s="76">
        <f t="shared" si="177"/>
        <v>19.998136320827555</v>
      </c>
      <c r="V177" s="76">
        <f t="shared" si="177"/>
        <v>19.724967436009504</v>
      </c>
      <c r="W177" s="76">
        <f t="shared" si="177"/>
        <v>19.496170212132661</v>
      </c>
      <c r="X177" s="76">
        <f t="shared" si="177"/>
        <v>19.298606026833784</v>
      </c>
      <c r="Y177" s="76">
        <f t="shared" si="177"/>
        <v>19.146664474578181</v>
      </c>
      <c r="Z177" s="76">
        <f t="shared" si="177"/>
        <v>19.009487273706579</v>
      </c>
      <c r="AA177" s="76">
        <f t="shared" si="177"/>
        <v>18.882342058235626</v>
      </c>
      <c r="AB177" s="76">
        <f t="shared" si="177"/>
        <v>18.761978017749897</v>
      </c>
      <c r="AC177" s="76">
        <f t="shared" si="177"/>
        <v>18.646181758116207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3.8421317513793731E-3</v>
      </c>
      <c r="C187" s="66">
        <f t="shared" ref="C187:AC187" si="186">C145*C146*C153/C153/(C150)</f>
        <v>3.7279628099205755E-3</v>
      </c>
      <c r="D187" s="66">
        <f t="shared" si="186"/>
        <v>3.6126626087822794E-3</v>
      </c>
      <c r="E187" s="66">
        <f t="shared" si="186"/>
        <v>3.5303921882749532E-3</v>
      </c>
      <c r="F187" s="66">
        <f t="shared" si="186"/>
        <v>3.4459384303476329E-3</v>
      </c>
      <c r="G187" s="66">
        <f t="shared" si="186"/>
        <v>3.3586083311373601E-3</v>
      </c>
      <c r="H187" s="66">
        <f t="shared" si="186"/>
        <v>3.2676002320302742E-3</v>
      </c>
      <c r="I187" s="66">
        <f t="shared" si="186"/>
        <v>3.1720924488978491E-3</v>
      </c>
      <c r="J187" s="66">
        <f t="shared" si="186"/>
        <v>3.1516387963282716E-3</v>
      </c>
      <c r="K187" s="66">
        <f t="shared" si="186"/>
        <v>3.1241471388856645E-3</v>
      </c>
      <c r="L187" s="66">
        <f t="shared" si="186"/>
        <v>3.0897777213829206E-3</v>
      </c>
      <c r="M187" s="66">
        <f t="shared" si="186"/>
        <v>3.0499460445107076E-3</v>
      </c>
      <c r="N187" s="66">
        <f t="shared" si="186"/>
        <v>3.0073761955394054E-3</v>
      </c>
      <c r="O187" s="66">
        <f t="shared" si="186"/>
        <v>2.8925271022252883E-3</v>
      </c>
      <c r="P187" s="66">
        <f t="shared" si="186"/>
        <v>2.7839115463532231E-3</v>
      </c>
      <c r="Q187" s="66">
        <f t="shared" si="186"/>
        <v>2.6833213526224683E-3</v>
      </c>
      <c r="R187" s="66">
        <f t="shared" si="186"/>
        <v>2.5910661258267786E-3</v>
      </c>
      <c r="S187" s="66">
        <f t="shared" si="186"/>
        <v>2.5063388392468772E-3</v>
      </c>
      <c r="T187" s="66">
        <f t="shared" si="186"/>
        <v>2.4326591686488416E-3</v>
      </c>
      <c r="U187" s="66">
        <f t="shared" si="186"/>
        <v>2.3636506664610605E-3</v>
      </c>
      <c r="V187" s="66">
        <f t="shared" si="186"/>
        <v>2.2980487624954431E-3</v>
      </c>
      <c r="W187" s="66">
        <f t="shared" si="186"/>
        <v>2.2348474154525412E-3</v>
      </c>
      <c r="X187" s="66">
        <f t="shared" si="186"/>
        <v>2.1732978861927986E-3</v>
      </c>
      <c r="Y187" s="66">
        <f t="shared" si="186"/>
        <v>2.1235821930183228E-3</v>
      </c>
      <c r="Z187" s="66">
        <f t="shared" si="186"/>
        <v>2.0746008316647824E-3</v>
      </c>
      <c r="AA187" s="66">
        <f t="shared" si="186"/>
        <v>2.0261091449852975E-3</v>
      </c>
      <c r="AB187" s="66">
        <f t="shared" si="186"/>
        <v>1.9779422319370892E-3</v>
      </c>
      <c r="AC187" s="66">
        <f t="shared" si="186"/>
        <v>1.9299899093780208E-3</v>
      </c>
    </row>
    <row r="188" spans="1:29" x14ac:dyDescent="0.25">
      <c r="A188" s="59" t="str">
        <f>A151</f>
        <v>Market failure (av. utilization)</v>
      </c>
      <c r="B188" s="66">
        <f t="shared" ref="B188:AC188" si="187">B177/B151-B177/B150</f>
        <v>1.829426302538641E-2</v>
      </c>
      <c r="C188" s="66">
        <f t="shared" si="187"/>
        <v>1.8114787451613129E-2</v>
      </c>
      <c r="D188" s="66">
        <f t="shared" si="187"/>
        <v>1.7922849838895909E-2</v>
      </c>
      <c r="E188" s="66">
        <f t="shared" si="187"/>
        <v>1.7759998822624239E-2</v>
      </c>
      <c r="F188" s="66">
        <f t="shared" si="187"/>
        <v>1.7573085634226278E-2</v>
      </c>
      <c r="G188" s="66">
        <f t="shared" si="187"/>
        <v>1.7353643610914737E-2</v>
      </c>
      <c r="H188" s="66">
        <f t="shared" si="187"/>
        <v>1.7091386887392087E-2</v>
      </c>
      <c r="I188" s="66">
        <f t="shared" si="187"/>
        <v>1.677495089238E-2</v>
      </c>
      <c r="J188" s="66">
        <f t="shared" si="187"/>
        <v>1.65015866422559E-2</v>
      </c>
      <c r="K188" s="66">
        <f t="shared" si="187"/>
        <v>1.6155000861800828E-2</v>
      </c>
      <c r="L188" s="66">
        <f t="shared" si="187"/>
        <v>1.5737253206440184E-2</v>
      </c>
      <c r="M188" s="66">
        <f t="shared" si="187"/>
        <v>1.5263574890687939E-2</v>
      </c>
      <c r="N188" s="66">
        <f t="shared" si="187"/>
        <v>1.4762816274380572E-2</v>
      </c>
      <c r="O188" s="66">
        <f t="shared" si="187"/>
        <v>1.417366076375336E-2</v>
      </c>
      <c r="P188" s="66">
        <f t="shared" si="187"/>
        <v>1.3631876604399134E-2</v>
      </c>
      <c r="Q188" s="66">
        <f t="shared" si="187"/>
        <v>1.3160307693906602E-2</v>
      </c>
      <c r="R188" s="66">
        <f t="shared" si="187"/>
        <v>1.276694290790541E-2</v>
      </c>
      <c r="S188" s="66">
        <f t="shared" si="187"/>
        <v>1.244752888240854E-2</v>
      </c>
      <c r="T188" s="66">
        <f t="shared" si="187"/>
        <v>1.2197417464363494E-2</v>
      </c>
      <c r="U188" s="66">
        <f t="shared" si="187"/>
        <v>1.1996649857639298E-2</v>
      </c>
      <c r="V188" s="66">
        <f t="shared" si="187"/>
        <v>1.1832779014347218E-2</v>
      </c>
      <c r="W188" s="66">
        <f t="shared" si="187"/>
        <v>1.1695526215425564E-2</v>
      </c>
      <c r="X188" s="66">
        <f t="shared" si="187"/>
        <v>1.157700975382049E-2</v>
      </c>
      <c r="Y188" s="66">
        <f t="shared" si="187"/>
        <v>1.1485861780229657E-2</v>
      </c>
      <c r="Z188" s="66">
        <f t="shared" si="187"/>
        <v>1.1403570769662148E-2</v>
      </c>
      <c r="AA188" s="66">
        <f t="shared" si="187"/>
        <v>1.1327297830693802E-2</v>
      </c>
      <c r="AB188" s="66">
        <f t="shared" si="187"/>
        <v>1.1255092839889028E-2</v>
      </c>
      <c r="AC188" s="66">
        <f t="shared" si="187"/>
        <v>1.1185628007798506E-2</v>
      </c>
    </row>
    <row r="189" spans="1:29" x14ac:dyDescent="0.25">
      <c r="A189" s="59" t="str">
        <f>A152</f>
        <v>Payload loss (fuel)</v>
      </c>
      <c r="B189" s="66">
        <f>B177/(B150-B152)-B177/B150</f>
        <v>2.4753336863102098E-4</v>
      </c>
      <c r="C189" s="66">
        <f t="shared" ref="C189:AC189" si="188">C177/(C150-C152)-C177/C150</f>
        <v>2.4510494649117136E-4</v>
      </c>
      <c r="D189" s="66">
        <f t="shared" si="188"/>
        <v>2.4250790479690004E-4</v>
      </c>
      <c r="E189" s="66">
        <f t="shared" si="188"/>
        <v>2.4030442381563558E-4</v>
      </c>
      <c r="F189" s="66">
        <f t="shared" si="188"/>
        <v>2.3777536587536556E-4</v>
      </c>
      <c r="G189" s="66">
        <f t="shared" si="188"/>
        <v>2.3480617147960715E-4</v>
      </c>
      <c r="H189" s="66">
        <f t="shared" si="188"/>
        <v>2.3125766612961708E-4</v>
      </c>
      <c r="I189" s="66">
        <f t="shared" si="188"/>
        <v>2.2697607972776285E-4</v>
      </c>
      <c r="J189" s="66">
        <f t="shared" si="188"/>
        <v>2.2327728226308186E-4</v>
      </c>
      <c r="K189" s="66">
        <f t="shared" si="188"/>
        <v>2.1858774950428254E-4</v>
      </c>
      <c r="L189" s="66">
        <f t="shared" si="188"/>
        <v>2.1293534993914801E-4</v>
      </c>
      <c r="M189" s="66">
        <f t="shared" si="188"/>
        <v>2.065261718824582E-4</v>
      </c>
      <c r="N189" s="66">
        <f t="shared" si="188"/>
        <v>1.9975057961106948E-4</v>
      </c>
      <c r="O189" s="66">
        <f t="shared" si="188"/>
        <v>1.9177891942499282E-4</v>
      </c>
      <c r="P189" s="66">
        <f t="shared" si="188"/>
        <v>1.8444822466840392E-4</v>
      </c>
      <c r="Q189" s="66">
        <f t="shared" si="188"/>
        <v>1.7806758824736278E-4</v>
      </c>
      <c r="R189" s="66">
        <f t="shared" si="188"/>
        <v>1.7274510488497936E-4</v>
      </c>
      <c r="S189" s="66">
        <f t="shared" si="188"/>
        <v>1.6842322377889039E-4</v>
      </c>
      <c r="T189" s="66">
        <f t="shared" si="188"/>
        <v>1.6503905237193715E-4</v>
      </c>
      <c r="U189" s="66">
        <f t="shared" si="188"/>
        <v>1.6232253507165138E-4</v>
      </c>
      <c r="V189" s="66">
        <f t="shared" si="188"/>
        <v>1.6010525516241443E-4</v>
      </c>
      <c r="W189" s="66">
        <f t="shared" si="188"/>
        <v>1.5824813483873885E-4</v>
      </c>
      <c r="X189" s="66">
        <f t="shared" si="188"/>
        <v>1.5664452943858591E-4</v>
      </c>
      <c r="Y189" s="66">
        <f t="shared" si="188"/>
        <v>1.5541123761832892E-4</v>
      </c>
      <c r="Z189" s="66">
        <f t="shared" si="188"/>
        <v>1.5429778631255268E-4</v>
      </c>
      <c r="AA189" s="66">
        <f t="shared" si="188"/>
        <v>1.5326576345970483E-4</v>
      </c>
      <c r="AB189" s="66">
        <f t="shared" si="188"/>
        <v>1.5228878261160615E-4</v>
      </c>
      <c r="AC189" s="66">
        <f t="shared" si="188"/>
        <v>1.5134887790678626E-4</v>
      </c>
    </row>
    <row r="190" spans="1:29" ht="15.75" thickBot="1" x14ac:dyDescent="0.3">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75" thickBot="1" x14ac:dyDescent="0.3">
      <c r="A191" s="31" t="s">
        <v>210</v>
      </c>
      <c r="B191" s="67">
        <f>B180+B181+B182+B183+B184+B185+B186+B187+B188+B189+B190</f>
        <v>3.2054382492967229E-2</v>
      </c>
      <c r="C191" s="67">
        <f t="shared" ref="C191:AC191" si="190">C180+C181+C182+C183+C184+C185+C186+C187+C188+C189+C190</f>
        <v>3.1738915279362359E-2</v>
      </c>
      <c r="D191" s="67">
        <f t="shared" si="190"/>
        <v>3.1401543331765952E-2</v>
      </c>
      <c r="E191" s="67">
        <f t="shared" si="190"/>
        <v>3.1115297380543406E-2</v>
      </c>
      <c r="F191" s="67">
        <f t="shared" si="190"/>
        <v>3.0786756947490411E-2</v>
      </c>
      <c r="G191" s="67">
        <f t="shared" si="190"/>
        <v>3.0401040038016386E-2</v>
      </c>
      <c r="H191" s="67">
        <f t="shared" si="190"/>
        <v>2.994006701489433E-2</v>
      </c>
      <c r="I191" s="67">
        <f t="shared" si="190"/>
        <v>2.9383862181378371E-2</v>
      </c>
      <c r="J191" s="67">
        <f t="shared" si="190"/>
        <v>2.8903365273232118E-2</v>
      </c>
      <c r="K191" s="67">
        <f t="shared" si="190"/>
        <v>2.8294165658284243E-2</v>
      </c>
      <c r="L191" s="67">
        <f t="shared" si="190"/>
        <v>2.7559883627276124E-2</v>
      </c>
      <c r="M191" s="67">
        <f t="shared" si="190"/>
        <v>2.6727291340349239E-2</v>
      </c>
      <c r="N191" s="67">
        <f t="shared" si="190"/>
        <v>2.5847099556844069E-2</v>
      </c>
      <c r="O191" s="67">
        <f t="shared" si="190"/>
        <v>2.4811531075796575E-2</v>
      </c>
      <c r="P191" s="67">
        <f t="shared" si="190"/>
        <v>2.3859228010073313E-2</v>
      </c>
      <c r="Q191" s="67">
        <f t="shared" si="190"/>
        <v>2.303034346000251E-2</v>
      </c>
      <c r="R191" s="67">
        <f t="shared" si="190"/>
        <v>2.2338919605707816E-2</v>
      </c>
      <c r="S191" s="67">
        <f t="shared" si="190"/>
        <v>2.1777480238269975E-2</v>
      </c>
      <c r="T191" s="67">
        <f t="shared" si="190"/>
        <v>2.1337855221435623E-2</v>
      </c>
      <c r="U191" s="67">
        <f t="shared" si="190"/>
        <v>2.0984962645895458E-2</v>
      </c>
      <c r="V191" s="67">
        <f t="shared" si="190"/>
        <v>2.0696924127686075E-2</v>
      </c>
      <c r="W191" s="67">
        <f t="shared" si="190"/>
        <v>2.0455672590638588E-2</v>
      </c>
      <c r="X191" s="67">
        <f t="shared" si="190"/>
        <v>2.0247354226624936E-2</v>
      </c>
      <c r="Y191" s="67">
        <f t="shared" si="190"/>
        <v>2.0087141911099733E-2</v>
      </c>
      <c r="Z191" s="67">
        <f t="shared" si="190"/>
        <v>1.9942497627408767E-2</v>
      </c>
      <c r="AA191" s="67">
        <f t="shared" si="190"/>
        <v>1.9808431408680899E-2</v>
      </c>
      <c r="AB191" s="67">
        <f t="shared" si="190"/>
        <v>1.9681515490382613E-2</v>
      </c>
      <c r="AC191" s="67">
        <f t="shared" si="190"/>
        <v>1.9559415994822228E-2</v>
      </c>
    </row>
    <row r="193" spans="2:2" x14ac:dyDescent="0.25">
      <c r="B193" s="40"/>
    </row>
    <row r="215" spans="1:44" s="3" customFormat="1" ht="21" x14ac:dyDescent="0.35">
      <c r="A215" s="2" t="str">
        <f>'Parameter Input'!A170</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Input'!$L$183</f>
        <v>10000000</v>
      </c>
      <c r="C225" s="42">
        <f>'Parameter Input'!$M$183</f>
        <v>4000000</v>
      </c>
      <c r="D225" s="1" t="s">
        <v>15</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Input'!$L$184</f>
        <v>-500000</v>
      </c>
      <c r="C226" s="61">
        <f>'Parameter Input'!$M$184</f>
        <v>-600000</v>
      </c>
      <c r="D226" s="1" t="s">
        <v>15</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Input'!$L$190</f>
        <v>0.06</v>
      </c>
      <c r="C229" s="46">
        <f>'Parameter Input'!$M$190</f>
        <v>0.06</v>
      </c>
      <c r="D229" s="1" t="s">
        <v>57</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Input'!$L$186</f>
        <v>1400000.0000000002</v>
      </c>
      <c r="C231" s="44">
        <f>'Parameter Input'!$M$186</f>
        <v>560000</v>
      </c>
      <c r="D231" s="1" t="s">
        <v>38</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Input'!$L$187</f>
        <v>48.858472727272719</v>
      </c>
      <c r="C233" s="48">
        <f>'Parameter Input'!$M$187</f>
        <v>41.341784615384611</v>
      </c>
      <c r="D233" s="1" t="s">
        <v>60</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Input'!$L$188</f>
        <v>0.2544561408768215</v>
      </c>
      <c r="C234" s="46">
        <f>'Parameter Input'!$M$188</f>
        <v>0.10949010032952979</v>
      </c>
      <c r="D234" s="1" t="s">
        <v>68</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Input'!$L$191</f>
        <v>0</v>
      </c>
      <c r="C235" s="116">
        <f>'Parameter Input'!$M$191</f>
        <v>0</v>
      </c>
      <c r="D235" s="1" t="s">
        <v>76</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Input'!$L$185</f>
        <v>20</v>
      </c>
      <c r="C236" s="44">
        <f>'Parameter Input'!$M$185</f>
        <v>20</v>
      </c>
      <c r="D236" s="1" t="s">
        <v>42</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Input'!$L$189</f>
        <v>1.7857142857142856E-2</v>
      </c>
      <c r="C240" s="73">
        <f>'Parameter Input'!$M$189</f>
        <v>1.7857142857142856E-2</v>
      </c>
      <c r="D240" s="1" t="s">
        <v>57</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1536237.9594715287</v>
      </c>
      <c r="C271" s="62">
        <f t="shared" ref="C271:AC271" si="241">C253*C254*C261</f>
        <v>1490588.6499186431</v>
      </c>
      <c r="D271" s="62">
        <f t="shared" si="241"/>
        <v>1444487.0174955064</v>
      </c>
      <c r="E271" s="62">
        <f t="shared" si="241"/>
        <v>1411592.0125598572</v>
      </c>
      <c r="F271" s="62">
        <f t="shared" si="241"/>
        <v>1377824.0219901975</v>
      </c>
      <c r="G271" s="62">
        <f t="shared" si="241"/>
        <v>1342905.9551219621</v>
      </c>
      <c r="H271" s="62">
        <f t="shared" si="241"/>
        <v>1306517.2767749848</v>
      </c>
      <c r="I271" s="62">
        <f t="shared" si="241"/>
        <v>1268329.4447673161</v>
      </c>
      <c r="J271" s="62">
        <f t="shared" si="241"/>
        <v>1260151.2563238961</v>
      </c>
      <c r="K271" s="62">
        <f t="shared" si="241"/>
        <v>1249158.9920120442</v>
      </c>
      <c r="L271" s="62">
        <f t="shared" si="241"/>
        <v>1235416.7241177468</v>
      </c>
      <c r="M271" s="62">
        <f t="shared" si="241"/>
        <v>1219490.4264371614</v>
      </c>
      <c r="N271" s="62">
        <f t="shared" si="241"/>
        <v>1202469.2980244758</v>
      </c>
      <c r="O271" s="62">
        <f t="shared" si="241"/>
        <v>1156548.0365537594</v>
      </c>
      <c r="P271" s="62">
        <f t="shared" si="241"/>
        <v>1113119.1926938726</v>
      </c>
      <c r="Q271" s="62">
        <f t="shared" si="241"/>
        <v>1072899.2096325678</v>
      </c>
      <c r="R271" s="62">
        <f t="shared" si="241"/>
        <v>1036011.8797505791</v>
      </c>
      <c r="S271" s="62">
        <f t="shared" si="241"/>
        <v>1002134.5214844714</v>
      </c>
      <c r="T271" s="62">
        <f t="shared" si="241"/>
        <v>972674.44199255272</v>
      </c>
      <c r="U271" s="62">
        <f t="shared" si="241"/>
        <v>945082.08247779054</v>
      </c>
      <c r="V271" s="62">
        <f t="shared" si="241"/>
        <v>918851.81719617802</v>
      </c>
      <c r="W271" s="62">
        <f t="shared" si="241"/>
        <v>893581.39059454401</v>
      </c>
      <c r="X271" s="62">
        <f t="shared" si="241"/>
        <v>868971.42681532865</v>
      </c>
      <c r="Y271" s="62">
        <f t="shared" si="241"/>
        <v>849093.10405644623</v>
      </c>
      <c r="Z271" s="62">
        <f t="shared" si="241"/>
        <v>829508.39653284661</v>
      </c>
      <c r="AA271" s="62">
        <f t="shared" si="241"/>
        <v>810119.48053092149</v>
      </c>
      <c r="AB271" s="62">
        <f t="shared" si="241"/>
        <v>790860.42201772577</v>
      </c>
      <c r="AC271" s="62">
        <f t="shared" si="241"/>
        <v>771687.16536570783</v>
      </c>
    </row>
    <row r="272" spans="1:29" ht="15.75" thickBot="1" x14ac:dyDescent="0.3">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75" thickBot="1" x14ac:dyDescent="0.3">
      <c r="A273" s="31" t="s">
        <v>209</v>
      </c>
      <c r="B273" s="64">
        <f>B264+B265+B266+B267+B268+B269+B270+B271+B272</f>
        <v>5199626.321240562</v>
      </c>
      <c r="C273" s="64">
        <f t="shared" ref="C273:AC273" si="243">C264+C265+C266+C267+C268+C269+C270+C271+C272</f>
        <v>5146222.4042786937</v>
      </c>
      <c r="D273" s="64">
        <f t="shared" si="243"/>
        <v>5089110.3409716412</v>
      </c>
      <c r="E273" s="64">
        <f t="shared" si="243"/>
        <v>5040653.1500164308</v>
      </c>
      <c r="F273" s="64">
        <f t="shared" si="243"/>
        <v>4985036.131040399</v>
      </c>
      <c r="G273" s="64">
        <f t="shared" si="243"/>
        <v>4919739.9832443912</v>
      </c>
      <c r="H273" s="64">
        <f t="shared" si="243"/>
        <v>4841704.0923917061</v>
      </c>
      <c r="I273" s="64">
        <f t="shared" si="243"/>
        <v>4747546.8695112346</v>
      </c>
      <c r="J273" s="64">
        <f t="shared" si="243"/>
        <v>4666205.8747059358</v>
      </c>
      <c r="K273" s="64">
        <f t="shared" si="243"/>
        <v>4563077.4219006095</v>
      </c>
      <c r="L273" s="64">
        <f t="shared" si="243"/>
        <v>4438774.3725838484</v>
      </c>
      <c r="M273" s="64">
        <f t="shared" si="243"/>
        <v>4297828.8561035674</v>
      </c>
      <c r="N273" s="64">
        <f t="shared" si="243"/>
        <v>4148825.4513449892</v>
      </c>
      <c r="O273" s="64">
        <f t="shared" si="243"/>
        <v>3973519.0778609449</v>
      </c>
      <c r="P273" s="64">
        <f t="shared" si="243"/>
        <v>3812308.3033298245</v>
      </c>
      <c r="Q273" s="64">
        <f t="shared" si="243"/>
        <v>3671990.4516674373</v>
      </c>
      <c r="R273" s="64">
        <f t="shared" si="243"/>
        <v>3554942.6555485786</v>
      </c>
      <c r="S273" s="64">
        <f t="shared" si="243"/>
        <v>3459899.3037683591</v>
      </c>
      <c r="T273" s="64">
        <f t="shared" si="243"/>
        <v>3385477.3135237973</v>
      </c>
      <c r="U273" s="64">
        <f t="shared" si="243"/>
        <v>3325737.8382697664</v>
      </c>
      <c r="V273" s="64">
        <f t="shared" si="243"/>
        <v>3276977.1923297448</v>
      </c>
      <c r="W273" s="64">
        <f t="shared" si="243"/>
        <v>3236136.8878677278</v>
      </c>
      <c r="X273" s="64">
        <f t="shared" si="243"/>
        <v>3200871.6807918786</v>
      </c>
      <c r="Y273" s="64">
        <f t="shared" si="243"/>
        <v>3173750.1137142535</v>
      </c>
      <c r="Z273" s="64">
        <f t="shared" si="243"/>
        <v>3149263.9833586724</v>
      </c>
      <c r="AA273" s="64">
        <f t="shared" si="243"/>
        <v>3126568.562397107</v>
      </c>
      <c r="AB273" s="64">
        <f t="shared" si="243"/>
        <v>3105083.5811704043</v>
      </c>
      <c r="AC273" s="64">
        <f t="shared" si="243"/>
        <v>3084413.9488257905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8.606375123089796</v>
      </c>
      <c r="C283" s="66">
        <f t="shared" ref="C283:AC283" si="252">C253*C254*C261/C261</f>
        <v>8.3506366942220893</v>
      </c>
      <c r="D283" s="66">
        <f t="shared" si="252"/>
        <v>8.0923642436723053</v>
      </c>
      <c r="E283" s="66">
        <f t="shared" si="252"/>
        <v>7.9080785017358952</v>
      </c>
      <c r="F283" s="66">
        <f t="shared" si="252"/>
        <v>7.7189020839786977</v>
      </c>
      <c r="G283" s="66">
        <f t="shared" si="252"/>
        <v>7.5232826617476869</v>
      </c>
      <c r="H283" s="66">
        <f t="shared" si="252"/>
        <v>7.3194245197478143</v>
      </c>
      <c r="I283" s="66">
        <f t="shared" si="252"/>
        <v>7.1054870855311822</v>
      </c>
      <c r="J283" s="66">
        <f t="shared" si="252"/>
        <v>7.059670903775328</v>
      </c>
      <c r="K283" s="66">
        <f t="shared" si="252"/>
        <v>6.9980895911038887</v>
      </c>
      <c r="L283" s="66">
        <f t="shared" si="252"/>
        <v>6.9211020958977416</v>
      </c>
      <c r="M283" s="66">
        <f t="shared" si="252"/>
        <v>6.8318791397039851</v>
      </c>
      <c r="N283" s="66">
        <f t="shared" si="252"/>
        <v>6.7365226780082681</v>
      </c>
      <c r="O283" s="66">
        <f t="shared" si="252"/>
        <v>6.4792607089846461</v>
      </c>
      <c r="P283" s="66">
        <f t="shared" si="252"/>
        <v>6.2359618638312195</v>
      </c>
      <c r="Q283" s="66">
        <f t="shared" si="252"/>
        <v>6.0106398298743295</v>
      </c>
      <c r="R283" s="66">
        <f t="shared" si="252"/>
        <v>5.803988121851984</v>
      </c>
      <c r="S283" s="66">
        <f t="shared" si="252"/>
        <v>5.6141989999130049</v>
      </c>
      <c r="T283" s="66">
        <f t="shared" si="252"/>
        <v>5.4491565377734048</v>
      </c>
      <c r="U283" s="66">
        <f t="shared" si="252"/>
        <v>5.2945774928727758</v>
      </c>
      <c r="V283" s="66">
        <f t="shared" si="252"/>
        <v>5.1476292279897926</v>
      </c>
      <c r="W283" s="66">
        <f t="shared" si="252"/>
        <v>5.0060582106136922</v>
      </c>
      <c r="X283" s="66">
        <f t="shared" si="252"/>
        <v>4.8681872650718692</v>
      </c>
      <c r="Y283" s="66">
        <f t="shared" si="252"/>
        <v>4.7568241123610431</v>
      </c>
      <c r="Z283" s="66">
        <f t="shared" si="252"/>
        <v>4.6471058629291129</v>
      </c>
      <c r="AA283" s="66">
        <f t="shared" si="252"/>
        <v>4.5384844847670669</v>
      </c>
      <c r="AB283" s="66">
        <f t="shared" si="252"/>
        <v>4.4305905995390802</v>
      </c>
      <c r="AC283" s="66">
        <f t="shared" si="252"/>
        <v>4.3231773970067664</v>
      </c>
    </row>
    <row r="284" spans="1:29" ht="15.75" thickBot="1" x14ac:dyDescent="0.3">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75" thickBot="1" x14ac:dyDescent="0.3">
      <c r="A285" s="31" t="s">
        <v>63</v>
      </c>
      <c r="B285" s="76">
        <f>B276+B277+B278-B279+B280+B281+B282+B283+B284</f>
        <v>29.243518299483341</v>
      </c>
      <c r="C285" s="76">
        <f t="shared" ref="C285:AC285" si="255">C276+C277+C278-C279+C280+C281+C282+C283+C284</f>
        <v>28.944336691853824</v>
      </c>
      <c r="D285" s="76">
        <f t="shared" si="255"/>
        <v>28.624381155119629</v>
      </c>
      <c r="E285" s="76">
        <f t="shared" si="255"/>
        <v>28.352912298227693</v>
      </c>
      <c r="F285" s="76">
        <f t="shared" si="255"/>
        <v>28.041332359986622</v>
      </c>
      <c r="G285" s="76">
        <f t="shared" si="255"/>
        <v>27.675527610429157</v>
      </c>
      <c r="H285" s="76">
        <f t="shared" si="255"/>
        <v>27.238351751310468</v>
      </c>
      <c r="I285" s="76">
        <f t="shared" si="255"/>
        <v>26.710860306601944</v>
      </c>
      <c r="J285" s="76">
        <f t="shared" si="255"/>
        <v>26.255168458953214</v>
      </c>
      <c r="K285" s="76">
        <f t="shared" si="255"/>
        <v>25.677418023069034</v>
      </c>
      <c r="L285" s="76">
        <f t="shared" si="255"/>
        <v>24.9810423966446</v>
      </c>
      <c r="M285" s="76">
        <f t="shared" si="255"/>
        <v>24.191431660060392</v>
      </c>
      <c r="N285" s="76">
        <f t="shared" si="255"/>
        <v>23.356678692225227</v>
      </c>
      <c r="O285" s="76">
        <f t="shared" si="255"/>
        <v>22.374570157300607</v>
      </c>
      <c r="P285" s="76">
        <f t="shared" si="255"/>
        <v>21.471428563288725</v>
      </c>
      <c r="Q285" s="76">
        <f t="shared" si="255"/>
        <v>20.685334156216527</v>
      </c>
      <c r="R285" s="76">
        <f t="shared" si="255"/>
        <v>20.02960420597082</v>
      </c>
      <c r="S285" s="76">
        <f t="shared" si="255"/>
        <v>19.497148453700685</v>
      </c>
      <c r="T285" s="76">
        <f t="shared" si="255"/>
        <v>19.080218536364203</v>
      </c>
      <c r="U285" s="76">
        <f t="shared" si="255"/>
        <v>18.745543604969075</v>
      </c>
      <c r="V285" s="76">
        <f t="shared" si="255"/>
        <v>18.472374720151024</v>
      </c>
      <c r="W285" s="76">
        <f t="shared" si="255"/>
        <v>18.243577496274177</v>
      </c>
      <c r="X285" s="76">
        <f t="shared" si="255"/>
        <v>18.046013310975304</v>
      </c>
      <c r="Y285" s="76">
        <f t="shared" si="255"/>
        <v>17.894071758719701</v>
      </c>
      <c r="Z285" s="76">
        <f t="shared" si="255"/>
        <v>17.756894557848099</v>
      </c>
      <c r="AA285" s="76">
        <f t="shared" si="255"/>
        <v>17.629749342377146</v>
      </c>
      <c r="AB285" s="76">
        <f t="shared" si="255"/>
        <v>17.509385301891413</v>
      </c>
      <c r="AC285" s="76">
        <f t="shared" si="255"/>
        <v>17.393589042257723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3.8421317513793731E-3</v>
      </c>
      <c r="C295" s="66">
        <f t="shared" ref="C295:AC295" si="264">C253*C254*C261/C261/(C258)</f>
        <v>3.7279628099205755E-3</v>
      </c>
      <c r="D295" s="66">
        <f t="shared" si="264"/>
        <v>3.6126626087822794E-3</v>
      </c>
      <c r="E295" s="66">
        <f t="shared" si="264"/>
        <v>3.5303921882749532E-3</v>
      </c>
      <c r="F295" s="66">
        <f t="shared" si="264"/>
        <v>3.4459384303476329E-3</v>
      </c>
      <c r="G295" s="66">
        <f t="shared" si="264"/>
        <v>3.3586083311373601E-3</v>
      </c>
      <c r="H295" s="66">
        <f t="shared" si="264"/>
        <v>3.2676002320302742E-3</v>
      </c>
      <c r="I295" s="66">
        <f t="shared" si="264"/>
        <v>3.1720924488978491E-3</v>
      </c>
      <c r="J295" s="66">
        <f t="shared" si="264"/>
        <v>3.1516387963282716E-3</v>
      </c>
      <c r="K295" s="66">
        <f t="shared" si="264"/>
        <v>3.1241471388856645E-3</v>
      </c>
      <c r="L295" s="66">
        <f t="shared" si="264"/>
        <v>3.0897777213829206E-3</v>
      </c>
      <c r="M295" s="66">
        <f t="shared" si="264"/>
        <v>3.0499460445107076E-3</v>
      </c>
      <c r="N295" s="66">
        <f t="shared" si="264"/>
        <v>3.0073761955394054E-3</v>
      </c>
      <c r="O295" s="66">
        <f t="shared" si="264"/>
        <v>2.8925271022252883E-3</v>
      </c>
      <c r="P295" s="66">
        <f t="shared" si="264"/>
        <v>2.7839115463532231E-3</v>
      </c>
      <c r="Q295" s="66">
        <f t="shared" si="264"/>
        <v>2.6833213526224683E-3</v>
      </c>
      <c r="R295" s="66">
        <f t="shared" si="264"/>
        <v>2.5910661258267786E-3</v>
      </c>
      <c r="S295" s="66">
        <f t="shared" si="264"/>
        <v>2.5063388392468772E-3</v>
      </c>
      <c r="T295" s="66">
        <f t="shared" si="264"/>
        <v>2.4326591686488416E-3</v>
      </c>
      <c r="U295" s="66">
        <f t="shared" si="264"/>
        <v>2.3636506664610605E-3</v>
      </c>
      <c r="V295" s="66">
        <f t="shared" si="264"/>
        <v>2.2980487624954431E-3</v>
      </c>
      <c r="W295" s="66">
        <f t="shared" si="264"/>
        <v>2.2348474154525412E-3</v>
      </c>
      <c r="X295" s="66">
        <f t="shared" si="264"/>
        <v>2.1732978861927986E-3</v>
      </c>
      <c r="Y295" s="66">
        <f t="shared" si="264"/>
        <v>2.1235821930183228E-3</v>
      </c>
      <c r="Z295" s="66">
        <f t="shared" si="264"/>
        <v>2.0746008316647824E-3</v>
      </c>
      <c r="AA295" s="66">
        <f t="shared" si="264"/>
        <v>2.0261091449852975E-3</v>
      </c>
      <c r="AB295" s="66">
        <f t="shared" si="264"/>
        <v>1.9779422319370892E-3</v>
      </c>
      <c r="AC295" s="66">
        <f t="shared" si="264"/>
        <v>1.9299899093780208E-3</v>
      </c>
    </row>
    <row r="296" spans="1:29" x14ac:dyDescent="0.25">
      <c r="A296" s="59" t="str">
        <f>A259</f>
        <v>Market failure (av. utilization)</v>
      </c>
      <c r="B296" s="66">
        <f t="shared" ref="B296:AC296" si="265">B285/B259-B285/B258</f>
        <v>1.754284719416551E-2</v>
      </c>
      <c r="C296" s="66">
        <f t="shared" si="265"/>
        <v>1.7363371620392219E-2</v>
      </c>
      <c r="D296" s="66">
        <f t="shared" si="265"/>
        <v>1.7171434007674999E-2</v>
      </c>
      <c r="E296" s="66">
        <f t="shared" si="265"/>
        <v>1.7008582991403332E-2</v>
      </c>
      <c r="F296" s="66">
        <f t="shared" si="265"/>
        <v>1.6821669803005368E-2</v>
      </c>
      <c r="G296" s="66">
        <f t="shared" si="265"/>
        <v>1.6602227779693831E-2</v>
      </c>
      <c r="H296" s="66">
        <f t="shared" si="265"/>
        <v>1.6339971056171181E-2</v>
      </c>
      <c r="I296" s="66">
        <f t="shared" si="265"/>
        <v>1.602353506115909E-2</v>
      </c>
      <c r="J296" s="66">
        <f t="shared" si="265"/>
        <v>1.5750170811034993E-2</v>
      </c>
      <c r="K296" s="66">
        <f t="shared" si="265"/>
        <v>1.5403585030579918E-2</v>
      </c>
      <c r="L296" s="66">
        <f t="shared" si="265"/>
        <v>1.4985837375219278E-2</v>
      </c>
      <c r="M296" s="66">
        <f t="shared" si="265"/>
        <v>1.4512159059467034E-2</v>
      </c>
      <c r="N296" s="66">
        <f t="shared" si="265"/>
        <v>1.4011400443159665E-2</v>
      </c>
      <c r="O296" s="66">
        <f t="shared" si="265"/>
        <v>1.3422244932532452E-2</v>
      </c>
      <c r="P296" s="66">
        <f t="shared" si="265"/>
        <v>1.2880460773178226E-2</v>
      </c>
      <c r="Q296" s="66">
        <f t="shared" si="265"/>
        <v>1.2408891862685695E-2</v>
      </c>
      <c r="R296" s="66">
        <f t="shared" si="265"/>
        <v>1.2015527076684504E-2</v>
      </c>
      <c r="S296" s="66">
        <f t="shared" si="265"/>
        <v>1.1696113051187633E-2</v>
      </c>
      <c r="T296" s="66">
        <f t="shared" si="265"/>
        <v>1.1446001633142589E-2</v>
      </c>
      <c r="U296" s="66">
        <f t="shared" si="265"/>
        <v>1.1245234026418392E-2</v>
      </c>
      <c r="V296" s="66">
        <f t="shared" si="265"/>
        <v>1.1081363183126311E-2</v>
      </c>
      <c r="W296" s="66">
        <f t="shared" si="265"/>
        <v>1.0944110384204652E-2</v>
      </c>
      <c r="X296" s="66">
        <f t="shared" si="265"/>
        <v>1.0825593922599583E-2</v>
      </c>
      <c r="Y296" s="66">
        <f t="shared" si="265"/>
        <v>1.0734445949008747E-2</v>
      </c>
      <c r="Z296" s="66">
        <f t="shared" si="265"/>
        <v>1.0652154938441242E-2</v>
      </c>
      <c r="AA296" s="66">
        <f t="shared" si="265"/>
        <v>1.0575881999472897E-2</v>
      </c>
      <c r="AB296" s="66">
        <f t="shared" si="265"/>
        <v>1.0503677008668119E-2</v>
      </c>
      <c r="AC296" s="66">
        <f t="shared" si="265"/>
        <v>1.0434212176577595E-2</v>
      </c>
    </row>
    <row r="297" spans="1:29" x14ac:dyDescent="0.25">
      <c r="A297" s="59" t="str">
        <f>A260</f>
        <v>Payload loss (fuel)</v>
      </c>
      <c r="B297" s="66">
        <f>B285/(B258-B260)-B285/B258</f>
        <v>2.3736621996334022E-4</v>
      </c>
      <c r="C297" s="66">
        <f t="shared" ref="C297:AC297" si="266">C285/(C258-C260)-C285/C258</f>
        <v>2.3493779782348886E-4</v>
      </c>
      <c r="D297" s="66">
        <f t="shared" si="266"/>
        <v>2.3234075612921755E-4</v>
      </c>
      <c r="E297" s="66">
        <f t="shared" si="266"/>
        <v>2.3013727514795308E-4</v>
      </c>
      <c r="F297" s="66">
        <f t="shared" si="266"/>
        <v>2.2760821720768307E-4</v>
      </c>
      <c r="G297" s="66">
        <f t="shared" si="266"/>
        <v>2.2463902281192466E-4</v>
      </c>
      <c r="H297" s="66">
        <f t="shared" si="266"/>
        <v>2.2109051746193459E-4</v>
      </c>
      <c r="I297" s="66">
        <f t="shared" si="266"/>
        <v>2.1680893106008209E-4</v>
      </c>
      <c r="J297" s="66">
        <f t="shared" si="266"/>
        <v>2.1311013359539936E-4</v>
      </c>
      <c r="K297" s="66">
        <f t="shared" si="266"/>
        <v>2.0842060083660005E-4</v>
      </c>
      <c r="L297" s="66">
        <f t="shared" si="266"/>
        <v>2.0276820127146551E-4</v>
      </c>
      <c r="M297" s="66">
        <f t="shared" si="266"/>
        <v>1.9635902321477744E-4</v>
      </c>
      <c r="N297" s="66">
        <f t="shared" si="266"/>
        <v>1.8958343094338699E-4</v>
      </c>
      <c r="O297" s="66">
        <f t="shared" si="266"/>
        <v>1.8161177075731033E-4</v>
      </c>
      <c r="P297" s="66">
        <f t="shared" si="266"/>
        <v>1.742810760007197E-4</v>
      </c>
      <c r="Q297" s="66">
        <f t="shared" si="266"/>
        <v>1.6790043957968029E-4</v>
      </c>
      <c r="R297" s="66">
        <f t="shared" si="266"/>
        <v>1.6257795621729687E-4</v>
      </c>
      <c r="S297" s="66">
        <f t="shared" si="266"/>
        <v>1.5825607511120617E-4</v>
      </c>
      <c r="T297" s="66">
        <f t="shared" si="266"/>
        <v>1.5487190370425639E-4</v>
      </c>
      <c r="U297" s="66">
        <f t="shared" si="266"/>
        <v>1.5215538640396889E-4</v>
      </c>
      <c r="V297" s="66">
        <f t="shared" si="266"/>
        <v>1.4993810649473194E-4</v>
      </c>
      <c r="W297" s="66">
        <f t="shared" si="266"/>
        <v>1.4808098617105636E-4</v>
      </c>
      <c r="X297" s="66">
        <f t="shared" si="266"/>
        <v>1.4647738077090341E-4</v>
      </c>
      <c r="Y297" s="66">
        <f t="shared" si="266"/>
        <v>1.4524408895064643E-4</v>
      </c>
      <c r="Z297" s="66">
        <f t="shared" si="266"/>
        <v>1.4413063764487019E-4</v>
      </c>
      <c r="AA297" s="66">
        <f t="shared" si="266"/>
        <v>1.4309861479202234E-4</v>
      </c>
      <c r="AB297" s="66">
        <f t="shared" si="266"/>
        <v>1.4212163394392366E-4</v>
      </c>
      <c r="AC297" s="66">
        <f t="shared" si="266"/>
        <v>1.4118172923910464E-4</v>
      </c>
    </row>
    <row r="298" spans="1:29" ht="15.75" thickBot="1" x14ac:dyDescent="0.3">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75" thickBot="1" x14ac:dyDescent="0.3">
      <c r="A299" s="31" t="s">
        <v>210</v>
      </c>
      <c r="B299" s="67">
        <f>B288+B289+B290+B291+B292+B293+B294+B295+B296+B297+B298</f>
        <v>3.0784480924234296E-2</v>
      </c>
      <c r="C299" s="67">
        <f t="shared" ref="C299:AC299" si="268">C288+C289+C290+C291+C292+C293+C294+C295+C296+C297+C298</f>
        <v>3.0469013710629409E-2</v>
      </c>
      <c r="D299" s="67">
        <f t="shared" si="268"/>
        <v>3.0131641763033012E-2</v>
      </c>
      <c r="E299" s="67">
        <f t="shared" si="268"/>
        <v>2.9845395811810463E-2</v>
      </c>
      <c r="F299" s="67">
        <f t="shared" si="268"/>
        <v>2.9516855378757468E-2</v>
      </c>
      <c r="G299" s="67">
        <f t="shared" si="268"/>
        <v>2.9131138469283443E-2</v>
      </c>
      <c r="H299" s="67">
        <f t="shared" si="268"/>
        <v>2.867016544616139E-2</v>
      </c>
      <c r="I299" s="67">
        <f t="shared" si="268"/>
        <v>2.8113960612645428E-2</v>
      </c>
      <c r="J299" s="67">
        <f t="shared" si="268"/>
        <v>2.7633463704499178E-2</v>
      </c>
      <c r="K299" s="67">
        <f t="shared" si="268"/>
        <v>2.7024264089551293E-2</v>
      </c>
      <c r="L299" s="67">
        <f t="shared" si="268"/>
        <v>2.6289982058543181E-2</v>
      </c>
      <c r="M299" s="67">
        <f t="shared" si="268"/>
        <v>2.5457389771616303E-2</v>
      </c>
      <c r="N299" s="67">
        <f t="shared" si="268"/>
        <v>2.457719798811113E-2</v>
      </c>
      <c r="O299" s="67">
        <f t="shared" si="268"/>
        <v>2.3541629507063636E-2</v>
      </c>
      <c r="P299" s="67">
        <f t="shared" si="268"/>
        <v>2.2589326441340374E-2</v>
      </c>
      <c r="Q299" s="67">
        <f t="shared" si="268"/>
        <v>2.176044189126957E-2</v>
      </c>
      <c r="R299" s="67">
        <f t="shared" si="268"/>
        <v>2.1069018036974876E-2</v>
      </c>
      <c r="S299" s="67">
        <f t="shared" si="268"/>
        <v>2.0507578669537029E-2</v>
      </c>
      <c r="T299" s="67">
        <f t="shared" si="268"/>
        <v>2.0067953652702683E-2</v>
      </c>
      <c r="U299" s="67">
        <f t="shared" si="268"/>
        <v>1.9715061077162515E-2</v>
      </c>
      <c r="V299" s="67">
        <f t="shared" si="268"/>
        <v>1.9427022558953136E-2</v>
      </c>
      <c r="W299" s="67">
        <f t="shared" si="268"/>
        <v>1.9185771021905641E-2</v>
      </c>
      <c r="X299" s="67">
        <f t="shared" si="268"/>
        <v>1.8977452657891993E-2</v>
      </c>
      <c r="Y299" s="67">
        <f t="shared" si="268"/>
        <v>1.8817240342366794E-2</v>
      </c>
      <c r="Z299" s="67">
        <f t="shared" si="268"/>
        <v>1.8672596058675831E-2</v>
      </c>
      <c r="AA299" s="67">
        <f t="shared" si="268"/>
        <v>1.8538529839947963E-2</v>
      </c>
      <c r="AB299" s="67">
        <f t="shared" si="268"/>
        <v>1.841161392164967E-2</v>
      </c>
      <c r="AC299" s="67">
        <f t="shared" si="268"/>
        <v>1.8289514426089285E-2</v>
      </c>
    </row>
    <row r="301" spans="1:29" x14ac:dyDescent="0.25">
      <c r="B301" s="40"/>
    </row>
    <row r="324" spans="1:44" s="3" customFormat="1" ht="21" x14ac:dyDescent="0.35">
      <c r="A324" s="2" t="str">
        <f>'Parameter Input'!A182</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Input'!$L$183</f>
        <v>10000000</v>
      </c>
      <c r="C334" s="42">
        <f>'Parameter Input'!$M$183</f>
        <v>4000000</v>
      </c>
      <c r="D334" s="1" t="s">
        <v>15</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Input'!$L$184</f>
        <v>-500000</v>
      </c>
      <c r="C335" s="61">
        <f>'Parameter Input'!$M$184</f>
        <v>-600000</v>
      </c>
      <c r="D335" s="1" t="s">
        <v>15</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Input'!$L$190</f>
        <v>0.06</v>
      </c>
      <c r="C338" s="46">
        <f>'Parameter Input'!$M$190</f>
        <v>0.06</v>
      </c>
      <c r="D338" s="1" t="s">
        <v>57</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Input'!$L$186</f>
        <v>1400000.0000000002</v>
      </c>
      <c r="C340" s="44">
        <f>'Parameter Input'!$M$186</f>
        <v>560000</v>
      </c>
      <c r="D340" s="1" t="s">
        <v>38</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Input'!$L$187</f>
        <v>48.858472727272719</v>
      </c>
      <c r="C342" s="48">
        <f>'Parameter Input'!$M$187</f>
        <v>41.341784615384611</v>
      </c>
      <c r="D342" s="1" t="s">
        <v>60</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Input'!$L$188</f>
        <v>0.2544561408768215</v>
      </c>
      <c r="C343" s="46">
        <f>'Parameter Input'!$M$188</f>
        <v>0.10949010032952979</v>
      </c>
      <c r="D343" s="1" t="s">
        <v>68</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Input'!$L$191</f>
        <v>0</v>
      </c>
      <c r="C344" s="116">
        <f>'Parameter Input'!$M$191</f>
        <v>0</v>
      </c>
      <c r="D344" s="1" t="s">
        <v>76</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Input'!$L$185</f>
        <v>20</v>
      </c>
      <c r="C345" s="44">
        <f>'Parameter Input'!$M$185</f>
        <v>20</v>
      </c>
      <c r="D345" s="1" t="s">
        <v>42</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Input'!$L$189</f>
        <v>1.7857142857142856E-2</v>
      </c>
      <c r="C349" s="73">
        <f>'Parameter Input'!$M$189</f>
        <v>1.7857142857142856E-2</v>
      </c>
      <c r="D349" s="1" t="s">
        <v>57</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1536237.9594715287</v>
      </c>
      <c r="C380" s="62">
        <f t="shared" ref="C380:AC380" si="319">C362*C363*C370</f>
        <v>1490588.6499186431</v>
      </c>
      <c r="D380" s="62">
        <f t="shared" si="319"/>
        <v>1444487.0174955064</v>
      </c>
      <c r="E380" s="62">
        <f t="shared" si="319"/>
        <v>1411592.0125598572</v>
      </c>
      <c r="F380" s="62">
        <f t="shared" si="319"/>
        <v>1377824.0219901975</v>
      </c>
      <c r="G380" s="62">
        <f t="shared" si="319"/>
        <v>1342905.9551219621</v>
      </c>
      <c r="H380" s="62">
        <f t="shared" si="319"/>
        <v>1306517.2767749848</v>
      </c>
      <c r="I380" s="62">
        <f t="shared" si="319"/>
        <v>1268329.4447673161</v>
      </c>
      <c r="J380" s="62">
        <f t="shared" si="319"/>
        <v>1260151.2563238961</v>
      </c>
      <c r="K380" s="62">
        <f t="shared" si="319"/>
        <v>1249158.9920120442</v>
      </c>
      <c r="L380" s="62">
        <f t="shared" si="319"/>
        <v>1235416.7241177468</v>
      </c>
      <c r="M380" s="62">
        <f t="shared" si="319"/>
        <v>1219490.4264371614</v>
      </c>
      <c r="N380" s="62">
        <f t="shared" si="319"/>
        <v>1202469.2980244758</v>
      </c>
      <c r="O380" s="62">
        <f t="shared" si="319"/>
        <v>1156548.0365537594</v>
      </c>
      <c r="P380" s="62">
        <f t="shared" si="319"/>
        <v>1113119.1926938726</v>
      </c>
      <c r="Q380" s="62">
        <f t="shared" si="319"/>
        <v>1072899.2096325678</v>
      </c>
      <c r="R380" s="62">
        <f t="shared" si="319"/>
        <v>1036011.8797505791</v>
      </c>
      <c r="S380" s="62">
        <f t="shared" si="319"/>
        <v>1002134.5214844714</v>
      </c>
      <c r="T380" s="62">
        <f t="shared" si="319"/>
        <v>972674.44199255272</v>
      </c>
      <c r="U380" s="62">
        <f t="shared" si="319"/>
        <v>945082.08247779054</v>
      </c>
      <c r="V380" s="62">
        <f t="shared" si="319"/>
        <v>918851.81719617802</v>
      </c>
      <c r="W380" s="62">
        <f t="shared" si="319"/>
        <v>893581.39059454401</v>
      </c>
      <c r="X380" s="62">
        <f t="shared" si="319"/>
        <v>868971.42681532865</v>
      </c>
      <c r="Y380" s="62">
        <f t="shared" si="319"/>
        <v>849093.10405644623</v>
      </c>
      <c r="Z380" s="62">
        <f t="shared" si="319"/>
        <v>829508.39653284661</v>
      </c>
      <c r="AA380" s="62">
        <f t="shared" si="319"/>
        <v>810119.48053092149</v>
      </c>
      <c r="AB380" s="62">
        <f t="shared" si="319"/>
        <v>790860.42201772577</v>
      </c>
      <c r="AC380" s="62">
        <f t="shared" si="319"/>
        <v>771687.16536570783</v>
      </c>
    </row>
    <row r="381" spans="1:29" ht="15.75" thickBot="1" x14ac:dyDescent="0.3">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75" thickBot="1" x14ac:dyDescent="0.3">
      <c r="A382" s="31" t="s">
        <v>209</v>
      </c>
      <c r="B382" s="64">
        <f>B373+B374+B375+B376+B377+B378+B379+B380+B381</f>
        <v>7086249.3735223245</v>
      </c>
      <c r="C382" s="64">
        <f t="shared" ref="C382:AC382" si="321">C373+C374+C375+C376+C377+C378+C379+C380+C381</f>
        <v>7032845.4565604562</v>
      </c>
      <c r="D382" s="64">
        <f t="shared" si="321"/>
        <v>6975733.3932534037</v>
      </c>
      <c r="E382" s="64">
        <f t="shared" si="321"/>
        <v>6927276.2022981923</v>
      </c>
      <c r="F382" s="64">
        <f t="shared" si="321"/>
        <v>6871659.1833221624</v>
      </c>
      <c r="G382" s="64">
        <f t="shared" si="321"/>
        <v>6806363.0355261546</v>
      </c>
      <c r="H382" s="64">
        <f t="shared" si="321"/>
        <v>6728327.1446734685</v>
      </c>
      <c r="I382" s="64">
        <f t="shared" si="321"/>
        <v>6634169.921792997</v>
      </c>
      <c r="J382" s="64">
        <f t="shared" si="321"/>
        <v>6552828.9269876983</v>
      </c>
      <c r="K382" s="64">
        <f t="shared" si="321"/>
        <v>6449700.4741823729</v>
      </c>
      <c r="L382" s="64">
        <f t="shared" si="321"/>
        <v>6325397.4248656109</v>
      </c>
      <c r="M382" s="64">
        <f t="shared" si="321"/>
        <v>6184451.9083853289</v>
      </c>
      <c r="N382" s="64">
        <f t="shared" si="321"/>
        <v>6035448.5036267526</v>
      </c>
      <c r="O382" s="64">
        <f t="shared" si="321"/>
        <v>5860142.1301427074</v>
      </c>
      <c r="P382" s="64">
        <f t="shared" si="321"/>
        <v>5698931.3556115869</v>
      </c>
      <c r="Q382" s="64">
        <f t="shared" si="321"/>
        <v>5558613.5039492007</v>
      </c>
      <c r="R382" s="64">
        <f t="shared" si="321"/>
        <v>5441565.7078303415</v>
      </c>
      <c r="S382" s="64">
        <f t="shared" si="321"/>
        <v>5346522.3560501225</v>
      </c>
      <c r="T382" s="64">
        <f t="shared" si="321"/>
        <v>5272100.3658055607</v>
      </c>
      <c r="U382" s="64">
        <f t="shared" si="321"/>
        <v>5212360.8905515289</v>
      </c>
      <c r="V382" s="64">
        <f t="shared" si="321"/>
        <v>5163600.2446115073</v>
      </c>
      <c r="W382" s="64">
        <f t="shared" si="321"/>
        <v>5122759.9401494907</v>
      </c>
      <c r="X382" s="64">
        <f t="shared" si="321"/>
        <v>5087494.7330736425</v>
      </c>
      <c r="Y382" s="64">
        <f t="shared" si="321"/>
        <v>5060373.165996016</v>
      </c>
      <c r="Z382" s="64">
        <f t="shared" si="321"/>
        <v>5035887.0356404353</v>
      </c>
      <c r="AA382" s="64">
        <f t="shared" si="321"/>
        <v>5013191.61467887</v>
      </c>
      <c r="AB382" s="64">
        <f t="shared" si="321"/>
        <v>4991706.6334521677</v>
      </c>
      <c r="AC382" s="64">
        <f t="shared" si="321"/>
        <v>4971037.001107554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8.606375123089796</v>
      </c>
      <c r="C392" s="66">
        <f t="shared" ref="C392:AC392" si="330">C362*C363*C370/C370</f>
        <v>8.3506366942220893</v>
      </c>
      <c r="D392" s="66">
        <f t="shared" si="330"/>
        <v>8.0923642436723053</v>
      </c>
      <c r="E392" s="66">
        <f t="shared" si="330"/>
        <v>7.9080785017358952</v>
      </c>
      <c r="F392" s="66">
        <f t="shared" si="330"/>
        <v>7.7189020839786977</v>
      </c>
      <c r="G392" s="66">
        <f t="shared" si="330"/>
        <v>7.5232826617476869</v>
      </c>
      <c r="H392" s="66">
        <f t="shared" si="330"/>
        <v>7.3194245197478143</v>
      </c>
      <c r="I392" s="66">
        <f t="shared" si="330"/>
        <v>7.1054870855311822</v>
      </c>
      <c r="J392" s="66">
        <f t="shared" si="330"/>
        <v>7.059670903775328</v>
      </c>
      <c r="K392" s="66">
        <f t="shared" si="330"/>
        <v>6.9980895911038887</v>
      </c>
      <c r="L392" s="66">
        <f t="shared" si="330"/>
        <v>6.9211020958977416</v>
      </c>
      <c r="M392" s="66">
        <f t="shared" si="330"/>
        <v>6.8318791397039851</v>
      </c>
      <c r="N392" s="66">
        <f t="shared" si="330"/>
        <v>6.7365226780082681</v>
      </c>
      <c r="O392" s="66">
        <f t="shared" si="330"/>
        <v>6.4792607089846461</v>
      </c>
      <c r="P392" s="66">
        <f t="shared" si="330"/>
        <v>6.2359618638312195</v>
      </c>
      <c r="Q392" s="66">
        <f t="shared" si="330"/>
        <v>6.0106398298743295</v>
      </c>
      <c r="R392" s="66">
        <f t="shared" si="330"/>
        <v>5.803988121851984</v>
      </c>
      <c r="S392" s="66">
        <f t="shared" si="330"/>
        <v>5.6141989999130049</v>
      </c>
      <c r="T392" s="66">
        <f t="shared" si="330"/>
        <v>5.4491565377734048</v>
      </c>
      <c r="U392" s="66">
        <f t="shared" si="330"/>
        <v>5.2945774928727758</v>
      </c>
      <c r="V392" s="66">
        <f t="shared" si="330"/>
        <v>5.1476292279897926</v>
      </c>
      <c r="W392" s="66">
        <f t="shared" si="330"/>
        <v>5.0060582106136922</v>
      </c>
      <c r="X392" s="66">
        <f t="shared" si="330"/>
        <v>4.8681872650718692</v>
      </c>
      <c r="Y392" s="66">
        <f t="shared" si="330"/>
        <v>4.7568241123610431</v>
      </c>
      <c r="Z392" s="66">
        <f t="shared" si="330"/>
        <v>4.6471058629291129</v>
      </c>
      <c r="AA392" s="66">
        <f t="shared" si="330"/>
        <v>4.5384844847670669</v>
      </c>
      <c r="AB392" s="66">
        <f t="shared" si="330"/>
        <v>4.4305905995390802</v>
      </c>
      <c r="AC392" s="66">
        <f t="shared" si="330"/>
        <v>4.3231773970067664</v>
      </c>
    </row>
    <row r="393" spans="1:29" ht="15.75" thickBot="1" x14ac:dyDescent="0.3">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75" thickBot="1" x14ac:dyDescent="0.3">
      <c r="A394" s="31" t="s">
        <v>63</v>
      </c>
      <c r="B394" s="76">
        <f>B385+B386+B387-B388+B389+B390+B391+B392+B393</f>
        <v>39.869814657412576</v>
      </c>
      <c r="C394" s="76">
        <f t="shared" ref="C394:AC394" si="333">C385+C386+C387-C388+C389+C390+C391+C392+C393</f>
        <v>39.570633049783062</v>
      </c>
      <c r="D394" s="76">
        <f t="shared" si="333"/>
        <v>39.250677513048871</v>
      </c>
      <c r="E394" s="76">
        <f t="shared" si="333"/>
        <v>38.979208656156935</v>
      </c>
      <c r="F394" s="76">
        <f t="shared" si="333"/>
        <v>38.667628717915861</v>
      </c>
      <c r="G394" s="76">
        <f t="shared" si="333"/>
        <v>38.301823968358399</v>
      </c>
      <c r="H394" s="76">
        <f t="shared" si="333"/>
        <v>37.86464810923971</v>
      </c>
      <c r="I394" s="76">
        <f t="shared" si="333"/>
        <v>37.337156664531186</v>
      </c>
      <c r="J394" s="76">
        <f t="shared" si="333"/>
        <v>36.881464816882456</v>
      </c>
      <c r="K394" s="76">
        <f t="shared" si="333"/>
        <v>36.303714380998272</v>
      </c>
      <c r="L394" s="76">
        <f t="shared" si="333"/>
        <v>35.607338754573846</v>
      </c>
      <c r="M394" s="76">
        <f t="shared" si="333"/>
        <v>34.81772801798963</v>
      </c>
      <c r="N394" s="76">
        <f t="shared" si="333"/>
        <v>33.982975050154465</v>
      </c>
      <c r="O394" s="76">
        <f t="shared" si="333"/>
        <v>33.000866515229845</v>
      </c>
      <c r="P394" s="76">
        <f t="shared" si="333"/>
        <v>32.097724921217967</v>
      </c>
      <c r="Q394" s="76">
        <f t="shared" si="333"/>
        <v>31.311630514145765</v>
      </c>
      <c r="R394" s="76">
        <f t="shared" si="333"/>
        <v>30.655900563900058</v>
      </c>
      <c r="S394" s="76">
        <f t="shared" si="333"/>
        <v>30.123444811629923</v>
      </c>
      <c r="T394" s="76">
        <f t="shared" si="333"/>
        <v>29.706514894293441</v>
      </c>
      <c r="U394" s="76">
        <f t="shared" si="333"/>
        <v>29.371839962898314</v>
      </c>
      <c r="V394" s="76">
        <f t="shared" si="333"/>
        <v>29.098671078080262</v>
      </c>
      <c r="W394" s="76">
        <f t="shared" si="333"/>
        <v>28.869873854203419</v>
      </c>
      <c r="X394" s="76">
        <f t="shared" si="333"/>
        <v>28.672309668904546</v>
      </c>
      <c r="Y394" s="76">
        <f t="shared" si="333"/>
        <v>28.520368116648939</v>
      </c>
      <c r="Z394" s="76">
        <f t="shared" si="333"/>
        <v>28.383190915777337</v>
      </c>
      <c r="AA394" s="76">
        <f t="shared" si="333"/>
        <v>28.256045700306387</v>
      </c>
      <c r="AB394" s="76">
        <f t="shared" si="333"/>
        <v>28.135681659820655</v>
      </c>
      <c r="AC394" s="76">
        <f t="shared" si="333"/>
        <v>28.019885400186965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3.8421317513793731E-3</v>
      </c>
      <c r="C404" s="66">
        <f t="shared" ref="C404:AC404" si="342">C362*C363*C370/C370/(C367)</f>
        <v>3.7279628099205755E-3</v>
      </c>
      <c r="D404" s="66">
        <f t="shared" si="342"/>
        <v>3.6126626087822794E-3</v>
      </c>
      <c r="E404" s="66">
        <f t="shared" si="342"/>
        <v>3.5303921882749532E-3</v>
      </c>
      <c r="F404" s="66">
        <f t="shared" si="342"/>
        <v>3.4459384303476329E-3</v>
      </c>
      <c r="G404" s="66">
        <f t="shared" si="342"/>
        <v>3.3586083311373601E-3</v>
      </c>
      <c r="H404" s="66">
        <f t="shared" si="342"/>
        <v>3.2676002320302742E-3</v>
      </c>
      <c r="I404" s="66">
        <f t="shared" si="342"/>
        <v>3.1720924488978491E-3</v>
      </c>
      <c r="J404" s="66">
        <f t="shared" si="342"/>
        <v>3.1516387963282716E-3</v>
      </c>
      <c r="K404" s="66">
        <f t="shared" si="342"/>
        <v>3.1241471388856645E-3</v>
      </c>
      <c r="L404" s="66">
        <f t="shared" si="342"/>
        <v>3.0897777213829206E-3</v>
      </c>
      <c r="M404" s="66">
        <f t="shared" si="342"/>
        <v>3.0499460445107076E-3</v>
      </c>
      <c r="N404" s="66">
        <f t="shared" si="342"/>
        <v>3.0073761955394054E-3</v>
      </c>
      <c r="O404" s="66">
        <f t="shared" si="342"/>
        <v>2.8925271022252883E-3</v>
      </c>
      <c r="P404" s="66">
        <f t="shared" si="342"/>
        <v>2.7839115463532231E-3</v>
      </c>
      <c r="Q404" s="66">
        <f t="shared" si="342"/>
        <v>2.6833213526224683E-3</v>
      </c>
      <c r="R404" s="66">
        <f t="shared" si="342"/>
        <v>2.5910661258267786E-3</v>
      </c>
      <c r="S404" s="66">
        <f t="shared" si="342"/>
        <v>2.5063388392468772E-3</v>
      </c>
      <c r="T404" s="66">
        <f t="shared" si="342"/>
        <v>2.4326591686488416E-3</v>
      </c>
      <c r="U404" s="66">
        <f t="shared" si="342"/>
        <v>2.3636506664610605E-3</v>
      </c>
      <c r="V404" s="66">
        <f t="shared" si="342"/>
        <v>2.2980487624954431E-3</v>
      </c>
      <c r="W404" s="66">
        <f t="shared" si="342"/>
        <v>2.2348474154525412E-3</v>
      </c>
      <c r="X404" s="66">
        <f t="shared" si="342"/>
        <v>2.1732978861927986E-3</v>
      </c>
      <c r="Y404" s="66">
        <f t="shared" si="342"/>
        <v>2.1235821930183228E-3</v>
      </c>
      <c r="Z404" s="66">
        <f t="shared" si="342"/>
        <v>2.0746008316647824E-3</v>
      </c>
      <c r="AA404" s="66">
        <f t="shared" si="342"/>
        <v>2.0261091449852975E-3</v>
      </c>
      <c r="AB404" s="66">
        <f t="shared" si="342"/>
        <v>1.9779422319370892E-3</v>
      </c>
      <c r="AC404" s="66">
        <f t="shared" si="342"/>
        <v>1.9299899093780208E-3</v>
      </c>
    </row>
    <row r="405" spans="1:29" x14ac:dyDescent="0.25">
      <c r="A405" s="59" t="str">
        <f>A368</f>
        <v>Market failure (av. utilization)</v>
      </c>
      <c r="B405" s="66">
        <f t="shared" ref="B405:AC405" si="343">B394/B368-B394/B367</f>
        <v>6.9218428224674562E-3</v>
      </c>
      <c r="C405" s="66">
        <f t="shared" si="343"/>
        <v>6.8699015711428911E-3</v>
      </c>
      <c r="D405" s="66">
        <f t="shared" si="343"/>
        <v>6.8143537349043166E-3</v>
      </c>
      <c r="E405" s="66">
        <f t="shared" si="343"/>
        <v>6.7672237250272424E-3</v>
      </c>
      <c r="F405" s="66">
        <f t="shared" si="343"/>
        <v>6.713129985749279E-3</v>
      </c>
      <c r="G405" s="66">
        <f t="shared" si="343"/>
        <v>6.6496222167288857E-3</v>
      </c>
      <c r="H405" s="66">
        <f t="shared" si="343"/>
        <v>6.5737236300763349E-3</v>
      </c>
      <c r="I405" s="66">
        <f t="shared" si="343"/>
        <v>6.482145254258883E-3</v>
      </c>
      <c r="J405" s="66">
        <f t="shared" si="343"/>
        <v>6.4030320862643111E-3</v>
      </c>
      <c r="K405" s="66">
        <f t="shared" si="343"/>
        <v>6.3027281911455305E-3</v>
      </c>
      <c r="L405" s="66">
        <f t="shared" si="343"/>
        <v>6.1818296448912895E-3</v>
      </c>
      <c r="M405" s="66">
        <f t="shared" si="343"/>
        <v>6.0447444475676421E-3</v>
      </c>
      <c r="N405" s="66">
        <f t="shared" si="343"/>
        <v>5.8998220573184823E-3</v>
      </c>
      <c r="O405" s="66">
        <f t="shared" si="343"/>
        <v>5.7293171033385108E-3</v>
      </c>
      <c r="P405" s="66">
        <f t="shared" si="343"/>
        <v>5.572521687711449E-3</v>
      </c>
      <c r="Q405" s="66">
        <f t="shared" si="343"/>
        <v>5.4360469642614137E-3</v>
      </c>
      <c r="R405" s="66">
        <f t="shared" si="343"/>
        <v>5.3222049590104237E-3</v>
      </c>
      <c r="S405" s="66">
        <f t="shared" si="343"/>
        <v>5.2297647242413054E-3</v>
      </c>
      <c r="T405" s="66">
        <f t="shared" si="343"/>
        <v>5.1573810580370551E-3</v>
      </c>
      <c r="U405" s="66">
        <f t="shared" si="343"/>
        <v>5.0992777713365113E-3</v>
      </c>
      <c r="V405" s="66">
        <f t="shared" si="343"/>
        <v>5.0518526177222647E-3</v>
      </c>
      <c r="W405" s="66">
        <f t="shared" si="343"/>
        <v>5.0121308774658691E-3</v>
      </c>
      <c r="X405" s="66">
        <f t="shared" si="343"/>
        <v>4.977831539740369E-3</v>
      </c>
      <c r="Y405" s="66">
        <f t="shared" si="343"/>
        <v>4.9514527980293287E-3</v>
      </c>
      <c r="Z405" s="66">
        <f t="shared" si="343"/>
        <v>4.9276373117668974E-3</v>
      </c>
      <c r="AA405" s="66">
        <f t="shared" si="343"/>
        <v>4.905563489636524E-3</v>
      </c>
      <c r="AB405" s="66">
        <f t="shared" si="343"/>
        <v>4.8846669548299731E-3</v>
      </c>
      <c r="AC405" s="66">
        <f t="shared" si="343"/>
        <v>4.864563437532457E-3</v>
      </c>
    </row>
    <row r="406" spans="1:29" x14ac:dyDescent="0.25">
      <c r="A406" s="59" t="str">
        <f>A369</f>
        <v>Payload loss (fuel)</v>
      </c>
      <c r="B406" s="66">
        <f>B394/(B367-B369)-B394/B367</f>
        <v>3.2361862546601006E-4</v>
      </c>
      <c r="C406" s="66">
        <f t="shared" ref="C406:AC406" si="344">C394/(C367-C369)-C394/C367</f>
        <v>3.2119020332616391E-4</v>
      </c>
      <c r="D406" s="66">
        <f t="shared" si="344"/>
        <v>3.1859316163189086E-4</v>
      </c>
      <c r="E406" s="66">
        <f t="shared" si="344"/>
        <v>3.1638968065062292E-4</v>
      </c>
      <c r="F406" s="66">
        <f t="shared" si="344"/>
        <v>3.1386062271035464E-4</v>
      </c>
      <c r="G406" s="66">
        <f t="shared" si="344"/>
        <v>3.108914283145997E-4</v>
      </c>
      <c r="H406" s="66">
        <f t="shared" si="344"/>
        <v>3.0734292296460616E-4</v>
      </c>
      <c r="I406" s="66">
        <f t="shared" si="344"/>
        <v>3.0306133656275019E-4</v>
      </c>
      <c r="J406" s="66">
        <f t="shared" si="344"/>
        <v>2.993625390980692E-4</v>
      </c>
      <c r="K406" s="66">
        <f t="shared" si="344"/>
        <v>2.9467300633927163E-4</v>
      </c>
      <c r="L406" s="66">
        <f t="shared" si="344"/>
        <v>2.8902060677413535E-4</v>
      </c>
      <c r="M406" s="66">
        <f t="shared" si="344"/>
        <v>2.8261142871744728E-4</v>
      </c>
      <c r="N406" s="66">
        <f t="shared" si="344"/>
        <v>2.7583583644605857E-4</v>
      </c>
      <c r="O406" s="66">
        <f t="shared" si="344"/>
        <v>2.6786417625998191E-4</v>
      </c>
      <c r="P406" s="66">
        <f t="shared" si="344"/>
        <v>2.6053348150339301E-4</v>
      </c>
      <c r="Q406" s="66">
        <f t="shared" si="344"/>
        <v>2.5415284508235186E-4</v>
      </c>
      <c r="R406" s="66">
        <f t="shared" si="344"/>
        <v>2.4883036171996845E-4</v>
      </c>
      <c r="S406" s="66">
        <f t="shared" si="344"/>
        <v>2.4450848061387948E-4</v>
      </c>
      <c r="T406" s="66">
        <f t="shared" si="344"/>
        <v>2.4112430920692797E-4</v>
      </c>
      <c r="U406" s="66">
        <f t="shared" si="344"/>
        <v>2.384077919066422E-4</v>
      </c>
      <c r="V406" s="66">
        <f t="shared" si="344"/>
        <v>2.3619051199740525E-4</v>
      </c>
      <c r="W406" s="66">
        <f t="shared" si="344"/>
        <v>2.3433339167372967E-4</v>
      </c>
      <c r="X406" s="66">
        <f t="shared" si="344"/>
        <v>2.3272978627357499E-4</v>
      </c>
      <c r="Y406" s="66">
        <f t="shared" si="344"/>
        <v>2.3149649445331974E-4</v>
      </c>
      <c r="Z406" s="66">
        <f t="shared" si="344"/>
        <v>2.303830431475435E-4</v>
      </c>
      <c r="AA406" s="66">
        <f t="shared" si="344"/>
        <v>2.2935102029469565E-4</v>
      </c>
      <c r="AB406" s="66">
        <f t="shared" si="344"/>
        <v>2.2837403944659697E-4</v>
      </c>
      <c r="AC406" s="66">
        <f t="shared" si="344"/>
        <v>2.2743413474177708E-4</v>
      </c>
    </row>
    <row r="407" spans="1:29" ht="15.75" thickBot="1" x14ac:dyDescent="0.3">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75" thickBot="1" x14ac:dyDescent="0.3">
      <c r="A408" s="31" t="s">
        <v>210</v>
      </c>
      <c r="B408" s="67">
        <f>B397+B398+B399+B400+B401+B402+B403+B404+B405+B406+B407</f>
        <v>2.4968173966746804E-2</v>
      </c>
      <c r="C408" s="67">
        <f t="shared" ref="C408:AC408" si="346">C397+C398+C399+C400+C401+C402+C403+C404+C405+C406+C407</f>
        <v>2.4780241075590646E-2</v>
      </c>
      <c r="D408" s="67">
        <f t="shared" si="346"/>
        <v>2.4579258904472892E-2</v>
      </c>
      <c r="E408" s="67">
        <f t="shared" si="346"/>
        <v>2.4408733959644931E-2</v>
      </c>
      <c r="F408" s="67">
        <f t="shared" si="346"/>
        <v>2.4213012975711937E-2</v>
      </c>
      <c r="G408" s="67">
        <f t="shared" si="346"/>
        <v>2.3983230320529063E-2</v>
      </c>
      <c r="H408" s="67">
        <f t="shared" si="346"/>
        <v>2.3708615434277106E-2</v>
      </c>
      <c r="I408" s="67">
        <f t="shared" si="346"/>
        <v>2.3377268219955779E-2</v>
      </c>
      <c r="J408" s="67">
        <f t="shared" si="346"/>
        <v>2.3091022393939058E-2</v>
      </c>
      <c r="K408" s="67">
        <f t="shared" si="346"/>
        <v>2.272810466432747E-2</v>
      </c>
      <c r="L408" s="67">
        <f t="shared" si="346"/>
        <v>2.2290671742425758E-2</v>
      </c>
      <c r="M408" s="67">
        <f t="shared" si="346"/>
        <v>2.1794672573927469E-2</v>
      </c>
      <c r="N408" s="67">
        <f t="shared" si="346"/>
        <v>2.1270317016480508E-2</v>
      </c>
      <c r="O408" s="67">
        <f t="shared" si="346"/>
        <v>2.0653399092080253E-2</v>
      </c>
      <c r="P408" s="67">
        <f t="shared" si="346"/>
        <v>2.0086084770084157E-2</v>
      </c>
      <c r="Q408" s="67">
        <f t="shared" si="346"/>
        <v>1.9592294407055851E-2</v>
      </c>
      <c r="R408" s="67">
        <f t="shared" si="346"/>
        <v>1.9180393333511358E-2</v>
      </c>
      <c r="S408" s="67">
        <f t="shared" si="346"/>
        <v>1.8845927756801266E-2</v>
      </c>
      <c r="T408" s="67">
        <f t="shared" si="346"/>
        <v>1.8584030491807707E-2</v>
      </c>
      <c r="U408" s="67">
        <f t="shared" si="346"/>
        <v>1.8373802236291197E-2</v>
      </c>
      <c r="V408" s="67">
        <f t="shared" si="346"/>
        <v>1.8202209407759656E-2</v>
      </c>
      <c r="W408" s="67">
        <f t="shared" si="346"/>
        <v>1.805848892937742E-2</v>
      </c>
      <c r="X408" s="67">
        <f t="shared" si="346"/>
        <v>1.7934387689243339E-2</v>
      </c>
      <c r="Y408" s="67">
        <f t="shared" si="346"/>
        <v>1.7838944605597935E-2</v>
      </c>
      <c r="Z408" s="67">
        <f t="shared" si="346"/>
        <v>1.7752775846212043E-2</v>
      </c>
      <c r="AA408" s="67">
        <f t="shared" si="346"/>
        <v>1.767290874432215E-2</v>
      </c>
      <c r="AB408" s="67">
        <f t="shared" si="346"/>
        <v>1.7597301282022089E-2</v>
      </c>
      <c r="AC408" s="67">
        <f t="shared" si="346"/>
        <v>1.7524563101254713E-2</v>
      </c>
    </row>
    <row r="410" spans="1:29" x14ac:dyDescent="0.25">
      <c r="B410" s="40"/>
    </row>
    <row r="429" spans="1:1" s="3" customFormat="1" ht="21" x14ac:dyDescent="0.35">
      <c r="A429" s="2" t="str">
        <f>'Parameter Input'!A193</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Input'!$L$183</f>
        <v>10000000</v>
      </c>
      <c r="C439" s="42">
        <f>'Parameter Input'!$M$183</f>
        <v>4000000</v>
      </c>
      <c r="D439" s="1" t="s">
        <v>15</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Input'!$L$184</f>
        <v>-500000</v>
      </c>
      <c r="C440" s="61">
        <f>'Parameter Input'!$M$184</f>
        <v>-600000</v>
      </c>
      <c r="D440" s="1" t="s">
        <v>15</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Input'!$L$190</f>
        <v>0.06</v>
      </c>
      <c r="C443" s="46">
        <f>'Parameter Input'!$M$190</f>
        <v>0.06</v>
      </c>
      <c r="D443" s="1" t="s">
        <v>57</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Input'!$L$186</f>
        <v>1400000.0000000002</v>
      </c>
      <c r="C445" s="44">
        <f>'Parameter Input'!$M$186</f>
        <v>560000</v>
      </c>
      <c r="D445" s="1" t="s">
        <v>38</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Input'!$L$187</f>
        <v>48.858472727272719</v>
      </c>
      <c r="C447" s="48">
        <f>'Parameter Input'!$M$187</f>
        <v>41.341784615384611</v>
      </c>
      <c r="D447" s="1" t="s">
        <v>60</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Input'!$L$188</f>
        <v>0.2544561408768215</v>
      </c>
      <c r="C448" s="46">
        <f>'Parameter Input'!$M$188</f>
        <v>0.10949010032952979</v>
      </c>
      <c r="D448" s="1" t="s">
        <v>68</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Input'!$L$191</f>
        <v>0</v>
      </c>
      <c r="C449" s="116">
        <f>'Parameter Input'!$M$191</f>
        <v>0</v>
      </c>
      <c r="D449" s="1" t="s">
        <v>76</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Input'!$L$185</f>
        <v>20</v>
      </c>
      <c r="C450" s="44">
        <f>'Parameter Input'!$M$185</f>
        <v>20</v>
      </c>
      <c r="D450" s="1" t="s">
        <v>42</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Input'!$L$189</f>
        <v>1.7857142857142856E-2</v>
      </c>
      <c r="C454" s="73">
        <f>'Parameter Input'!$M$189</f>
        <v>1.7857142857142856E-2</v>
      </c>
      <c r="D454" s="1" t="s">
        <v>57</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25">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1536237.9594715287</v>
      </c>
      <c r="C485" s="62">
        <f t="shared" ref="C485:AC485" si="397">C467*C468*C475</f>
        <v>1490588.6499186431</v>
      </c>
      <c r="D485" s="62">
        <f t="shared" si="397"/>
        <v>1444487.0174955064</v>
      </c>
      <c r="E485" s="62">
        <f t="shared" si="397"/>
        <v>1411592.0125598572</v>
      </c>
      <c r="F485" s="62">
        <f t="shared" si="397"/>
        <v>1377824.0219901975</v>
      </c>
      <c r="G485" s="62">
        <f t="shared" si="397"/>
        <v>1342905.9551219621</v>
      </c>
      <c r="H485" s="62">
        <f t="shared" si="397"/>
        <v>1306517.2767749848</v>
      </c>
      <c r="I485" s="62">
        <f t="shared" si="397"/>
        <v>1268329.4447673161</v>
      </c>
      <c r="J485" s="62">
        <f t="shared" si="397"/>
        <v>1260151.2563238961</v>
      </c>
      <c r="K485" s="62">
        <f t="shared" si="397"/>
        <v>1249158.9920120442</v>
      </c>
      <c r="L485" s="62">
        <f t="shared" si="397"/>
        <v>1235416.7241177468</v>
      </c>
      <c r="M485" s="62">
        <f t="shared" si="397"/>
        <v>1219490.4264371614</v>
      </c>
      <c r="N485" s="62">
        <f t="shared" si="397"/>
        <v>1202469.2980244758</v>
      </c>
      <c r="O485" s="62">
        <f t="shared" si="397"/>
        <v>1156548.0365537594</v>
      </c>
      <c r="P485" s="62">
        <f t="shared" si="397"/>
        <v>1113119.1926938726</v>
      </c>
      <c r="Q485" s="62">
        <f t="shared" si="397"/>
        <v>1072899.2096325678</v>
      </c>
      <c r="R485" s="62">
        <f t="shared" si="397"/>
        <v>1036011.8797505791</v>
      </c>
      <c r="S485" s="62">
        <f t="shared" si="397"/>
        <v>1002134.5214844714</v>
      </c>
      <c r="T485" s="62">
        <f t="shared" si="397"/>
        <v>972674.44199255272</v>
      </c>
      <c r="U485" s="62">
        <f t="shared" si="397"/>
        <v>945082.08247779054</v>
      </c>
      <c r="V485" s="62">
        <f t="shared" si="397"/>
        <v>918851.81719617802</v>
      </c>
      <c r="W485" s="62">
        <f t="shared" si="397"/>
        <v>893581.39059454401</v>
      </c>
      <c r="X485" s="62">
        <f t="shared" si="397"/>
        <v>868971.42681532865</v>
      </c>
      <c r="Y485" s="62">
        <f t="shared" si="397"/>
        <v>849093.10405644623</v>
      </c>
      <c r="Z485" s="62">
        <f t="shared" si="397"/>
        <v>829508.39653284661</v>
      </c>
      <c r="AA485" s="62">
        <f t="shared" si="397"/>
        <v>810119.48053092149</v>
      </c>
      <c r="AB485" s="62">
        <f t="shared" si="397"/>
        <v>790860.42201772577</v>
      </c>
      <c r="AC485" s="62">
        <f t="shared" si="397"/>
        <v>771687.16536570783</v>
      </c>
    </row>
    <row r="486" spans="1:29" ht="15.75" thickBot="1" x14ac:dyDescent="0.3">
      <c r="A486" s="59" t="str">
        <f>A449</f>
        <v>Emission Cost</v>
      </c>
      <c r="B486" s="62">
        <f>B469*B475</f>
        <v>0</v>
      </c>
      <c r="C486" s="62">
        <f t="shared" ref="C486:AC486" si="398">C469*C475</f>
        <v>0</v>
      </c>
      <c r="D486" s="62">
        <f t="shared" si="398"/>
        <v>0</v>
      </c>
      <c r="E486" s="62">
        <f t="shared" si="398"/>
        <v>0</v>
      </c>
      <c r="F486" s="62">
        <f t="shared" si="398"/>
        <v>0</v>
      </c>
      <c r="G486" s="62">
        <f t="shared" si="398"/>
        <v>0</v>
      </c>
      <c r="H486" s="62">
        <f t="shared" si="398"/>
        <v>0</v>
      </c>
      <c r="I486" s="62">
        <f t="shared" si="398"/>
        <v>0</v>
      </c>
      <c r="J486" s="62">
        <f t="shared" si="398"/>
        <v>0</v>
      </c>
      <c r="K486" s="62">
        <f t="shared" si="398"/>
        <v>0</v>
      </c>
      <c r="L486" s="62">
        <f t="shared" si="398"/>
        <v>0</v>
      </c>
      <c r="M486" s="62">
        <f t="shared" si="398"/>
        <v>0</v>
      </c>
      <c r="N486" s="62">
        <f t="shared" si="398"/>
        <v>0</v>
      </c>
      <c r="O486" s="62">
        <f t="shared" si="398"/>
        <v>0</v>
      </c>
      <c r="P486" s="62">
        <f t="shared" si="398"/>
        <v>0</v>
      </c>
      <c r="Q486" s="62">
        <f t="shared" si="398"/>
        <v>0</v>
      </c>
      <c r="R486" s="62">
        <f t="shared" si="398"/>
        <v>0</v>
      </c>
      <c r="S486" s="62">
        <f t="shared" si="398"/>
        <v>0</v>
      </c>
      <c r="T486" s="62">
        <f t="shared" si="398"/>
        <v>0</v>
      </c>
      <c r="U486" s="62">
        <f t="shared" si="398"/>
        <v>0</v>
      </c>
      <c r="V486" s="62">
        <f t="shared" si="398"/>
        <v>0</v>
      </c>
      <c r="W486" s="62">
        <f t="shared" si="398"/>
        <v>0</v>
      </c>
      <c r="X486" s="62">
        <f t="shared" si="398"/>
        <v>0</v>
      </c>
      <c r="Y486" s="62">
        <f t="shared" si="398"/>
        <v>0</v>
      </c>
      <c r="Z486" s="62">
        <f t="shared" si="398"/>
        <v>0</v>
      </c>
      <c r="AA486" s="62">
        <f t="shared" si="398"/>
        <v>0</v>
      </c>
      <c r="AB486" s="62">
        <f t="shared" si="398"/>
        <v>0</v>
      </c>
      <c r="AC486" s="62">
        <f t="shared" si="398"/>
        <v>0</v>
      </c>
    </row>
    <row r="487" spans="1:29" ht="15.75" thickBot="1" x14ac:dyDescent="0.3">
      <c r="A487" s="31" t="s">
        <v>209</v>
      </c>
      <c r="B487" s="64">
        <f>B478+B479+B480+B481+B482+B483+B484+B485+B486</f>
        <v>5337937.8473814437</v>
      </c>
      <c r="C487" s="64">
        <f t="shared" ref="C487:AC487" si="399">C478+C479+C480+C481+C482+C483+C484+C485+C486</f>
        <v>5284533.9304195754</v>
      </c>
      <c r="D487" s="64">
        <f t="shared" si="399"/>
        <v>5227421.867112522</v>
      </c>
      <c r="E487" s="64">
        <f t="shared" si="399"/>
        <v>5178964.6761573115</v>
      </c>
      <c r="F487" s="64">
        <f t="shared" si="399"/>
        <v>5123347.6571812807</v>
      </c>
      <c r="G487" s="64">
        <f t="shared" si="399"/>
        <v>5058051.5093852729</v>
      </c>
      <c r="H487" s="64">
        <f t="shared" si="399"/>
        <v>4980015.6185325868</v>
      </c>
      <c r="I487" s="64">
        <f t="shared" si="399"/>
        <v>4885858.3956521153</v>
      </c>
      <c r="J487" s="64">
        <f t="shared" si="399"/>
        <v>4804517.4008468166</v>
      </c>
      <c r="K487" s="64">
        <f t="shared" si="399"/>
        <v>4701388.9480414912</v>
      </c>
      <c r="L487" s="64">
        <f t="shared" si="399"/>
        <v>4577085.8987247292</v>
      </c>
      <c r="M487" s="64">
        <f t="shared" si="399"/>
        <v>4436140.3822444482</v>
      </c>
      <c r="N487" s="64">
        <f t="shared" si="399"/>
        <v>4287136.9774858709</v>
      </c>
      <c r="O487" s="64">
        <f t="shared" si="399"/>
        <v>4111830.6040018266</v>
      </c>
      <c r="P487" s="64">
        <f t="shared" si="399"/>
        <v>3950619.8294707052</v>
      </c>
      <c r="Q487" s="64">
        <f t="shared" si="399"/>
        <v>3810301.977808319</v>
      </c>
      <c r="R487" s="64">
        <f t="shared" si="399"/>
        <v>3693254.1816894594</v>
      </c>
      <c r="S487" s="64">
        <f t="shared" si="399"/>
        <v>3598210.8299092404</v>
      </c>
      <c r="T487" s="64">
        <f t="shared" si="399"/>
        <v>3523788.839664679</v>
      </c>
      <c r="U487" s="64">
        <f t="shared" si="399"/>
        <v>3464049.3644106481</v>
      </c>
      <c r="V487" s="64">
        <f t="shared" si="399"/>
        <v>3415288.7184706256</v>
      </c>
      <c r="W487" s="64">
        <f t="shared" si="399"/>
        <v>3374448.414008609</v>
      </c>
      <c r="X487" s="64">
        <f t="shared" si="399"/>
        <v>3339183.2069327603</v>
      </c>
      <c r="Y487" s="64">
        <f t="shared" si="399"/>
        <v>3312061.6398551352</v>
      </c>
      <c r="Z487" s="64">
        <f t="shared" si="399"/>
        <v>3287575.5094995541</v>
      </c>
      <c r="AA487" s="64">
        <f t="shared" si="399"/>
        <v>3264880.0885379883</v>
      </c>
      <c r="AB487" s="64">
        <f t="shared" si="399"/>
        <v>3243395.1073112856</v>
      </c>
      <c r="AC487" s="64">
        <f t="shared" si="399"/>
        <v>3222725.4749666722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8.606375123089796</v>
      </c>
      <c r="C497" s="66">
        <f t="shared" ref="C497:AC497" si="408">C467*C468*C475/C475</f>
        <v>8.3506366942220893</v>
      </c>
      <c r="D497" s="66">
        <f t="shared" si="408"/>
        <v>8.0923642436723053</v>
      </c>
      <c r="E497" s="66">
        <f t="shared" si="408"/>
        <v>7.9080785017358952</v>
      </c>
      <c r="F497" s="66">
        <f t="shared" si="408"/>
        <v>7.7189020839786977</v>
      </c>
      <c r="G497" s="66">
        <f t="shared" si="408"/>
        <v>7.5232826617476869</v>
      </c>
      <c r="H497" s="66">
        <f t="shared" si="408"/>
        <v>7.3194245197478143</v>
      </c>
      <c r="I497" s="66">
        <f t="shared" si="408"/>
        <v>7.1054870855311822</v>
      </c>
      <c r="J497" s="66">
        <f t="shared" si="408"/>
        <v>7.059670903775328</v>
      </c>
      <c r="K497" s="66">
        <f t="shared" si="408"/>
        <v>6.9980895911038887</v>
      </c>
      <c r="L497" s="66">
        <f t="shared" si="408"/>
        <v>6.9211020958977416</v>
      </c>
      <c r="M497" s="66">
        <f t="shared" si="408"/>
        <v>6.8318791397039851</v>
      </c>
      <c r="N497" s="66">
        <f t="shared" si="408"/>
        <v>6.7365226780082681</v>
      </c>
      <c r="O497" s="66">
        <f t="shared" si="408"/>
        <v>6.4792607089846461</v>
      </c>
      <c r="P497" s="66">
        <f t="shared" si="408"/>
        <v>6.2359618638312195</v>
      </c>
      <c r="Q497" s="66">
        <f t="shared" si="408"/>
        <v>6.0106398298743295</v>
      </c>
      <c r="R497" s="66">
        <f t="shared" si="408"/>
        <v>5.803988121851984</v>
      </c>
      <c r="S497" s="66">
        <f t="shared" si="408"/>
        <v>5.6141989999130049</v>
      </c>
      <c r="T497" s="66">
        <f t="shared" si="408"/>
        <v>5.4491565377734048</v>
      </c>
      <c r="U497" s="66">
        <f t="shared" si="408"/>
        <v>5.2945774928727758</v>
      </c>
      <c r="V497" s="66">
        <f t="shared" si="408"/>
        <v>5.1476292279897926</v>
      </c>
      <c r="W497" s="66">
        <f t="shared" si="408"/>
        <v>5.0060582106136922</v>
      </c>
      <c r="X497" s="66">
        <f t="shared" si="408"/>
        <v>4.8681872650718692</v>
      </c>
      <c r="Y497" s="66">
        <f t="shared" si="408"/>
        <v>4.7568241123610431</v>
      </c>
      <c r="Z497" s="66">
        <f t="shared" si="408"/>
        <v>4.6471058629291129</v>
      </c>
      <c r="AA497" s="66">
        <f t="shared" si="408"/>
        <v>4.5384844847670669</v>
      </c>
      <c r="AB497" s="66">
        <f t="shared" si="408"/>
        <v>4.4305905995390802</v>
      </c>
      <c r="AC497" s="66">
        <f t="shared" si="408"/>
        <v>4.3231773970067664</v>
      </c>
    </row>
    <row r="498" spans="1:29" ht="15.75" thickBot="1" x14ac:dyDescent="0.3">
      <c r="A498" s="59" t="str">
        <f t="shared" ref="A498" si="409">A486</f>
        <v>Emission Cost</v>
      </c>
      <c r="B498" s="66">
        <f>B469</f>
        <v>0</v>
      </c>
      <c r="C498" s="66">
        <f t="shared" ref="C498:AC498" si="410">C469</f>
        <v>0</v>
      </c>
      <c r="D498" s="66">
        <f t="shared" si="410"/>
        <v>0</v>
      </c>
      <c r="E498" s="66">
        <f t="shared" si="410"/>
        <v>0</v>
      </c>
      <c r="F498" s="66">
        <f t="shared" si="410"/>
        <v>0</v>
      </c>
      <c r="G498" s="66">
        <f t="shared" si="410"/>
        <v>0</v>
      </c>
      <c r="H498" s="66">
        <f t="shared" si="410"/>
        <v>0</v>
      </c>
      <c r="I498" s="66">
        <f t="shared" si="410"/>
        <v>0</v>
      </c>
      <c r="J498" s="66">
        <f t="shared" si="410"/>
        <v>0</v>
      </c>
      <c r="K498" s="66">
        <f t="shared" si="410"/>
        <v>0</v>
      </c>
      <c r="L498" s="66">
        <f t="shared" si="410"/>
        <v>0</v>
      </c>
      <c r="M498" s="66">
        <f t="shared" si="410"/>
        <v>0</v>
      </c>
      <c r="N498" s="66">
        <f t="shared" si="410"/>
        <v>0</v>
      </c>
      <c r="O498" s="66">
        <f t="shared" si="410"/>
        <v>0</v>
      </c>
      <c r="P498" s="66">
        <f t="shared" si="410"/>
        <v>0</v>
      </c>
      <c r="Q498" s="66">
        <f t="shared" si="410"/>
        <v>0</v>
      </c>
      <c r="R498" s="66">
        <f t="shared" si="410"/>
        <v>0</v>
      </c>
      <c r="S498" s="66">
        <f t="shared" si="410"/>
        <v>0</v>
      </c>
      <c r="T498" s="66">
        <f t="shared" si="410"/>
        <v>0</v>
      </c>
      <c r="U498" s="66">
        <f t="shared" si="410"/>
        <v>0</v>
      </c>
      <c r="V498" s="66">
        <f t="shared" si="410"/>
        <v>0</v>
      </c>
      <c r="W498" s="66">
        <f t="shared" si="410"/>
        <v>0</v>
      </c>
      <c r="X498" s="66">
        <f t="shared" si="410"/>
        <v>0</v>
      </c>
      <c r="Y498" s="66">
        <f t="shared" si="410"/>
        <v>0</v>
      </c>
      <c r="Z498" s="66">
        <f t="shared" si="410"/>
        <v>0</v>
      </c>
      <c r="AA498" s="66">
        <f t="shared" si="410"/>
        <v>0</v>
      </c>
      <c r="AB498" s="66">
        <f t="shared" si="410"/>
        <v>0</v>
      </c>
      <c r="AC498" s="66">
        <f t="shared" si="410"/>
        <v>0</v>
      </c>
    </row>
    <row r="499" spans="1:29" ht="15.75" thickBot="1" x14ac:dyDescent="0.3">
      <c r="A499" s="31" t="s">
        <v>63</v>
      </c>
      <c r="B499" s="76">
        <f>B490+B491+B492-B493+B494+B495+B496+B497+B498</f>
        <v>30.046862556879333</v>
      </c>
      <c r="C499" s="76">
        <f t="shared" ref="C499:AC499" si="411">C490+C491+C492-C493+C494+C495+C496+C497+C498</f>
        <v>29.747680949249816</v>
      </c>
      <c r="D499" s="76">
        <f t="shared" si="411"/>
        <v>29.42772541251562</v>
      </c>
      <c r="E499" s="76">
        <f t="shared" si="411"/>
        <v>29.156256555623685</v>
      </c>
      <c r="F499" s="76">
        <f t="shared" si="411"/>
        <v>28.844676617382614</v>
      </c>
      <c r="G499" s="76">
        <f t="shared" si="411"/>
        <v>28.478871867825148</v>
      </c>
      <c r="H499" s="76">
        <f t="shared" si="411"/>
        <v>28.04169600870646</v>
      </c>
      <c r="I499" s="76">
        <f t="shared" si="411"/>
        <v>27.514204563997936</v>
      </c>
      <c r="J499" s="76">
        <f t="shared" si="411"/>
        <v>27.058512716349206</v>
      </c>
      <c r="K499" s="76">
        <f t="shared" si="411"/>
        <v>26.480762280465026</v>
      </c>
      <c r="L499" s="76">
        <f t="shared" si="411"/>
        <v>25.784386654040592</v>
      </c>
      <c r="M499" s="76">
        <f t="shared" si="411"/>
        <v>24.994775917456383</v>
      </c>
      <c r="N499" s="76">
        <f t="shared" si="411"/>
        <v>24.160022949621215</v>
      </c>
      <c r="O499" s="76">
        <f t="shared" si="411"/>
        <v>23.177914414696602</v>
      </c>
      <c r="P499" s="76">
        <f t="shared" si="411"/>
        <v>22.274772820684717</v>
      </c>
      <c r="Q499" s="76">
        <f t="shared" si="411"/>
        <v>21.488678413612522</v>
      </c>
      <c r="R499" s="76">
        <f t="shared" si="411"/>
        <v>20.832948463366815</v>
      </c>
      <c r="S499" s="76">
        <f t="shared" si="411"/>
        <v>20.300492711096677</v>
      </c>
      <c r="T499" s="76">
        <f t="shared" si="411"/>
        <v>19.883562793760198</v>
      </c>
      <c r="U499" s="76">
        <f t="shared" si="411"/>
        <v>19.548887862365071</v>
      </c>
      <c r="V499" s="76">
        <f t="shared" si="411"/>
        <v>19.275718977547015</v>
      </c>
      <c r="W499" s="76">
        <f t="shared" si="411"/>
        <v>19.046921753670173</v>
      </c>
      <c r="X499" s="76">
        <f t="shared" si="411"/>
        <v>18.849357568371296</v>
      </c>
      <c r="Y499" s="76">
        <f t="shared" si="411"/>
        <v>18.697416016115696</v>
      </c>
      <c r="Z499" s="76">
        <f t="shared" si="411"/>
        <v>18.560238815244091</v>
      </c>
      <c r="AA499" s="76">
        <f t="shared" si="411"/>
        <v>18.433093599773137</v>
      </c>
      <c r="AB499" s="76">
        <f t="shared" si="411"/>
        <v>18.312729559287408</v>
      </c>
      <c r="AC499" s="76">
        <f t="shared" si="411"/>
        <v>18.196933299653718</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3.0737054011034984E-3</v>
      </c>
      <c r="C509" s="66">
        <f t="shared" ref="C509:AC509" si="420">C467*C468*C475/C475/(C472)</f>
        <v>2.9823702479364607E-3</v>
      </c>
      <c r="D509" s="66">
        <f t="shared" si="420"/>
        <v>2.8901300870258235E-3</v>
      </c>
      <c r="E509" s="66">
        <f t="shared" si="420"/>
        <v>2.8243137506199626E-3</v>
      </c>
      <c r="F509" s="66">
        <f t="shared" si="420"/>
        <v>2.7567507442781062E-3</v>
      </c>
      <c r="G509" s="66">
        <f t="shared" si="420"/>
        <v>2.6868866649098883E-3</v>
      </c>
      <c r="H509" s="66">
        <f t="shared" si="420"/>
        <v>2.6140801856242195E-3</v>
      </c>
      <c r="I509" s="66">
        <f t="shared" si="420"/>
        <v>2.5376739591182794E-3</v>
      </c>
      <c r="J509" s="66">
        <f t="shared" si="420"/>
        <v>2.5213110370626173E-3</v>
      </c>
      <c r="K509" s="66">
        <f t="shared" si="420"/>
        <v>2.4993177111085319E-3</v>
      </c>
      <c r="L509" s="66">
        <f t="shared" si="420"/>
        <v>2.4718221771063364E-3</v>
      </c>
      <c r="M509" s="66">
        <f t="shared" si="420"/>
        <v>2.4399568356085659E-3</v>
      </c>
      <c r="N509" s="66">
        <f t="shared" si="420"/>
        <v>2.4059009564315241E-3</v>
      </c>
      <c r="O509" s="66">
        <f t="shared" si="420"/>
        <v>2.3140216817802307E-3</v>
      </c>
      <c r="P509" s="66">
        <f t="shared" si="420"/>
        <v>2.2271292370825784E-3</v>
      </c>
      <c r="Q509" s="66">
        <f t="shared" si="420"/>
        <v>2.1466570820979749E-3</v>
      </c>
      <c r="R509" s="66">
        <f t="shared" si="420"/>
        <v>2.0728529006614226E-3</v>
      </c>
      <c r="S509" s="66">
        <f t="shared" si="420"/>
        <v>2.0050710713975018E-3</v>
      </c>
      <c r="T509" s="66">
        <f t="shared" si="420"/>
        <v>1.9461273349190731E-3</v>
      </c>
      <c r="U509" s="66">
        <f t="shared" si="420"/>
        <v>1.8909205331688484E-3</v>
      </c>
      <c r="V509" s="66">
        <f t="shared" si="420"/>
        <v>1.8384390099963545E-3</v>
      </c>
      <c r="W509" s="66">
        <f t="shared" si="420"/>
        <v>1.7878779323620328E-3</v>
      </c>
      <c r="X509" s="66">
        <f t="shared" si="420"/>
        <v>1.738638308954239E-3</v>
      </c>
      <c r="Y509" s="66">
        <f t="shared" si="420"/>
        <v>1.6988657544146583E-3</v>
      </c>
      <c r="Z509" s="66">
        <f t="shared" si="420"/>
        <v>1.6596806653318261E-3</v>
      </c>
      <c r="AA509" s="66">
        <f t="shared" si="420"/>
        <v>1.6208873159882381E-3</v>
      </c>
      <c r="AB509" s="66">
        <f t="shared" si="420"/>
        <v>1.5823537855496714E-3</v>
      </c>
      <c r="AC509" s="66">
        <f t="shared" si="420"/>
        <v>1.5439919275024167E-3</v>
      </c>
    </row>
    <row r="510" spans="1:29" x14ac:dyDescent="0.25">
      <c r="A510" s="59" t="str">
        <f>A473</f>
        <v>Market failure (av. utilization)</v>
      </c>
      <c r="B510" s="66">
        <f t="shared" ref="B510:AC510" si="421">B499/B473-B499/B472</f>
        <v>2.0707519675081457E-2</v>
      </c>
      <c r="C510" s="66">
        <f t="shared" si="421"/>
        <v>2.0501331457769823E-2</v>
      </c>
      <c r="D510" s="66">
        <f t="shared" si="421"/>
        <v>2.0280826386415617E-2</v>
      </c>
      <c r="E510" s="66">
        <f t="shared" si="421"/>
        <v>2.0093737079350027E-2</v>
      </c>
      <c r="F510" s="66">
        <f t="shared" si="421"/>
        <v>1.9879004253609112E-2</v>
      </c>
      <c r="G510" s="66">
        <f t="shared" si="421"/>
        <v>1.9626901091944225E-2</v>
      </c>
      <c r="H510" s="66">
        <f t="shared" si="421"/>
        <v>1.9325610809571694E-2</v>
      </c>
      <c r="I510" s="66">
        <f t="shared" si="421"/>
        <v>1.8962077364139202E-2</v>
      </c>
      <c r="J510" s="66">
        <f t="shared" si="421"/>
        <v>1.8648026341903608E-2</v>
      </c>
      <c r="K510" s="66">
        <f t="shared" si="421"/>
        <v>1.8249855701101735E-2</v>
      </c>
      <c r="L510" s="66">
        <f t="shared" si="421"/>
        <v>1.776993165052463E-2</v>
      </c>
      <c r="M510" s="66">
        <f t="shared" si="421"/>
        <v>1.722575237614879E-2</v>
      </c>
      <c r="N510" s="66">
        <f t="shared" si="421"/>
        <v>1.6650462244856137E-2</v>
      </c>
      <c r="O510" s="66">
        <f t="shared" si="421"/>
        <v>1.597361847218209E-2</v>
      </c>
      <c r="P510" s="66">
        <f t="shared" si="421"/>
        <v>1.5351196670505373E-2</v>
      </c>
      <c r="Q510" s="66">
        <f t="shared" si="421"/>
        <v>1.4809440759381398E-2</v>
      </c>
      <c r="R510" s="66">
        <f t="shared" si="421"/>
        <v>1.4357528656393982E-2</v>
      </c>
      <c r="S510" s="66">
        <f t="shared" si="421"/>
        <v>1.3990573938730131E-2</v>
      </c>
      <c r="T510" s="66">
        <f t="shared" si="421"/>
        <v>1.3703236635208619E-2</v>
      </c>
      <c r="U510" s="66">
        <f t="shared" si="421"/>
        <v>1.3472587338181283E-2</v>
      </c>
      <c r="V510" s="66">
        <f t="shared" si="421"/>
        <v>1.3284326415887593E-2</v>
      </c>
      <c r="W510" s="66">
        <f t="shared" si="421"/>
        <v>1.3126645293405504E-2</v>
      </c>
      <c r="X510" s="66">
        <f t="shared" si="421"/>
        <v>1.2990489172398745E-2</v>
      </c>
      <c r="Y510" s="66">
        <f t="shared" si="421"/>
        <v>1.2885774988785091E-2</v>
      </c>
      <c r="Z510" s="66">
        <f t="shared" si="421"/>
        <v>1.2791236013854047E-2</v>
      </c>
      <c r="AA510" s="66">
        <f t="shared" si="421"/>
        <v>1.2703610823504366E-2</v>
      </c>
      <c r="AB510" s="66">
        <f t="shared" si="421"/>
        <v>1.2620659043370508E-2</v>
      </c>
      <c r="AC510" s="66">
        <f t="shared" si="421"/>
        <v>1.2540855259526976E-2</v>
      </c>
    </row>
    <row r="511" spans="1:29" x14ac:dyDescent="0.25">
      <c r="A511" s="59" t="str">
        <f>A474</f>
        <v>Payload loss (fuel)</v>
      </c>
      <c r="B511" s="66">
        <f>B499/(B472-B474)-B499/B472</f>
        <v>1.5552206292380674E-4</v>
      </c>
      <c r="C511" s="66">
        <f t="shared" ref="C511:AC511" si="422">C499/(C472-C474)-C499/C472</f>
        <v>1.5397350387810413E-4</v>
      </c>
      <c r="D511" s="66">
        <f t="shared" si="422"/>
        <v>1.5231741931943758E-4</v>
      </c>
      <c r="E511" s="66">
        <f t="shared" si="422"/>
        <v>1.5091230101254433E-4</v>
      </c>
      <c r="F511" s="66">
        <f t="shared" si="422"/>
        <v>1.4929956841295416E-4</v>
      </c>
      <c r="G511" s="66">
        <f t="shared" si="422"/>
        <v>1.4740616908812121E-4</v>
      </c>
      <c r="H511" s="66">
        <f t="shared" si="422"/>
        <v>1.4514335408233152E-4</v>
      </c>
      <c r="I511" s="66">
        <f t="shared" si="422"/>
        <v>1.4241306710143821E-4</v>
      </c>
      <c r="J511" s="66">
        <f t="shared" si="422"/>
        <v>1.4005441364569986E-4</v>
      </c>
      <c r="K511" s="66">
        <f t="shared" si="422"/>
        <v>1.3706398695892928E-4</v>
      </c>
      <c r="L511" s="66">
        <f t="shared" si="422"/>
        <v>1.334595582507276E-4</v>
      </c>
      <c r="M511" s="66">
        <f t="shared" si="422"/>
        <v>1.2937254615660691E-4</v>
      </c>
      <c r="N511" s="66">
        <f t="shared" si="422"/>
        <v>1.2505187862122714E-4</v>
      </c>
      <c r="O511" s="66">
        <f t="shared" si="422"/>
        <v>1.1996850111126688E-4</v>
      </c>
      <c r="P511" s="66">
        <f t="shared" si="422"/>
        <v>1.1529385517952857E-4</v>
      </c>
      <c r="Q511" s="66">
        <f t="shared" si="422"/>
        <v>1.1122504354871884E-4</v>
      </c>
      <c r="R511" s="66">
        <f t="shared" si="422"/>
        <v>1.0783099618719844E-4</v>
      </c>
      <c r="S511" s="66">
        <f t="shared" si="422"/>
        <v>1.0507501403259154E-4</v>
      </c>
      <c r="T511" s="66">
        <f t="shared" si="422"/>
        <v>1.0291699168612969E-4</v>
      </c>
      <c r="U511" s="66">
        <f t="shared" si="422"/>
        <v>1.0118471978449832E-4</v>
      </c>
      <c r="V511" s="66">
        <f t="shared" si="422"/>
        <v>9.9770802161216685E-5</v>
      </c>
      <c r="W511" s="66">
        <f t="shared" si="422"/>
        <v>9.8586551520032234E-5</v>
      </c>
      <c r="X511" s="66">
        <f t="shared" si="422"/>
        <v>9.7563962569209399E-5</v>
      </c>
      <c r="Y511" s="66">
        <f t="shared" si="422"/>
        <v>9.6777515611365383E-5</v>
      </c>
      <c r="Z511" s="66">
        <f t="shared" si="422"/>
        <v>9.6067488691739013E-5</v>
      </c>
      <c r="AA511" s="66">
        <f t="shared" si="422"/>
        <v>9.5409387162386644E-5</v>
      </c>
      <c r="AB511" s="66">
        <f t="shared" si="422"/>
        <v>9.4786384882440504E-5</v>
      </c>
      <c r="AC511" s="66">
        <f t="shared" si="422"/>
        <v>9.4187025360526096E-5</v>
      </c>
    </row>
    <row r="512" spans="1:29" ht="15.75" thickBot="1" x14ac:dyDescent="0.3">
      <c r="A512" s="59" t="str">
        <f>A449</f>
        <v>Emission Cost</v>
      </c>
      <c r="B512" s="68">
        <f>B469*B475/B475/(B472)</f>
        <v>0</v>
      </c>
      <c r="C512" s="68">
        <f t="shared" ref="C512:AC512" si="423">C469*C475/C475/(C472)</f>
        <v>0</v>
      </c>
      <c r="D512" s="68">
        <f t="shared" si="423"/>
        <v>0</v>
      </c>
      <c r="E512" s="68">
        <f t="shared" si="423"/>
        <v>0</v>
      </c>
      <c r="F512" s="68">
        <f t="shared" si="423"/>
        <v>0</v>
      </c>
      <c r="G512" s="68">
        <f t="shared" si="423"/>
        <v>0</v>
      </c>
      <c r="H512" s="68">
        <f t="shared" si="423"/>
        <v>0</v>
      </c>
      <c r="I512" s="68">
        <f t="shared" si="423"/>
        <v>0</v>
      </c>
      <c r="J512" s="68">
        <f t="shared" si="423"/>
        <v>0</v>
      </c>
      <c r="K512" s="68">
        <f t="shared" si="423"/>
        <v>0</v>
      </c>
      <c r="L512" s="68">
        <f t="shared" si="423"/>
        <v>0</v>
      </c>
      <c r="M512" s="68">
        <f t="shared" si="423"/>
        <v>0</v>
      </c>
      <c r="N512" s="68">
        <f t="shared" si="423"/>
        <v>0</v>
      </c>
      <c r="O512" s="68">
        <f t="shared" si="423"/>
        <v>0</v>
      </c>
      <c r="P512" s="68">
        <f t="shared" si="423"/>
        <v>0</v>
      </c>
      <c r="Q512" s="68">
        <f t="shared" si="423"/>
        <v>0</v>
      </c>
      <c r="R512" s="68">
        <f t="shared" si="423"/>
        <v>0</v>
      </c>
      <c r="S512" s="68">
        <f t="shared" si="423"/>
        <v>0</v>
      </c>
      <c r="T512" s="68">
        <f t="shared" si="423"/>
        <v>0</v>
      </c>
      <c r="U512" s="68">
        <f t="shared" si="423"/>
        <v>0</v>
      </c>
      <c r="V512" s="68">
        <f t="shared" si="423"/>
        <v>0</v>
      </c>
      <c r="W512" s="68">
        <f t="shared" si="423"/>
        <v>0</v>
      </c>
      <c r="X512" s="68">
        <f t="shared" si="423"/>
        <v>0</v>
      </c>
      <c r="Y512" s="68">
        <f t="shared" si="423"/>
        <v>0</v>
      </c>
      <c r="Z512" s="68">
        <f t="shared" si="423"/>
        <v>0</v>
      </c>
      <c r="AA512" s="68">
        <f t="shared" si="423"/>
        <v>0</v>
      </c>
      <c r="AB512" s="68">
        <f t="shared" si="423"/>
        <v>0</v>
      </c>
      <c r="AC512" s="68">
        <f t="shared" si="423"/>
        <v>0</v>
      </c>
    </row>
    <row r="513" spans="1:29" ht="15.75" thickBot="1" x14ac:dyDescent="0.3">
      <c r="A513" s="31" t="s">
        <v>210</v>
      </c>
      <c r="B513" s="67">
        <f>B502+B503+B504+B505+B506+B507+B508+B509+B510+B511+B512</f>
        <v>3.1543189491869697E-2</v>
      </c>
      <c r="C513" s="67">
        <f t="shared" ref="C513:AC513" si="424">C502+C503+C504+C505+C506+C507+C508+C509+C510+C511+C512</f>
        <v>3.1228602141358964E-2</v>
      </c>
      <c r="D513" s="67">
        <f t="shared" si="424"/>
        <v>3.0892171150898165E-2</v>
      </c>
      <c r="E513" s="67">
        <f t="shared" si="424"/>
        <v>3.0606723562349988E-2</v>
      </c>
      <c r="F513" s="67">
        <f t="shared" si="424"/>
        <v>3.0279099454637672E-2</v>
      </c>
      <c r="G513" s="67">
        <f t="shared" si="424"/>
        <v>2.9894458340234572E-2</v>
      </c>
      <c r="H513" s="67">
        <f t="shared" si="424"/>
        <v>2.9434771007456721E-2</v>
      </c>
      <c r="I513" s="67">
        <f t="shared" si="424"/>
        <v>2.8880117473361722E-2</v>
      </c>
      <c r="J513" s="67">
        <f t="shared" si="424"/>
        <v>2.8400960709224411E-2</v>
      </c>
      <c r="K513" s="67">
        <f t="shared" si="424"/>
        <v>2.7793460200348563E-2</v>
      </c>
      <c r="L513" s="67">
        <f t="shared" si="424"/>
        <v>2.7061226140197382E-2</v>
      </c>
      <c r="M513" s="67">
        <f t="shared" si="424"/>
        <v>2.6230956019233066E-2</v>
      </c>
      <c r="N513" s="67">
        <f t="shared" si="424"/>
        <v>2.5353219160463902E-2</v>
      </c>
      <c r="O513" s="67">
        <f t="shared" si="424"/>
        <v>2.4320538962092533E-2</v>
      </c>
      <c r="P513" s="67">
        <f t="shared" si="424"/>
        <v>2.3370891945194115E-2</v>
      </c>
      <c r="Q513" s="67">
        <f t="shared" si="424"/>
        <v>2.2544319219913549E-2</v>
      </c>
      <c r="R513" s="67">
        <f t="shared" si="424"/>
        <v>2.1854823801619717E-2</v>
      </c>
      <c r="S513" s="67">
        <f t="shared" si="424"/>
        <v>2.1294950333133351E-2</v>
      </c>
      <c r="T513" s="67">
        <f t="shared" si="424"/>
        <v>2.0856551465359491E-2</v>
      </c>
      <c r="U513" s="67">
        <f t="shared" si="424"/>
        <v>2.0504643135217979E-2</v>
      </c>
      <c r="V513" s="67">
        <f t="shared" si="424"/>
        <v>2.0217407979294562E-2</v>
      </c>
      <c r="W513" s="67">
        <f t="shared" si="424"/>
        <v>1.9976829311929557E-2</v>
      </c>
      <c r="X513" s="67">
        <f t="shared" si="424"/>
        <v>1.9769091964365233E-2</v>
      </c>
      <c r="Y513" s="67">
        <f t="shared" si="424"/>
        <v>1.960932649370245E-2</v>
      </c>
      <c r="Z513" s="67">
        <f t="shared" si="424"/>
        <v>1.9465085634397635E-2</v>
      </c>
      <c r="AA513" s="67">
        <f t="shared" si="424"/>
        <v>1.9331393336993258E-2</v>
      </c>
      <c r="AB513" s="67">
        <f t="shared" si="424"/>
        <v>1.9204831397263124E-2</v>
      </c>
      <c r="AC513" s="67">
        <f t="shared" si="424"/>
        <v>1.9083072446885646E-2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32" width="13.5703125" style="4" bestFit="1" customWidth="1"/>
    <col min="33" max="33" width="41.42578125" style="4" bestFit="1" customWidth="1"/>
    <col min="34"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280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Input'!$L$224</f>
        <v>15000000</v>
      </c>
      <c r="C11" s="42">
        <f>'Parameter Input'!$M$224</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Input'!$L$225</f>
        <v>-1500000</v>
      </c>
      <c r="C12" s="61">
        <f>'Parameter Input'!$M$225</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Input'!$L$231</f>
        <v>0.06</v>
      </c>
      <c r="C15" s="91">
        <f>'Parameter Input'!$M$231</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Input'!$L$227</f>
        <v>488235.29411764705</v>
      </c>
      <c r="C17" s="61">
        <f>'Parameter Input'!$M$227</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Input'!$L$228</f>
        <v>647</v>
      </c>
      <c r="C19" s="61">
        <f>'Parameter Input'!$M$228</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Input'!$L$229</f>
        <v>3.1399999999999997E-2</v>
      </c>
      <c r="C20" s="61">
        <f>'Parameter Input'!$M$229</f>
        <v>3.1399999999999997E-2</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Input'!$L$226</f>
        <v>25</v>
      </c>
      <c r="C22" s="61">
        <f>'Parameter Input'!$M$226</f>
        <v>25</v>
      </c>
      <c r="D22" s="1" t="s">
        <v>42</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Input'!$L$230</f>
        <v>0</v>
      </c>
      <c r="C26" s="46">
        <f>'Parameter Input'!$M$230</f>
        <v>0</v>
      </c>
      <c r="D26" s="1" t="s">
        <v>57</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'Parameter Input'!J10</f>
        <v>2.9049168379255901E-2</v>
      </c>
      <c r="C40" s="62">
        <f>'Parameter Input'!K10</f>
        <v>2.8281348950729313E-2</v>
      </c>
      <c r="D40" s="62">
        <f>'Parameter Input'!L10</f>
        <v>2.7513529522202727E-2</v>
      </c>
      <c r="E40" s="62">
        <f>'Parameter Input'!M10</f>
        <v>2.6745710093676139E-2</v>
      </c>
      <c r="F40" s="62">
        <f>'Parameter Input'!N10</f>
        <v>2.597789066514955E-2</v>
      </c>
      <c r="G40" s="62">
        <f>'Parameter Input'!O10</f>
        <v>2.5210071236622961E-2</v>
      </c>
      <c r="H40" s="62">
        <f>'Parameter Input'!P10</f>
        <v>2.4442251808096373E-2</v>
      </c>
      <c r="I40" s="62">
        <f>'Parameter Input'!Q10</f>
        <v>2.3674432379569791E-2</v>
      </c>
      <c r="J40" s="62">
        <f>'Parameter Input'!R10</f>
        <v>2.3450485046249536E-2</v>
      </c>
      <c r="K40" s="62">
        <f>'Parameter Input'!S10</f>
        <v>2.322653771292928E-2</v>
      </c>
      <c r="L40" s="62">
        <f>'Parameter Input'!T10</f>
        <v>2.3002590379609025E-2</v>
      </c>
      <c r="M40" s="62">
        <f>'Parameter Input'!U10</f>
        <v>2.2778643046288769E-2</v>
      </c>
      <c r="N40" s="62">
        <f>'Parameter Input'!V10</f>
        <v>2.2554695712968514E-2</v>
      </c>
      <c r="O40" s="62">
        <f>'Parameter Input'!W10</f>
        <v>2.2330748379648258E-2</v>
      </c>
      <c r="P40" s="62">
        <f>'Parameter Input'!X10</f>
        <v>2.2106801046328003E-2</v>
      </c>
      <c r="Q40" s="62">
        <f>'Parameter Input'!Y10</f>
        <v>2.1882853713007747E-2</v>
      </c>
      <c r="R40" s="62">
        <f>'Parameter Input'!Z10</f>
        <v>2.1658906379687492E-2</v>
      </c>
      <c r="S40" s="62">
        <f>'Parameter Input'!AA10</f>
        <v>2.1434959046367243E-2</v>
      </c>
      <c r="T40" s="62">
        <f>'Parameter Input'!AB10</f>
        <v>2.1211011713046988E-2</v>
      </c>
      <c r="U40" s="62">
        <f>'Parameter Input'!AC10</f>
        <v>2.0987064379726732E-2</v>
      </c>
      <c r="V40" s="62">
        <f>'Parameter Input'!AD10</f>
        <v>2.0763117046406477E-2</v>
      </c>
      <c r="W40" s="62">
        <f>'Parameter Input'!AE10</f>
        <v>2.0539169713086221E-2</v>
      </c>
      <c r="X40" s="62">
        <f>'Parameter Input'!AF10</f>
        <v>2.0315222379765973E-2</v>
      </c>
      <c r="Y40" s="62">
        <f>'Parameter Input'!AG10</f>
        <v>2.0091275046445718E-2</v>
      </c>
      <c r="Z40" s="62">
        <f>'Parameter Input'!AH10</f>
        <v>1.9867327713125462E-2</v>
      </c>
      <c r="AA40" s="62">
        <f>'Parameter Input'!AI10</f>
        <v>1.9643380379805207E-2</v>
      </c>
      <c r="AB40" s="62">
        <f>'Parameter Input'!AJ10</f>
        <v>1.9419433046484951E-2</v>
      </c>
      <c r="AC40" s="62">
        <f>'Parameter Input'!AK10</f>
        <v>1.9195485713164699E-2</v>
      </c>
    </row>
    <row r="41" spans="1:29" x14ac:dyDescent="0.25">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25">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25">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25">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25">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25">
      <c r="A46" s="30" t="s">
        <v>73</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25">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25">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25">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25">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25">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25">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25">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25">
      <c r="A57" s="30" t="str">
        <f>A40</f>
        <v>Fuel Cost</v>
      </c>
      <c r="B57" s="62">
        <f>B39*B40*B47</f>
        <v>2255017.604526137</v>
      </c>
      <c r="C57" s="62">
        <f t="shared" ref="C57:AC57" si="14">C39*C40*C47</f>
        <v>2195262.0592214614</v>
      </c>
      <c r="D57" s="62">
        <f t="shared" si="14"/>
        <v>2135451.1256286404</v>
      </c>
      <c r="E57" s="62">
        <f t="shared" si="14"/>
        <v>2075563.632513823</v>
      </c>
      <c r="F57" s="62">
        <f t="shared" si="14"/>
        <v>2015570.6284004932</v>
      </c>
      <c r="G57" s="62">
        <f t="shared" si="14"/>
        <v>1955432.787376425</v>
      </c>
      <c r="H57" s="62">
        <f t="shared" si="14"/>
        <v>1895097.2010088954</v>
      </c>
      <c r="I57" s="62">
        <f t="shared" si="14"/>
        <v>1834493.6744703623</v>
      </c>
      <c r="J57" s="62">
        <f t="shared" si="14"/>
        <v>1815639.9714221843</v>
      </c>
      <c r="K57" s="62">
        <f t="shared" si="14"/>
        <v>1796214.585233748</v>
      </c>
      <c r="L57" s="62">
        <f t="shared" si="14"/>
        <v>1776022.8335889874</v>
      </c>
      <c r="M57" s="62">
        <f t="shared" si="14"/>
        <v>1754831.6664867324</v>
      </c>
      <c r="N57" s="62">
        <f t="shared" si="14"/>
        <v>1732389.1039848952</v>
      </c>
      <c r="O57" s="62">
        <f t="shared" si="14"/>
        <v>1708471.1017993796</v>
      </c>
      <c r="P57" s="62">
        <f t="shared" si="14"/>
        <v>1682963.3733061287</v>
      </c>
      <c r="Q57" s="62">
        <f t="shared" si="14"/>
        <v>1655967.6988516632</v>
      </c>
      <c r="R57" s="62">
        <f t="shared" si="14"/>
        <v>1627888.1420432441</v>
      </c>
      <c r="S57" s="62">
        <f t="shared" si="14"/>
        <v>1599425.1751803677</v>
      </c>
      <c r="T57" s="62">
        <f t="shared" si="14"/>
        <v>1571431.7306831935</v>
      </c>
      <c r="U57" s="62">
        <f t="shared" si="14"/>
        <v>1544677.7127620189</v>
      </c>
      <c r="V57" s="62">
        <f t="shared" si="14"/>
        <v>1519650.1575197515</v>
      </c>
      <c r="W57" s="62">
        <f t="shared" si="14"/>
        <v>1496490.4974585255</v>
      </c>
      <c r="X57" s="62">
        <f t="shared" si="14"/>
        <v>1475064.9069580203</v>
      </c>
      <c r="Y57" s="62">
        <f t="shared" si="14"/>
        <v>1455090.4301928587</v>
      </c>
      <c r="Z57" s="62">
        <f t="shared" si="14"/>
        <v>1436245.4695659711</v>
      </c>
      <c r="AA57" s="62">
        <f t="shared" si="14"/>
        <v>1418236.35333632</v>
      </c>
      <c r="AB57" s="62">
        <f t="shared" si="14"/>
        <v>1400824.446928689</v>
      </c>
      <c r="AC57" s="62">
        <f t="shared" si="14"/>
        <v>1383829.0673798274</v>
      </c>
    </row>
    <row r="58" spans="1:33" ht="15.75" thickBot="1" x14ac:dyDescent="0.3">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75" thickBot="1" x14ac:dyDescent="0.3">
      <c r="A59" s="31" t="s">
        <v>209</v>
      </c>
      <c r="B59" s="64">
        <f>B50+B51+B52+B53+B54+B55+B56+B57+B58</f>
        <v>5179578.0128531074</v>
      </c>
      <c r="C59" s="64">
        <f t="shared" ref="C59:AC59" si="16">C50+C51+C52+C53+C54+C55+C56+C57+C58</f>
        <v>5119878.213019561</v>
      </c>
      <c r="D59" s="64">
        <f t="shared" si="16"/>
        <v>5060147.0778270327</v>
      </c>
      <c r="E59" s="64">
        <f t="shared" si="16"/>
        <v>5000373.7419355083</v>
      </c>
      <c r="F59" s="64">
        <f t="shared" si="16"/>
        <v>4940543.8936843062</v>
      </c>
      <c r="G59" s="64">
        <f t="shared" si="16"/>
        <v>4880638.9113349374</v>
      </c>
      <c r="H59" s="64">
        <f t="shared" si="16"/>
        <v>4820634.9728466654</v>
      </c>
      <c r="I59" s="64">
        <f t="shared" si="16"/>
        <v>4760502.3387543624</v>
      </c>
      <c r="J59" s="64">
        <f t="shared" si="16"/>
        <v>4742314.1969290553</v>
      </c>
      <c r="K59" s="64">
        <f t="shared" si="16"/>
        <v>4723823.2466898113</v>
      </c>
      <c r="L59" s="64">
        <f t="shared" si="16"/>
        <v>4704930.7002251809</v>
      </c>
      <c r="M59" s="64">
        <f t="shared" si="16"/>
        <v>4685520.6948215226</v>
      </c>
      <c r="N59" s="64">
        <f t="shared" si="16"/>
        <v>4665471.8227810273</v>
      </c>
      <c r="O59" s="64">
        <f t="shared" si="16"/>
        <v>4644682.8364554737</v>
      </c>
      <c r="P59" s="64">
        <f t="shared" si="16"/>
        <v>4623115.5745655224</v>
      </c>
      <c r="Q59" s="64">
        <f t="shared" si="16"/>
        <v>4600848.3469239026</v>
      </c>
      <c r="R59" s="64">
        <f t="shared" si="16"/>
        <v>4578115.5931958565</v>
      </c>
      <c r="S59" s="64">
        <f t="shared" si="16"/>
        <v>4555297.2244075481</v>
      </c>
      <c r="T59" s="64">
        <f t="shared" si="16"/>
        <v>4532837.3028527591</v>
      </c>
      <c r="U59" s="64">
        <f t="shared" si="16"/>
        <v>4511120.5647656089</v>
      </c>
      <c r="V59" s="64">
        <f t="shared" si="16"/>
        <v>4490373.9800598193</v>
      </c>
      <c r="W59" s="64">
        <f t="shared" si="16"/>
        <v>4470642.6107199276</v>
      </c>
      <c r="X59" s="64">
        <f t="shared" si="16"/>
        <v>4451832.9581982009</v>
      </c>
      <c r="Y59" s="64">
        <f t="shared" si="16"/>
        <v>4433781.4056459703</v>
      </c>
      <c r="Z59" s="64">
        <f t="shared" si="16"/>
        <v>4416311.3080130285</v>
      </c>
      <c r="AA59" s="64">
        <f t="shared" si="16"/>
        <v>4399265.7677028477</v>
      </c>
      <c r="AB59" s="64">
        <f t="shared" si="16"/>
        <v>4382519.7514815759</v>
      </c>
      <c r="AC59" s="64">
        <f t="shared" si="16"/>
        <v>4365980.0737698199</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5114944.5344564617</v>
      </c>
    </row>
    <row r="62" spans="1:33" x14ac:dyDescent="0.25">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42.624537787137179</v>
      </c>
    </row>
    <row r="63" spans="1:33" x14ac:dyDescent="0.25">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25">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25">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25">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25">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25">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25">
      <c r="A69" s="30" t="str">
        <f t="shared" si="17"/>
        <v>Fuel Cost</v>
      </c>
      <c r="B69" s="66">
        <f>B39*B40*B47/B47</f>
        <v>18.791813371051141</v>
      </c>
      <c r="C69" s="66">
        <f t="shared" ref="C69:AC69" si="25">C39*C40*C47/C47</f>
        <v>18.293850493512178</v>
      </c>
      <c r="D69" s="66">
        <f t="shared" si="25"/>
        <v>17.795426046905337</v>
      </c>
      <c r="E69" s="66">
        <f t="shared" si="25"/>
        <v>17.296363604281858</v>
      </c>
      <c r="F69" s="66">
        <f t="shared" si="25"/>
        <v>16.796421903337443</v>
      </c>
      <c r="G69" s="66">
        <f t="shared" si="25"/>
        <v>16.295273228136875</v>
      </c>
      <c r="H69" s="66">
        <f t="shared" si="25"/>
        <v>15.792476675074129</v>
      </c>
      <c r="I69" s="66">
        <f t="shared" si="25"/>
        <v>15.287447287253018</v>
      </c>
      <c r="J69" s="66">
        <f t="shared" si="25"/>
        <v>15.130333095184868</v>
      </c>
      <c r="K69" s="66">
        <f t="shared" si="25"/>
        <v>14.9684548769479</v>
      </c>
      <c r="L69" s="66">
        <f t="shared" si="25"/>
        <v>14.800190279908229</v>
      </c>
      <c r="M69" s="66">
        <f t="shared" si="25"/>
        <v>14.62359722072277</v>
      </c>
      <c r="N69" s="66">
        <f t="shared" si="25"/>
        <v>14.436575866540792</v>
      </c>
      <c r="O69" s="66">
        <f t="shared" si="25"/>
        <v>14.237259181661496</v>
      </c>
      <c r="P69" s="66">
        <f t="shared" si="25"/>
        <v>14.024694777551073</v>
      </c>
      <c r="Q69" s="66">
        <f t="shared" si="25"/>
        <v>13.799730823763859</v>
      </c>
      <c r="R69" s="66">
        <f t="shared" si="25"/>
        <v>13.565734517027034</v>
      </c>
      <c r="S69" s="66">
        <f t="shared" si="25"/>
        <v>13.328543126503064</v>
      </c>
      <c r="T69" s="66">
        <f t="shared" si="25"/>
        <v>13.095264422359946</v>
      </c>
      <c r="U69" s="66">
        <f t="shared" si="25"/>
        <v>12.872314273016825</v>
      </c>
      <c r="V69" s="66">
        <f t="shared" si="25"/>
        <v>12.663751312664596</v>
      </c>
      <c r="W69" s="66">
        <f t="shared" si="25"/>
        <v>12.470754145487712</v>
      </c>
      <c r="X69" s="66">
        <f t="shared" si="25"/>
        <v>12.292207557983502</v>
      </c>
      <c r="Y69" s="66">
        <f t="shared" si="25"/>
        <v>12.125753584940488</v>
      </c>
      <c r="Z69" s="66">
        <f t="shared" si="25"/>
        <v>11.968712246383092</v>
      </c>
      <c r="AA69" s="66">
        <f t="shared" si="25"/>
        <v>11.818636277802668</v>
      </c>
      <c r="AB69" s="66">
        <f t="shared" si="25"/>
        <v>11.673537057739075</v>
      </c>
      <c r="AC69" s="66">
        <f t="shared" si="25"/>
        <v>11.531908894831895</v>
      </c>
    </row>
    <row r="70" spans="1:29" ht="15.75" thickBot="1" x14ac:dyDescent="0.3">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75" thickBot="1" x14ac:dyDescent="0.3">
      <c r="A71" s="31" t="s">
        <v>63</v>
      </c>
      <c r="B71" s="76">
        <f>B62+B63+B64-B65+B66+B67+B68+B69+B70</f>
        <v>43.293527970796347</v>
      </c>
      <c r="C71" s="76">
        <f t="shared" ref="C71:AC71" si="27">C62+C63+C64-C65+C66+C67+C68+C69+C70</f>
        <v>42.796029638850129</v>
      </c>
      <c r="D71" s="76">
        <f t="shared" si="27"/>
        <v>42.298270178912389</v>
      </c>
      <c r="E71" s="76">
        <f t="shared" si="27"/>
        <v>41.800159046483024</v>
      </c>
      <c r="F71" s="76">
        <f t="shared" si="27"/>
        <v>41.301576977723002</v>
      </c>
      <c r="G71" s="76">
        <f t="shared" si="27"/>
        <v>40.802368791478258</v>
      </c>
      <c r="H71" s="76">
        <f t="shared" si="27"/>
        <v>40.302335970742668</v>
      </c>
      <c r="I71" s="76">
        <f t="shared" si="27"/>
        <v>39.801230686640139</v>
      </c>
      <c r="J71" s="76">
        <f t="shared" si="27"/>
        <v>39.649662838095914</v>
      </c>
      <c r="K71" s="76">
        <f t="shared" si="27"/>
        <v>39.495571586102216</v>
      </c>
      <c r="L71" s="76">
        <f t="shared" si="27"/>
        <v>39.338133698896961</v>
      </c>
      <c r="M71" s="76">
        <f t="shared" si="27"/>
        <v>39.176383653866473</v>
      </c>
      <c r="N71" s="76">
        <f t="shared" si="27"/>
        <v>39.009309720195681</v>
      </c>
      <c r="O71" s="76">
        <f t="shared" si="27"/>
        <v>38.836068167482736</v>
      </c>
      <c r="P71" s="76">
        <f t="shared" si="27"/>
        <v>38.656340985066478</v>
      </c>
      <c r="Q71" s="76">
        <f t="shared" si="27"/>
        <v>38.470780754719648</v>
      </c>
      <c r="R71" s="76">
        <f t="shared" si="27"/>
        <v>38.281341140319256</v>
      </c>
      <c r="S71" s="76">
        <f t="shared" si="27"/>
        <v>38.091188067083358</v>
      </c>
      <c r="T71" s="76">
        <f t="shared" si="27"/>
        <v>37.904022054126784</v>
      </c>
      <c r="U71" s="76">
        <f t="shared" si="27"/>
        <v>37.723049236733864</v>
      </c>
      <c r="V71" s="76">
        <f t="shared" si="27"/>
        <v>37.550161030852287</v>
      </c>
      <c r="W71" s="76">
        <f t="shared" si="27"/>
        <v>37.385732953019847</v>
      </c>
      <c r="X71" s="76">
        <f t="shared" si="27"/>
        <v>37.228985848672124</v>
      </c>
      <c r="Y71" s="76">
        <f t="shared" si="27"/>
        <v>37.078556244070207</v>
      </c>
      <c r="Z71" s="76">
        <f t="shared" si="27"/>
        <v>36.932972097129031</v>
      </c>
      <c r="AA71" s="76">
        <f t="shared" si="27"/>
        <v>36.790925927877524</v>
      </c>
      <c r="AB71" s="76">
        <f t="shared" si="27"/>
        <v>36.65137579270025</v>
      </c>
      <c r="AC71" s="76">
        <f t="shared" si="27"/>
        <v>36.513545145102285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25">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25">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25">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25">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25">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25">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25">
      <c r="A81" s="30" t="str">
        <f t="shared" si="28"/>
        <v>Fuel Cost</v>
      </c>
      <c r="B81" s="66">
        <f>B39*B40*B47/B47/(B44)</f>
        <v>1.9885516794763114E-3</v>
      </c>
      <c r="C81" s="66">
        <f t="shared" ref="C81:AC81" si="36">C39*C40*C47/C47/(C44)</f>
        <v>1.9358571950806537E-3</v>
      </c>
      <c r="D81" s="66">
        <f t="shared" si="36"/>
        <v>1.8831138673973903E-3</v>
      </c>
      <c r="E81" s="66">
        <f t="shared" si="36"/>
        <v>1.8303030269081332E-3</v>
      </c>
      <c r="F81" s="66">
        <f t="shared" si="36"/>
        <v>1.7773991432103115E-3</v>
      </c>
      <c r="G81" s="66">
        <f t="shared" si="36"/>
        <v>1.7243675373689814E-3</v>
      </c>
      <c r="H81" s="66">
        <f t="shared" si="36"/>
        <v>1.6711615529178972E-3</v>
      </c>
      <c r="I81" s="66">
        <f t="shared" si="36"/>
        <v>1.617719289656404E-3</v>
      </c>
      <c r="J81" s="66">
        <f t="shared" si="36"/>
        <v>1.6010934492259119E-3</v>
      </c>
      <c r="K81" s="66">
        <f t="shared" si="36"/>
        <v>1.5839634790421058E-3</v>
      </c>
      <c r="L81" s="66">
        <f t="shared" si="36"/>
        <v>1.5661577015775904E-3</v>
      </c>
      <c r="M81" s="66">
        <f t="shared" si="36"/>
        <v>1.5474706053674888E-3</v>
      </c>
      <c r="N81" s="66">
        <f t="shared" si="36"/>
        <v>1.5276799858773326E-3</v>
      </c>
      <c r="O81" s="66">
        <f t="shared" si="36"/>
        <v>1.5065882731916927E-3</v>
      </c>
      <c r="P81" s="66">
        <f t="shared" si="36"/>
        <v>1.48409468545514E-3</v>
      </c>
      <c r="Q81" s="66">
        <f t="shared" si="36"/>
        <v>1.4602889760596677E-3</v>
      </c>
      <c r="R81" s="66">
        <f t="shared" si="36"/>
        <v>1.4355274621192628E-3</v>
      </c>
      <c r="S81" s="66">
        <f t="shared" si="36"/>
        <v>1.4104278440743984E-3</v>
      </c>
      <c r="T81" s="66">
        <f t="shared" si="36"/>
        <v>1.3857422669163965E-3</v>
      </c>
      <c r="U81" s="66">
        <f t="shared" si="36"/>
        <v>1.3621496585202988E-3</v>
      </c>
      <c r="V81" s="66">
        <f t="shared" si="36"/>
        <v>1.3400795039856714E-3</v>
      </c>
      <c r="W81" s="66">
        <f t="shared" si="36"/>
        <v>1.3196565233320331E-3</v>
      </c>
      <c r="X81" s="66">
        <f t="shared" si="36"/>
        <v>1.3007627045485187E-3</v>
      </c>
      <c r="Y81" s="66">
        <f t="shared" si="36"/>
        <v>1.2831485275069301E-3</v>
      </c>
      <c r="Z81" s="66">
        <f t="shared" si="36"/>
        <v>1.2665303964426553E-3</v>
      </c>
      <c r="AA81" s="66">
        <f t="shared" si="36"/>
        <v>1.2506493415664198E-3</v>
      </c>
      <c r="AB81" s="66">
        <f t="shared" si="36"/>
        <v>1.2352949267448758E-3</v>
      </c>
      <c r="AC81" s="66">
        <f t="shared" si="36"/>
        <v>1.2203078195589308E-3</v>
      </c>
    </row>
    <row r="82" spans="1:29" x14ac:dyDescent="0.25">
      <c r="A82" s="59" t="str">
        <f>A45</f>
        <v>Market failure (av. utilization)</v>
      </c>
      <c r="B82" s="66">
        <f t="shared" ref="B82:AC82" si="37">B71/B45-B71/B44</f>
        <v>2.1559179817390011E-3</v>
      </c>
      <c r="C82" s="66">
        <f t="shared" si="37"/>
        <v>2.1311437106181193E-3</v>
      </c>
      <c r="D82" s="66">
        <f t="shared" si="37"/>
        <v>2.106356435924675E-3</v>
      </c>
      <c r="E82" s="66">
        <f t="shared" si="37"/>
        <v>2.0815516487510989E-3</v>
      </c>
      <c r="F82" s="66">
        <f t="shared" si="37"/>
        <v>2.0567234100328912E-3</v>
      </c>
      <c r="G82" s="66">
        <f t="shared" si="37"/>
        <v>2.0318639921059808E-3</v>
      </c>
      <c r="H82" s="66">
        <f t="shared" si="37"/>
        <v>2.0069635092806798E-3</v>
      </c>
      <c r="I82" s="66">
        <f t="shared" si="37"/>
        <v>1.9820096202497412E-3</v>
      </c>
      <c r="J82" s="66">
        <f t="shared" si="37"/>
        <v>1.9744618904747411E-3</v>
      </c>
      <c r="K82" s="66">
        <f t="shared" si="37"/>
        <v>1.9667885010197167E-3</v>
      </c>
      <c r="L82" s="66">
        <f t="shared" si="37"/>
        <v>1.9589484568389385E-3</v>
      </c>
      <c r="M82" s="66">
        <f t="shared" si="37"/>
        <v>1.9508936771299827E-3</v>
      </c>
      <c r="N82" s="66">
        <f t="shared" si="37"/>
        <v>1.9425737800284172E-3</v>
      </c>
      <c r="O82" s="66">
        <f t="shared" si="37"/>
        <v>1.9339467497034657E-3</v>
      </c>
      <c r="P82" s="66">
        <f t="shared" si="37"/>
        <v>1.9249967499566237E-3</v>
      </c>
      <c r="Q82" s="66">
        <f t="shared" si="37"/>
        <v>1.9157562778571871E-3</v>
      </c>
      <c r="R82" s="66">
        <f t="shared" si="37"/>
        <v>1.9063226213666597E-3</v>
      </c>
      <c r="S82" s="66">
        <f t="shared" si="37"/>
        <v>1.8968534362693232E-3</v>
      </c>
      <c r="T82" s="66">
        <f t="shared" si="37"/>
        <v>1.887532999894268E-3</v>
      </c>
      <c r="U82" s="66">
        <f t="shared" si="37"/>
        <v>1.8785209703944651E-3</v>
      </c>
      <c r="V82" s="66">
        <f t="shared" si="37"/>
        <v>1.8699115359279064E-3</v>
      </c>
      <c r="W82" s="66">
        <f t="shared" si="37"/>
        <v>1.8617233963533061E-3</v>
      </c>
      <c r="X82" s="66">
        <f t="shared" si="37"/>
        <v>1.853917751567861E-3</v>
      </c>
      <c r="Y82" s="66">
        <f t="shared" si="37"/>
        <v>1.8464267037196485E-3</v>
      </c>
      <c r="Z82" s="66">
        <f t="shared" si="37"/>
        <v>1.8391769485031568E-3</v>
      </c>
      <c r="AA82" s="66">
        <f t="shared" si="37"/>
        <v>1.8321033764271406E-3</v>
      </c>
      <c r="AB82" s="66">
        <f t="shared" si="37"/>
        <v>1.8251541010992959E-3</v>
      </c>
      <c r="AC82" s="66">
        <f t="shared" si="37"/>
        <v>1.818290452292674E-3</v>
      </c>
    </row>
    <row r="83" spans="1:29" x14ac:dyDescent="0.25">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75" thickBot="1" x14ac:dyDescent="0.3">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75" thickBot="1" x14ac:dyDescent="0.3">
      <c r="A85" s="31" t="s">
        <v>210</v>
      </c>
      <c r="B85" s="77">
        <f>B74+B75+B76+B77+B78+B79+B80+B81+B82+B83+B84</f>
        <v>6.723447093602411E-3</v>
      </c>
      <c r="C85" s="77">
        <f t="shared" ref="C85:AC85" si="40">C74+C75+C76+C77+C78+C79+C80+C81+C82+C83+C84</f>
        <v>6.6460274963496546E-3</v>
      </c>
      <c r="D85" s="77">
        <f t="shared" si="40"/>
        <v>6.5685672629326409E-3</v>
      </c>
      <c r="E85" s="77">
        <f t="shared" si="40"/>
        <v>6.4910523030152151E-3</v>
      </c>
      <c r="F85" s="77">
        <f t="shared" si="40"/>
        <v>6.4134640570208149E-3</v>
      </c>
      <c r="G85" s="77">
        <f t="shared" si="40"/>
        <v>6.3357783759992233E-3</v>
      </c>
      <c r="H85" s="77">
        <f t="shared" si="40"/>
        <v>6.2579643671701549E-3</v>
      </c>
      <c r="I85" s="77">
        <f t="shared" si="40"/>
        <v>6.1799834639484725E-3</v>
      </c>
      <c r="J85" s="77">
        <f t="shared" si="40"/>
        <v>6.1563968084015971E-3</v>
      </c>
      <c r="K85" s="77">
        <f t="shared" si="40"/>
        <v>6.1324174663546461E-3</v>
      </c>
      <c r="L85" s="77">
        <f t="shared" si="40"/>
        <v>6.1079173282897149E-3</v>
      </c>
      <c r="M85" s="77">
        <f t="shared" si="40"/>
        <v>6.0827461416992253E-3</v>
      </c>
      <c r="N85" s="77">
        <f t="shared" si="40"/>
        <v>6.0567464632568357E-3</v>
      </c>
      <c r="O85" s="77">
        <f t="shared" si="40"/>
        <v>6.0297869934913617E-3</v>
      </c>
      <c r="P85" s="77">
        <f t="shared" si="40"/>
        <v>6.0018182442824804E-3</v>
      </c>
      <c r="Q85" s="77">
        <f t="shared" si="40"/>
        <v>5.9729417689717403E-3</v>
      </c>
      <c r="R85" s="77">
        <f t="shared" si="40"/>
        <v>5.9434615924388434E-3</v>
      </c>
      <c r="S85" s="77">
        <f t="shared" si="40"/>
        <v>5.9138703890096655E-3</v>
      </c>
      <c r="T85" s="77">
        <f t="shared" si="40"/>
        <v>5.8847440253376182E-3</v>
      </c>
      <c r="U85" s="77">
        <f t="shared" si="40"/>
        <v>5.8565814331507345E-3</v>
      </c>
      <c r="V85" s="77">
        <f t="shared" si="40"/>
        <v>5.8296769504427391E-3</v>
      </c>
      <c r="W85" s="77">
        <f t="shared" si="40"/>
        <v>5.8040890142721131E-3</v>
      </c>
      <c r="X85" s="77">
        <f t="shared" si="40"/>
        <v>5.7796963743175968E-3</v>
      </c>
      <c r="Y85" s="77">
        <f t="shared" si="40"/>
        <v>5.7562868497919324E-3</v>
      </c>
      <c r="Z85" s="77">
        <f t="shared" si="40"/>
        <v>5.7336313647403953E-3</v>
      </c>
      <c r="AA85" s="77">
        <f t="shared" si="40"/>
        <v>5.7115264520028446E-3</v>
      </c>
      <c r="AB85" s="77">
        <f t="shared" si="40"/>
        <v>5.6898099666033309E-3</v>
      </c>
      <c r="AC85" s="77">
        <f t="shared" si="40"/>
        <v>5.6683610640826379E-3</v>
      </c>
    </row>
    <row r="87" spans="1:29" x14ac:dyDescent="0.25">
      <c r="B87" s="40"/>
    </row>
    <row r="107" spans="1:2" s="3" customFormat="1" ht="21" x14ac:dyDescent="0.35">
      <c r="A107" s="2" t="str">
        <f>'Parameter Input'!A223</f>
        <v>Short-sea: Container</v>
      </c>
    </row>
    <row r="108" spans="1:2" s="3" customFormat="1" ht="21" x14ac:dyDescent="0.35">
      <c r="A108" s="2" t="s">
        <v>280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Input'!$L$224</f>
        <v>15000000</v>
      </c>
      <c r="C117" s="42">
        <f>'Parameter Input'!$M$224</f>
        <v>15000000</v>
      </c>
      <c r="D117" s="1" t="s">
        <v>15</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25">
      <c r="A118" s="24" t="s">
        <v>28</v>
      </c>
      <c r="B118" s="60">
        <f>'Parameter Input'!$L$225</f>
        <v>-1500000</v>
      </c>
      <c r="C118" s="61">
        <f>'Parameter Input'!$M$225</f>
        <v>-750000</v>
      </c>
      <c r="D118" s="1" t="s">
        <v>15</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25">
      <c r="A121" s="24" t="s">
        <v>79</v>
      </c>
      <c r="B121" s="92">
        <f>'Parameter Input'!$L$231</f>
        <v>0.06</v>
      </c>
      <c r="C121" s="91">
        <f>'Parameter Input'!$M$231</f>
        <v>0.06</v>
      </c>
      <c r="D121" s="1" t="s">
        <v>57</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25">
      <c r="A123" s="24" t="s">
        <v>52</v>
      </c>
      <c r="B123" s="60">
        <f>'Parameter Input'!$L$227</f>
        <v>488235.29411764705</v>
      </c>
      <c r="C123" s="61">
        <f>'Parameter Input'!$M$227</f>
        <v>488235.29411764705</v>
      </c>
      <c r="D123" s="1" t="s">
        <v>38</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25">
      <c r="A125" s="24" t="s">
        <v>59</v>
      </c>
      <c r="B125" s="60">
        <f>'Parameter Input'!$L$228</f>
        <v>647</v>
      </c>
      <c r="C125" s="61">
        <f>'Parameter Input'!$M$228</f>
        <v>600</v>
      </c>
      <c r="D125" s="1" t="s">
        <v>60</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25">
      <c r="A126" s="24" t="s">
        <v>67</v>
      </c>
      <c r="B126" s="78">
        <f>'Parameter Input'!$L$229</f>
        <v>3.1399999999999997E-2</v>
      </c>
      <c r="C126" s="61">
        <f>'Parameter Input'!$M$229</f>
        <v>3.1399999999999997E-2</v>
      </c>
      <c r="D126" s="1" t="s">
        <v>68</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25">
      <c r="A127" s="24" t="s">
        <v>206</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25">
      <c r="A128" s="24" t="s">
        <v>41</v>
      </c>
      <c r="B128" s="60">
        <f>'Parameter Input'!$L$226</f>
        <v>25</v>
      </c>
      <c r="C128" s="61">
        <f>'Parameter Input'!$M$226</f>
        <v>25</v>
      </c>
      <c r="D128" s="1" t="s">
        <v>42</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25">
      <c r="A132" s="24" t="s">
        <v>73</v>
      </c>
      <c r="B132" s="45">
        <f>'Parameter Input'!$L$230</f>
        <v>0</v>
      </c>
      <c r="C132" s="46">
        <f>'Parameter Input'!$M$230</f>
        <v>0</v>
      </c>
      <c r="D132" s="1" t="s">
        <v>57</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25">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25">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25">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25">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25">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25">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25">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25">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25">
      <c r="A146" s="30" t="str">
        <f t="shared" si="45"/>
        <v>Fuel Cost</v>
      </c>
      <c r="B146" s="62">
        <f>'Parameter Input'!J10</f>
        <v>2.9049168379255901E-2</v>
      </c>
      <c r="C146" s="62">
        <f>'Parameter Input'!K10</f>
        <v>2.8281348950729313E-2</v>
      </c>
      <c r="D146" s="62">
        <f>'Parameter Input'!L10</f>
        <v>2.7513529522202727E-2</v>
      </c>
      <c r="E146" s="62">
        <f>'Parameter Input'!M10</f>
        <v>2.6745710093676139E-2</v>
      </c>
      <c r="F146" s="62">
        <f>'Parameter Input'!N10</f>
        <v>2.597789066514955E-2</v>
      </c>
      <c r="G146" s="62">
        <f>'Parameter Input'!O10</f>
        <v>2.5210071236622961E-2</v>
      </c>
      <c r="H146" s="62">
        <f>'Parameter Input'!P10</f>
        <v>2.4442251808096373E-2</v>
      </c>
      <c r="I146" s="62">
        <f>'Parameter Input'!Q10</f>
        <v>2.3674432379569791E-2</v>
      </c>
      <c r="J146" s="62">
        <f>'Parameter Input'!R10</f>
        <v>2.3450485046249536E-2</v>
      </c>
      <c r="K146" s="62">
        <f>'Parameter Input'!S10</f>
        <v>2.322653771292928E-2</v>
      </c>
      <c r="L146" s="62">
        <f>'Parameter Input'!T10</f>
        <v>2.3002590379609025E-2</v>
      </c>
      <c r="M146" s="62">
        <f>'Parameter Input'!U10</f>
        <v>2.2778643046288769E-2</v>
      </c>
      <c r="N146" s="62">
        <f>'Parameter Input'!V10</f>
        <v>2.2554695712968514E-2</v>
      </c>
      <c r="O146" s="62">
        <f>'Parameter Input'!W10</f>
        <v>2.2330748379648258E-2</v>
      </c>
      <c r="P146" s="62">
        <f>'Parameter Input'!X10</f>
        <v>2.2106801046328003E-2</v>
      </c>
      <c r="Q146" s="62">
        <f>'Parameter Input'!Y10</f>
        <v>2.1882853713007747E-2</v>
      </c>
      <c r="R146" s="62">
        <f>'Parameter Input'!Z10</f>
        <v>2.1658906379687492E-2</v>
      </c>
      <c r="S146" s="62">
        <f>'Parameter Input'!AA10</f>
        <v>2.1434959046367243E-2</v>
      </c>
      <c r="T146" s="62">
        <f>'Parameter Input'!AB10</f>
        <v>2.1211011713046988E-2</v>
      </c>
      <c r="U146" s="62">
        <f>'Parameter Input'!AC10</f>
        <v>2.0987064379726732E-2</v>
      </c>
      <c r="V146" s="62">
        <f>'Parameter Input'!AD10</f>
        <v>2.0763117046406477E-2</v>
      </c>
      <c r="W146" s="62">
        <f>'Parameter Input'!AE10</f>
        <v>2.0539169713086221E-2</v>
      </c>
      <c r="X146" s="62">
        <f>'Parameter Input'!AF10</f>
        <v>2.0315222379765973E-2</v>
      </c>
      <c r="Y146" s="62">
        <f>'Parameter Input'!AG10</f>
        <v>2.0091275046445718E-2</v>
      </c>
      <c r="Z146" s="62">
        <f>'Parameter Input'!AH10</f>
        <v>1.9867327713125462E-2</v>
      </c>
      <c r="AA146" s="62">
        <f>'Parameter Input'!AI10</f>
        <v>1.9643380379805207E-2</v>
      </c>
      <c r="AB146" s="62">
        <f>'Parameter Input'!AJ10</f>
        <v>1.9419433046484951E-2</v>
      </c>
      <c r="AC146" s="62">
        <f>'Parameter Input'!AK10</f>
        <v>1.9195485713164699E-2</v>
      </c>
    </row>
    <row r="147" spans="1:29" x14ac:dyDescent="0.25">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25">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25">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25">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25">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25">
      <c r="A152" s="30" t="s">
        <v>73</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25">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25">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25">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25">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25">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25">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25">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25">
      <c r="A163" s="30" t="str">
        <f>A146</f>
        <v>Fuel Cost</v>
      </c>
      <c r="B163" s="62">
        <f>B145*B146*B153</f>
        <v>2255017.604526137</v>
      </c>
      <c r="C163" s="62">
        <f t="shared" ref="C163:AC163" si="56">C145*C146*C153</f>
        <v>2195262.0592214614</v>
      </c>
      <c r="D163" s="62">
        <f t="shared" si="56"/>
        <v>2135451.1256286404</v>
      </c>
      <c r="E163" s="62">
        <f t="shared" si="56"/>
        <v>2075563.632513823</v>
      </c>
      <c r="F163" s="62">
        <f t="shared" si="56"/>
        <v>2015570.6284004932</v>
      </c>
      <c r="G163" s="62">
        <f t="shared" si="56"/>
        <v>1955432.787376425</v>
      </c>
      <c r="H163" s="62">
        <f t="shared" si="56"/>
        <v>1895097.2010088954</v>
      </c>
      <c r="I163" s="62">
        <f t="shared" si="56"/>
        <v>1834493.6744703623</v>
      </c>
      <c r="J163" s="62">
        <f t="shared" si="56"/>
        <v>1815639.9714221843</v>
      </c>
      <c r="K163" s="62">
        <f t="shared" si="56"/>
        <v>1796214.585233748</v>
      </c>
      <c r="L163" s="62">
        <f t="shared" si="56"/>
        <v>1776022.8335889874</v>
      </c>
      <c r="M163" s="62">
        <f t="shared" si="56"/>
        <v>1754831.6664867324</v>
      </c>
      <c r="N163" s="62">
        <f t="shared" si="56"/>
        <v>1732389.1039848952</v>
      </c>
      <c r="O163" s="62">
        <f t="shared" si="56"/>
        <v>1708471.1017993796</v>
      </c>
      <c r="P163" s="62">
        <f t="shared" si="56"/>
        <v>1682963.3733061287</v>
      </c>
      <c r="Q163" s="62">
        <f t="shared" si="56"/>
        <v>1655967.6988516632</v>
      </c>
      <c r="R163" s="62">
        <f t="shared" si="56"/>
        <v>1627888.1420432441</v>
      </c>
      <c r="S163" s="62">
        <f t="shared" si="56"/>
        <v>1599425.1751803677</v>
      </c>
      <c r="T163" s="62">
        <f t="shared" si="56"/>
        <v>1571431.7306831935</v>
      </c>
      <c r="U163" s="62">
        <f t="shared" si="56"/>
        <v>1544677.7127620189</v>
      </c>
      <c r="V163" s="62">
        <f t="shared" si="56"/>
        <v>1519650.1575197515</v>
      </c>
      <c r="W163" s="62">
        <f t="shared" si="56"/>
        <v>1496490.4974585255</v>
      </c>
      <c r="X163" s="62">
        <f t="shared" si="56"/>
        <v>1475064.9069580203</v>
      </c>
      <c r="Y163" s="62">
        <f t="shared" si="56"/>
        <v>1455090.4301928587</v>
      </c>
      <c r="Z163" s="62">
        <f t="shared" si="56"/>
        <v>1436245.4695659711</v>
      </c>
      <c r="AA163" s="62">
        <f t="shared" si="56"/>
        <v>1418236.35333632</v>
      </c>
      <c r="AB163" s="62">
        <f t="shared" si="56"/>
        <v>1400824.446928689</v>
      </c>
      <c r="AC163" s="62">
        <f t="shared" si="56"/>
        <v>1383829.0673798274</v>
      </c>
    </row>
    <row r="164" spans="1:29" ht="15.75" thickBot="1" x14ac:dyDescent="0.3">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75" thickBot="1" x14ac:dyDescent="0.3">
      <c r="A165" s="31" t="s">
        <v>209</v>
      </c>
      <c r="B165" s="64">
        <f>B156+B157+B158+B159+B160+B161+B162+B163+B164</f>
        <v>5562340.6624942124</v>
      </c>
      <c r="C165" s="64">
        <f t="shared" ref="C165:AC165" si="58">C156+C157+C158+C159+C160+C161+C162+C163+C164</f>
        <v>5502640.8626606669</v>
      </c>
      <c r="D165" s="64">
        <f t="shared" si="58"/>
        <v>5442909.7274681386</v>
      </c>
      <c r="E165" s="64">
        <f t="shared" si="58"/>
        <v>5383136.3915766142</v>
      </c>
      <c r="F165" s="64">
        <f t="shared" si="58"/>
        <v>5323306.5433254112</v>
      </c>
      <c r="G165" s="64">
        <f t="shared" si="58"/>
        <v>5263401.5609760424</v>
      </c>
      <c r="H165" s="64">
        <f t="shared" si="58"/>
        <v>5203397.6224877713</v>
      </c>
      <c r="I165" s="64">
        <f t="shared" si="58"/>
        <v>5143264.9883954683</v>
      </c>
      <c r="J165" s="64">
        <f t="shared" si="58"/>
        <v>5125076.8465701612</v>
      </c>
      <c r="K165" s="64">
        <f t="shared" si="58"/>
        <v>5106585.8963309173</v>
      </c>
      <c r="L165" s="64">
        <f t="shared" si="58"/>
        <v>5087693.3498662869</v>
      </c>
      <c r="M165" s="64">
        <f t="shared" si="58"/>
        <v>5068283.3444626285</v>
      </c>
      <c r="N165" s="64">
        <f t="shared" si="58"/>
        <v>5048234.4724221323</v>
      </c>
      <c r="O165" s="64">
        <f t="shared" si="58"/>
        <v>5027445.4860965796</v>
      </c>
      <c r="P165" s="64">
        <f t="shared" si="58"/>
        <v>5005878.2242066283</v>
      </c>
      <c r="Q165" s="64">
        <f t="shared" si="58"/>
        <v>4983610.9965650085</v>
      </c>
      <c r="R165" s="64">
        <f t="shared" si="58"/>
        <v>4960878.2428369625</v>
      </c>
      <c r="S165" s="64">
        <f t="shared" si="58"/>
        <v>4938059.874048654</v>
      </c>
      <c r="T165" s="64">
        <f t="shared" si="58"/>
        <v>4915599.952493865</v>
      </c>
      <c r="U165" s="64">
        <f t="shared" si="58"/>
        <v>4893883.2144067148</v>
      </c>
      <c r="V165" s="64">
        <f t="shared" si="58"/>
        <v>4873136.6297009252</v>
      </c>
      <c r="W165" s="64">
        <f t="shared" si="58"/>
        <v>4853405.2603610326</v>
      </c>
      <c r="X165" s="64">
        <f t="shared" si="58"/>
        <v>4834595.6078393068</v>
      </c>
      <c r="Y165" s="64">
        <f t="shared" si="58"/>
        <v>4816544.0552870762</v>
      </c>
      <c r="Z165" s="64">
        <f t="shared" si="58"/>
        <v>4799073.9576541344</v>
      </c>
      <c r="AA165" s="64">
        <f t="shared" si="58"/>
        <v>4782028.4173439536</v>
      </c>
      <c r="AB165" s="64">
        <f t="shared" si="58"/>
        <v>4765282.4011226809</v>
      </c>
      <c r="AC165" s="64">
        <f t="shared" si="58"/>
        <v>4748742.7234109258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25">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25">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25">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25">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25">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25">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25">
      <c r="A175" s="30" t="str">
        <f t="shared" si="59"/>
        <v>Fuel Cost</v>
      </c>
      <c r="B175" s="66">
        <f>B145*B146*B153/B153</f>
        <v>18.791813371051141</v>
      </c>
      <c r="C175" s="66">
        <f t="shared" ref="C175:AC175" si="67">C145*C146*C153/C153</f>
        <v>18.293850493512178</v>
      </c>
      <c r="D175" s="66">
        <f t="shared" si="67"/>
        <v>17.795426046905337</v>
      </c>
      <c r="E175" s="66">
        <f t="shared" si="67"/>
        <v>17.296363604281858</v>
      </c>
      <c r="F175" s="66">
        <f t="shared" si="67"/>
        <v>16.796421903337443</v>
      </c>
      <c r="G175" s="66">
        <f t="shared" si="67"/>
        <v>16.295273228136875</v>
      </c>
      <c r="H175" s="66">
        <f t="shared" si="67"/>
        <v>15.792476675074129</v>
      </c>
      <c r="I175" s="66">
        <f t="shared" si="67"/>
        <v>15.287447287253018</v>
      </c>
      <c r="J175" s="66">
        <f t="shared" si="67"/>
        <v>15.130333095184868</v>
      </c>
      <c r="K175" s="66">
        <f t="shared" si="67"/>
        <v>14.9684548769479</v>
      </c>
      <c r="L175" s="66">
        <f t="shared" si="67"/>
        <v>14.800190279908229</v>
      </c>
      <c r="M175" s="66">
        <f t="shared" si="67"/>
        <v>14.62359722072277</v>
      </c>
      <c r="N175" s="66">
        <f t="shared" si="67"/>
        <v>14.436575866540792</v>
      </c>
      <c r="O175" s="66">
        <f t="shared" si="67"/>
        <v>14.237259181661496</v>
      </c>
      <c r="P175" s="66">
        <f t="shared" si="67"/>
        <v>14.024694777551073</v>
      </c>
      <c r="Q175" s="66">
        <f t="shared" si="67"/>
        <v>13.799730823763859</v>
      </c>
      <c r="R175" s="66">
        <f t="shared" si="67"/>
        <v>13.565734517027034</v>
      </c>
      <c r="S175" s="66">
        <f t="shared" si="67"/>
        <v>13.328543126503064</v>
      </c>
      <c r="T175" s="66">
        <f t="shared" si="67"/>
        <v>13.095264422359946</v>
      </c>
      <c r="U175" s="66">
        <f t="shared" si="67"/>
        <v>12.872314273016825</v>
      </c>
      <c r="V175" s="66">
        <f t="shared" si="67"/>
        <v>12.663751312664596</v>
      </c>
      <c r="W175" s="66">
        <f t="shared" si="67"/>
        <v>12.470754145487712</v>
      </c>
      <c r="X175" s="66">
        <f t="shared" si="67"/>
        <v>12.292207557983502</v>
      </c>
      <c r="Y175" s="66">
        <f t="shared" si="67"/>
        <v>12.125753584940488</v>
      </c>
      <c r="Z175" s="66">
        <f t="shared" si="67"/>
        <v>11.968712246383092</v>
      </c>
      <c r="AA175" s="66">
        <f t="shared" si="67"/>
        <v>11.818636277802668</v>
      </c>
      <c r="AB175" s="66">
        <f t="shared" si="67"/>
        <v>11.673537057739075</v>
      </c>
      <c r="AC175" s="66">
        <f t="shared" si="67"/>
        <v>11.531908894831895</v>
      </c>
    </row>
    <row r="176" spans="1:29" ht="15.75" thickBot="1" x14ac:dyDescent="0.3">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75" thickBot="1" x14ac:dyDescent="0.3">
      <c r="A177" s="31" t="s">
        <v>63</v>
      </c>
      <c r="B177" s="76">
        <f>B168+B169+B170-B171+B172+B173+B174+B175+B176</f>
        <v>47.004728172554053</v>
      </c>
      <c r="C177" s="76">
        <f t="shared" ref="C177:AC177" si="69">C168+C169+C170-C171+C172+C173+C174+C175+C176</f>
        <v>46.507229840607842</v>
      </c>
      <c r="D177" s="76">
        <f t="shared" si="69"/>
        <v>46.009470380670109</v>
      </c>
      <c r="E177" s="76">
        <f t="shared" si="69"/>
        <v>45.511359248240737</v>
      </c>
      <c r="F177" s="76">
        <f t="shared" si="69"/>
        <v>45.012777179480715</v>
      </c>
      <c r="G177" s="76">
        <f t="shared" si="69"/>
        <v>44.513568993235971</v>
      </c>
      <c r="H177" s="76">
        <f t="shared" si="69"/>
        <v>44.01353617250038</v>
      </c>
      <c r="I177" s="76">
        <f t="shared" si="69"/>
        <v>43.512430888397851</v>
      </c>
      <c r="J177" s="76">
        <f t="shared" si="69"/>
        <v>43.360863039853626</v>
      </c>
      <c r="K177" s="76">
        <f t="shared" si="69"/>
        <v>43.206771787859921</v>
      </c>
      <c r="L177" s="76">
        <f t="shared" si="69"/>
        <v>43.049333900654673</v>
      </c>
      <c r="M177" s="76">
        <f t="shared" si="69"/>
        <v>42.887583855624186</v>
      </c>
      <c r="N177" s="76">
        <f t="shared" si="69"/>
        <v>42.720509921953393</v>
      </c>
      <c r="O177" s="76">
        <f t="shared" si="69"/>
        <v>42.547268369240449</v>
      </c>
      <c r="P177" s="76">
        <f t="shared" si="69"/>
        <v>42.367541186824184</v>
      </c>
      <c r="Q177" s="76">
        <f t="shared" si="69"/>
        <v>42.181980956477361</v>
      </c>
      <c r="R177" s="76">
        <f t="shared" si="69"/>
        <v>41.992541342076976</v>
      </c>
      <c r="S177" s="76">
        <f t="shared" si="69"/>
        <v>41.802388268841071</v>
      </c>
      <c r="T177" s="76">
        <f t="shared" si="69"/>
        <v>41.61522225588449</v>
      </c>
      <c r="U177" s="76">
        <f t="shared" si="69"/>
        <v>41.434249438491577</v>
      </c>
      <c r="V177" s="76">
        <f t="shared" si="69"/>
        <v>41.26136123261</v>
      </c>
      <c r="W177" s="76">
        <f t="shared" si="69"/>
        <v>41.096933154777567</v>
      </c>
      <c r="X177" s="76">
        <f t="shared" si="69"/>
        <v>40.94018605042983</v>
      </c>
      <c r="Y177" s="76">
        <f t="shared" si="69"/>
        <v>40.789756445827912</v>
      </c>
      <c r="Z177" s="76">
        <f t="shared" si="69"/>
        <v>40.644172298886744</v>
      </c>
      <c r="AA177" s="76">
        <f t="shared" si="69"/>
        <v>40.502126129635229</v>
      </c>
      <c r="AB177" s="76">
        <f t="shared" si="69"/>
        <v>40.362575994457956</v>
      </c>
      <c r="AC177" s="76">
        <f t="shared" si="69"/>
        <v>40.224745346859997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25">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25">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25">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25">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25">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25">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25">
      <c r="A187" s="30" t="str">
        <f t="shared" si="70"/>
        <v>Fuel Cost</v>
      </c>
      <c r="B187" s="69">
        <f>B145*B146*B153/B153/(B150)</f>
        <v>1.9885516794763114E-3</v>
      </c>
      <c r="C187" s="66">
        <f t="shared" ref="C187:AC187" si="78">C145*C146*C153/C153/(C150)</f>
        <v>1.9358571950806537E-3</v>
      </c>
      <c r="D187" s="66">
        <f t="shared" si="78"/>
        <v>1.8831138673973903E-3</v>
      </c>
      <c r="E187" s="66">
        <f t="shared" si="78"/>
        <v>1.8303030269081332E-3</v>
      </c>
      <c r="F187" s="66">
        <f t="shared" si="78"/>
        <v>1.7773991432103115E-3</v>
      </c>
      <c r="G187" s="66">
        <f t="shared" si="78"/>
        <v>1.7243675373689814E-3</v>
      </c>
      <c r="H187" s="66">
        <f t="shared" si="78"/>
        <v>1.6711615529178972E-3</v>
      </c>
      <c r="I187" s="66">
        <f t="shared" si="78"/>
        <v>1.617719289656404E-3</v>
      </c>
      <c r="J187" s="66">
        <f t="shared" si="78"/>
        <v>1.6010934492259119E-3</v>
      </c>
      <c r="K187" s="66">
        <f t="shared" si="78"/>
        <v>1.5839634790421058E-3</v>
      </c>
      <c r="L187" s="66">
        <f t="shared" si="78"/>
        <v>1.5661577015775904E-3</v>
      </c>
      <c r="M187" s="66">
        <f t="shared" si="78"/>
        <v>1.5474706053674888E-3</v>
      </c>
      <c r="N187" s="66">
        <f t="shared" si="78"/>
        <v>1.5276799858773326E-3</v>
      </c>
      <c r="O187" s="66">
        <f t="shared" si="78"/>
        <v>1.5065882731916927E-3</v>
      </c>
      <c r="P187" s="66">
        <f t="shared" si="78"/>
        <v>1.48409468545514E-3</v>
      </c>
      <c r="Q187" s="66">
        <f t="shared" si="78"/>
        <v>1.4602889760596677E-3</v>
      </c>
      <c r="R187" s="66">
        <f t="shared" si="78"/>
        <v>1.4355274621192628E-3</v>
      </c>
      <c r="S187" s="66">
        <f t="shared" si="78"/>
        <v>1.4104278440743984E-3</v>
      </c>
      <c r="T187" s="66">
        <f t="shared" si="78"/>
        <v>1.3857422669163965E-3</v>
      </c>
      <c r="U187" s="66">
        <f t="shared" si="78"/>
        <v>1.3621496585202988E-3</v>
      </c>
      <c r="V187" s="66">
        <f t="shared" si="78"/>
        <v>1.3400795039856714E-3</v>
      </c>
      <c r="W187" s="66">
        <f t="shared" si="78"/>
        <v>1.3196565233320331E-3</v>
      </c>
      <c r="X187" s="66">
        <f t="shared" si="78"/>
        <v>1.3007627045485187E-3</v>
      </c>
      <c r="Y187" s="66">
        <f t="shared" si="78"/>
        <v>1.2831485275069301E-3</v>
      </c>
      <c r="Z187" s="66">
        <f t="shared" si="78"/>
        <v>1.2665303964426553E-3</v>
      </c>
      <c r="AA187" s="66">
        <f t="shared" si="78"/>
        <v>1.2506493415664198E-3</v>
      </c>
      <c r="AB187" s="66">
        <f t="shared" si="78"/>
        <v>1.2352949267448758E-3</v>
      </c>
      <c r="AC187" s="66">
        <f t="shared" si="78"/>
        <v>1.2203078195589308E-3</v>
      </c>
    </row>
    <row r="188" spans="1:29" x14ac:dyDescent="0.25">
      <c r="A188" s="59" t="str">
        <f>A151</f>
        <v>Market failure (av. utilization)</v>
      </c>
      <c r="B188" s="69">
        <f t="shared" ref="B188:AC188" si="79">B177/B151-B177/B150</f>
        <v>3.7016151138716128E-3</v>
      </c>
      <c r="C188" s="66">
        <f t="shared" si="79"/>
        <v>3.662437196750217E-3</v>
      </c>
      <c r="D188" s="66">
        <f t="shared" si="79"/>
        <v>3.623238715839654E-3</v>
      </c>
      <c r="E188" s="66">
        <f t="shared" si="79"/>
        <v>3.5840125407744653E-3</v>
      </c>
      <c r="F188" s="66">
        <f t="shared" si="79"/>
        <v>3.5447492795456703E-3</v>
      </c>
      <c r="G188" s="66">
        <f t="shared" si="79"/>
        <v>3.5054367116612558E-3</v>
      </c>
      <c r="H188" s="66">
        <f t="shared" si="79"/>
        <v>3.4660592039375219E-3</v>
      </c>
      <c r="I188" s="66">
        <f t="shared" si="79"/>
        <v>3.4265972398885959E-3</v>
      </c>
      <c r="J188" s="66">
        <f t="shared" si="79"/>
        <v>3.4146612951281314E-3</v>
      </c>
      <c r="K188" s="66">
        <f t="shared" si="79"/>
        <v>3.4025266327341389E-3</v>
      </c>
      <c r="L188" s="66">
        <f t="shared" si="79"/>
        <v>3.3901284233319789E-3</v>
      </c>
      <c r="M188" s="66">
        <f t="shared" si="79"/>
        <v>3.3773906321643262E-3</v>
      </c>
      <c r="N188" s="66">
        <f t="shared" si="79"/>
        <v>3.3642335855851085E-3</v>
      </c>
      <c r="O188" s="66">
        <f t="shared" si="79"/>
        <v>3.3505908399549507E-3</v>
      </c>
      <c r="P188" s="66">
        <f t="shared" si="79"/>
        <v>3.3364373519832015E-3</v>
      </c>
      <c r="Q188" s="66">
        <f t="shared" si="79"/>
        <v>3.321824512384091E-3</v>
      </c>
      <c r="R188" s="66">
        <f t="shared" si="79"/>
        <v>3.3069061718874445E-3</v>
      </c>
      <c r="S188" s="66">
        <f t="shared" si="79"/>
        <v>3.2919316466172369E-3</v>
      </c>
      <c r="T188" s="66">
        <f t="shared" si="79"/>
        <v>3.2771923518845917E-3</v>
      </c>
      <c r="U188" s="66">
        <f t="shared" si="79"/>
        <v>3.2629407703500196E-3</v>
      </c>
      <c r="V188" s="66">
        <f t="shared" si="79"/>
        <v>3.2493258507284859E-3</v>
      </c>
      <c r="W188" s="66">
        <f t="shared" si="79"/>
        <v>3.2363771648895832E-3</v>
      </c>
      <c r="X188" s="66">
        <f t="shared" si="79"/>
        <v>3.2240333545312033E-3</v>
      </c>
      <c r="Y188" s="66">
        <f t="shared" si="79"/>
        <v>3.2121870463061239E-3</v>
      </c>
      <c r="Z188" s="66">
        <f t="shared" si="79"/>
        <v>3.2007223171265555E-3</v>
      </c>
      <c r="AA188" s="66">
        <f t="shared" si="79"/>
        <v>3.1895362031458775E-3</v>
      </c>
      <c r="AB188" s="66">
        <f t="shared" si="79"/>
        <v>3.1785466514646357E-3</v>
      </c>
      <c r="AC188" s="66">
        <f t="shared" si="79"/>
        <v>3.1676925091657935E-3</v>
      </c>
    </row>
    <row r="189" spans="1:29" x14ac:dyDescent="0.25">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75" thickBot="1" x14ac:dyDescent="0.3">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75" thickBot="1" x14ac:dyDescent="0.3">
      <c r="A191" s="31" t="s">
        <v>210</v>
      </c>
      <c r="B191" s="76">
        <f>B180+B181+B182+B183+B184+B185+B186+B187+B188+B189+B190</f>
        <v>8.6066774264767394E-3</v>
      </c>
      <c r="C191" s="67">
        <f t="shared" ref="C191:AC191" si="82">C180+C181+C182+C183+C184+C185+C186+C187+C188+C189+C190</f>
        <v>8.5148541832234682E-3</v>
      </c>
      <c r="D191" s="67">
        <f t="shared" si="82"/>
        <v>8.4229827435893349E-3</v>
      </c>
      <c r="E191" s="67">
        <f t="shared" si="82"/>
        <v>8.3310463957802974E-3</v>
      </c>
      <c r="F191" s="67">
        <f t="shared" si="82"/>
        <v>8.2390231272753099E-3</v>
      </c>
      <c r="G191" s="67">
        <f t="shared" si="82"/>
        <v>8.1468842962962133E-3</v>
      </c>
      <c r="H191" s="67">
        <f t="shared" si="82"/>
        <v>8.0545932625687121E-3</v>
      </c>
      <c r="I191" s="67">
        <f t="shared" si="82"/>
        <v>7.962104284329044E-3</v>
      </c>
      <c r="J191" s="67">
        <f t="shared" si="82"/>
        <v>7.9341294137967033E-3</v>
      </c>
      <c r="K191" s="67">
        <f t="shared" si="82"/>
        <v>7.9056887988107841E-3</v>
      </c>
      <c r="L191" s="67">
        <f t="shared" si="82"/>
        <v>7.8766304955244712E-3</v>
      </c>
      <c r="M191" s="67">
        <f t="shared" si="82"/>
        <v>7.8467762974752837E-3</v>
      </c>
      <c r="N191" s="67">
        <f t="shared" si="82"/>
        <v>7.8159394695552428E-3</v>
      </c>
      <c r="O191" s="67">
        <f t="shared" si="82"/>
        <v>7.7839642844845626E-3</v>
      </c>
      <c r="P191" s="67">
        <f t="shared" si="82"/>
        <v>7.7507920470507741E-3</v>
      </c>
      <c r="Q191" s="67">
        <f t="shared" si="82"/>
        <v>7.7165432042403601E-3</v>
      </c>
      <c r="R191" s="67">
        <f t="shared" si="82"/>
        <v>7.681578343701344E-3</v>
      </c>
      <c r="S191" s="67">
        <f t="shared" si="82"/>
        <v>7.6464818000992951E-3</v>
      </c>
      <c r="T191" s="67">
        <f t="shared" si="82"/>
        <v>7.6119365780696578E-3</v>
      </c>
      <c r="U191" s="67">
        <f t="shared" si="82"/>
        <v>7.578534433848004E-3</v>
      </c>
      <c r="V191" s="67">
        <f t="shared" si="82"/>
        <v>7.5466244659850336E-3</v>
      </c>
      <c r="W191" s="67">
        <f t="shared" si="82"/>
        <v>7.5162759835501062E-3</v>
      </c>
      <c r="X191" s="67">
        <f t="shared" si="82"/>
        <v>7.4873451780226551E-3</v>
      </c>
      <c r="Y191" s="67">
        <f t="shared" si="82"/>
        <v>7.4595803931201236E-3</v>
      </c>
      <c r="Z191" s="67">
        <f t="shared" si="82"/>
        <v>7.43270993410551E-3</v>
      </c>
      <c r="AA191" s="67">
        <f t="shared" si="82"/>
        <v>7.406492479463297E-3</v>
      </c>
      <c r="AB191" s="67">
        <f t="shared" si="82"/>
        <v>7.3807357177103862E-3</v>
      </c>
      <c r="AC191" s="67">
        <f t="shared" si="82"/>
        <v>7.3552963216974732E-3</v>
      </c>
    </row>
    <row r="193" spans="2:2" x14ac:dyDescent="0.25">
      <c r="B193" s="40"/>
    </row>
    <row r="215" spans="1:44" s="3" customFormat="1" ht="21" x14ac:dyDescent="0.35">
      <c r="A215" s="2" t="str">
        <f>'Parameter Input'!A235</f>
        <v>Short-sea: Break bulk</v>
      </c>
    </row>
    <row r="216" spans="1:44" s="3" customFormat="1" ht="21" x14ac:dyDescent="0.35">
      <c r="A216" s="2" t="s">
        <v>280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Input'!$L$224</f>
        <v>15000000</v>
      </c>
      <c r="C225" s="42">
        <f>'Parameter Input'!$M$224</f>
        <v>15000000</v>
      </c>
      <c r="D225" s="1" t="s">
        <v>15</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25">
      <c r="A226" s="24" t="s">
        <v>28</v>
      </c>
      <c r="B226" s="60">
        <f>'Parameter Input'!$L$225</f>
        <v>-1500000</v>
      </c>
      <c r="C226" s="61">
        <f>'Parameter Input'!$M$225</f>
        <v>-750000</v>
      </c>
      <c r="D226" s="1" t="s">
        <v>15</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25">
      <c r="A229" s="24" t="s">
        <v>79</v>
      </c>
      <c r="B229" s="92">
        <f>'Parameter Input'!$L$231</f>
        <v>0.06</v>
      </c>
      <c r="C229" s="91">
        <f>'Parameter Input'!$M$231</f>
        <v>0.06</v>
      </c>
      <c r="D229" s="1" t="s">
        <v>57</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25">
      <c r="A231" s="24" t="s">
        <v>52</v>
      </c>
      <c r="B231" s="60">
        <f>'Parameter Input'!$L$227</f>
        <v>488235.29411764705</v>
      </c>
      <c r="C231" s="61">
        <f>'Parameter Input'!$M$227</f>
        <v>488235.29411764705</v>
      </c>
      <c r="D231" s="1" t="s">
        <v>38</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25">
      <c r="A233" s="24" t="s">
        <v>59</v>
      </c>
      <c r="B233" s="60">
        <f>'Parameter Input'!$L$228</f>
        <v>647</v>
      </c>
      <c r="C233" s="61">
        <f>'Parameter Input'!$M$228</f>
        <v>600</v>
      </c>
      <c r="D233" s="1" t="s">
        <v>60</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25">
      <c r="A234" s="24" t="s">
        <v>67</v>
      </c>
      <c r="B234" s="78">
        <f>'Parameter Input'!$L$229</f>
        <v>3.1399999999999997E-2</v>
      </c>
      <c r="C234" s="61">
        <f>'Parameter Input'!$M$229</f>
        <v>3.1399999999999997E-2</v>
      </c>
      <c r="D234" s="1" t="s">
        <v>68</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25">
      <c r="A235" s="24" t="s">
        <v>206</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25">
      <c r="A236" s="24" t="s">
        <v>41</v>
      </c>
      <c r="B236" s="60">
        <f>'Parameter Input'!$L$226</f>
        <v>25</v>
      </c>
      <c r="C236" s="61">
        <f>'Parameter Input'!$M$226</f>
        <v>25</v>
      </c>
      <c r="D236" s="1" t="s">
        <v>42</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25">
      <c r="A240" s="24" t="s">
        <v>73</v>
      </c>
      <c r="B240" s="45">
        <f>'Parameter Input'!$L$230</f>
        <v>0</v>
      </c>
      <c r="C240" s="46">
        <f>'Parameter Input'!$M$230</f>
        <v>0</v>
      </c>
      <c r="D240" s="1" t="s">
        <v>57</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25">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25">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25">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25">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25">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25">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25">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25">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25">
      <c r="A254" s="30" t="str">
        <f t="shared" si="87"/>
        <v>Fuel Cost</v>
      </c>
      <c r="B254" s="62">
        <f>'Parameter Input'!J10</f>
        <v>2.9049168379255901E-2</v>
      </c>
      <c r="C254" s="62">
        <f>'Parameter Input'!K10</f>
        <v>2.8281348950729313E-2</v>
      </c>
      <c r="D254" s="62">
        <f>'Parameter Input'!L10</f>
        <v>2.7513529522202727E-2</v>
      </c>
      <c r="E254" s="62">
        <f>'Parameter Input'!M10</f>
        <v>2.6745710093676139E-2</v>
      </c>
      <c r="F254" s="62">
        <f>'Parameter Input'!N10</f>
        <v>2.597789066514955E-2</v>
      </c>
      <c r="G254" s="62">
        <f>'Parameter Input'!O10</f>
        <v>2.5210071236622961E-2</v>
      </c>
      <c r="H254" s="62">
        <f>'Parameter Input'!P10</f>
        <v>2.4442251808096373E-2</v>
      </c>
      <c r="I254" s="62">
        <f>'Parameter Input'!Q10</f>
        <v>2.3674432379569791E-2</v>
      </c>
      <c r="J254" s="62">
        <f>'Parameter Input'!R10</f>
        <v>2.3450485046249536E-2</v>
      </c>
      <c r="K254" s="62">
        <f>'Parameter Input'!S10</f>
        <v>2.322653771292928E-2</v>
      </c>
      <c r="L254" s="62">
        <f>'Parameter Input'!T10</f>
        <v>2.3002590379609025E-2</v>
      </c>
      <c r="M254" s="62">
        <f>'Parameter Input'!U10</f>
        <v>2.2778643046288769E-2</v>
      </c>
      <c r="N254" s="62">
        <f>'Parameter Input'!V10</f>
        <v>2.2554695712968514E-2</v>
      </c>
      <c r="O254" s="62">
        <f>'Parameter Input'!W10</f>
        <v>2.2330748379648258E-2</v>
      </c>
      <c r="P254" s="62">
        <f>'Parameter Input'!X10</f>
        <v>2.2106801046328003E-2</v>
      </c>
      <c r="Q254" s="62">
        <f>'Parameter Input'!Y10</f>
        <v>2.1882853713007747E-2</v>
      </c>
      <c r="R254" s="62">
        <f>'Parameter Input'!Z10</f>
        <v>2.1658906379687492E-2</v>
      </c>
      <c r="S254" s="62">
        <f>'Parameter Input'!AA10</f>
        <v>2.1434959046367243E-2</v>
      </c>
      <c r="T254" s="62">
        <f>'Parameter Input'!AB10</f>
        <v>2.1211011713046988E-2</v>
      </c>
      <c r="U254" s="62">
        <f>'Parameter Input'!AC10</f>
        <v>2.0987064379726732E-2</v>
      </c>
      <c r="V254" s="62">
        <f>'Parameter Input'!AD10</f>
        <v>2.0763117046406477E-2</v>
      </c>
      <c r="W254" s="62">
        <f>'Parameter Input'!AE10</f>
        <v>2.0539169713086221E-2</v>
      </c>
      <c r="X254" s="62">
        <f>'Parameter Input'!AF10</f>
        <v>2.0315222379765973E-2</v>
      </c>
      <c r="Y254" s="62">
        <f>'Parameter Input'!AG10</f>
        <v>2.0091275046445718E-2</v>
      </c>
      <c r="Z254" s="62">
        <f>'Parameter Input'!AH10</f>
        <v>1.9867327713125462E-2</v>
      </c>
      <c r="AA254" s="62">
        <f>'Parameter Input'!AI10</f>
        <v>1.9643380379805207E-2</v>
      </c>
      <c r="AB254" s="62">
        <f>'Parameter Input'!AJ10</f>
        <v>1.9419433046484951E-2</v>
      </c>
      <c r="AC254" s="62">
        <f>'Parameter Input'!AK10</f>
        <v>1.9195485713164699E-2</v>
      </c>
    </row>
    <row r="255" spans="1:44" x14ac:dyDescent="0.25">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25">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25">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25">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25">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25">
      <c r="A260" s="30" t="s">
        <v>73</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25">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25">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25">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25">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25">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25">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25">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25">
      <c r="A271" s="30" t="str">
        <f>A254</f>
        <v>Fuel Cost</v>
      </c>
      <c r="B271" s="62">
        <f>B253*B254*B261</f>
        <v>2255017.604526137</v>
      </c>
      <c r="C271" s="62">
        <f t="shared" ref="C271:AC271" si="98">C253*C254*C261</f>
        <v>2195262.0592214614</v>
      </c>
      <c r="D271" s="62">
        <f t="shared" si="98"/>
        <v>2135451.1256286404</v>
      </c>
      <c r="E271" s="62">
        <f t="shared" si="98"/>
        <v>2075563.632513823</v>
      </c>
      <c r="F271" s="62">
        <f t="shared" si="98"/>
        <v>2015570.6284004932</v>
      </c>
      <c r="G271" s="62">
        <f t="shared" si="98"/>
        <v>1955432.787376425</v>
      </c>
      <c r="H271" s="62">
        <f t="shared" si="98"/>
        <v>1895097.2010088954</v>
      </c>
      <c r="I271" s="62">
        <f t="shared" si="98"/>
        <v>1834493.6744703623</v>
      </c>
      <c r="J271" s="62">
        <f t="shared" si="98"/>
        <v>1815639.9714221843</v>
      </c>
      <c r="K271" s="62">
        <f t="shared" si="98"/>
        <v>1796214.585233748</v>
      </c>
      <c r="L271" s="62">
        <f t="shared" si="98"/>
        <v>1776022.8335889874</v>
      </c>
      <c r="M271" s="62">
        <f t="shared" si="98"/>
        <v>1754831.6664867324</v>
      </c>
      <c r="N271" s="62">
        <f t="shared" si="98"/>
        <v>1732389.1039848952</v>
      </c>
      <c r="O271" s="62">
        <f t="shared" si="98"/>
        <v>1708471.1017993796</v>
      </c>
      <c r="P271" s="62">
        <f t="shared" si="98"/>
        <v>1682963.3733061287</v>
      </c>
      <c r="Q271" s="62">
        <f t="shared" si="98"/>
        <v>1655967.6988516632</v>
      </c>
      <c r="R271" s="62">
        <f t="shared" si="98"/>
        <v>1627888.1420432441</v>
      </c>
      <c r="S271" s="62">
        <f t="shared" si="98"/>
        <v>1599425.1751803677</v>
      </c>
      <c r="T271" s="62">
        <f t="shared" si="98"/>
        <v>1571431.7306831935</v>
      </c>
      <c r="U271" s="62">
        <f t="shared" si="98"/>
        <v>1544677.7127620189</v>
      </c>
      <c r="V271" s="62">
        <f t="shared" si="98"/>
        <v>1519650.1575197515</v>
      </c>
      <c r="W271" s="62">
        <f t="shared" si="98"/>
        <v>1496490.4974585255</v>
      </c>
      <c r="X271" s="62">
        <f t="shared" si="98"/>
        <v>1475064.9069580203</v>
      </c>
      <c r="Y271" s="62">
        <f t="shared" si="98"/>
        <v>1455090.4301928587</v>
      </c>
      <c r="Z271" s="62">
        <f t="shared" si="98"/>
        <v>1436245.4695659711</v>
      </c>
      <c r="AA271" s="62">
        <f t="shared" si="98"/>
        <v>1418236.35333632</v>
      </c>
      <c r="AB271" s="62">
        <f t="shared" si="98"/>
        <v>1400824.446928689</v>
      </c>
      <c r="AC271" s="62">
        <f t="shared" si="98"/>
        <v>1383829.0673798274</v>
      </c>
    </row>
    <row r="272" spans="1:29" ht="15.75" thickBot="1" x14ac:dyDescent="0.3">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75" thickBot="1" x14ac:dyDescent="0.3">
      <c r="A273" s="31" t="s">
        <v>209</v>
      </c>
      <c r="B273" s="64">
        <f>B264+B265+B266+B267+B268+B269+B270+B271+B272</f>
        <v>5175618.4722746406</v>
      </c>
      <c r="C273" s="64">
        <f t="shared" ref="C273:AC273" si="100">C264+C265+C266+C267+C268+C269+C270+C271+C272</f>
        <v>5115918.6724410951</v>
      </c>
      <c r="D273" s="64">
        <f t="shared" si="100"/>
        <v>5056187.5372485667</v>
      </c>
      <c r="E273" s="64">
        <f t="shared" si="100"/>
        <v>4996414.2013570424</v>
      </c>
      <c r="F273" s="64">
        <f t="shared" si="100"/>
        <v>4936584.3531058393</v>
      </c>
      <c r="G273" s="64">
        <f t="shared" si="100"/>
        <v>4876679.3707564706</v>
      </c>
      <c r="H273" s="64">
        <f t="shared" si="100"/>
        <v>4816675.4322681986</v>
      </c>
      <c r="I273" s="64">
        <f t="shared" si="100"/>
        <v>4756542.7981758956</v>
      </c>
      <c r="J273" s="64">
        <f t="shared" si="100"/>
        <v>4738354.6563505884</v>
      </c>
      <c r="K273" s="64">
        <f t="shared" si="100"/>
        <v>4719863.7061113454</v>
      </c>
      <c r="L273" s="64">
        <f t="shared" si="100"/>
        <v>4700971.1596467141</v>
      </c>
      <c r="M273" s="64">
        <f t="shared" si="100"/>
        <v>4681561.1542430557</v>
      </c>
      <c r="N273" s="64">
        <f t="shared" si="100"/>
        <v>4661512.2822025605</v>
      </c>
      <c r="O273" s="64">
        <f t="shared" si="100"/>
        <v>4640723.2958770078</v>
      </c>
      <c r="P273" s="64">
        <f t="shared" si="100"/>
        <v>4619156.0339870555</v>
      </c>
      <c r="Q273" s="64">
        <f t="shared" si="100"/>
        <v>4596888.8063454367</v>
      </c>
      <c r="R273" s="64">
        <f t="shared" si="100"/>
        <v>4574156.0526173897</v>
      </c>
      <c r="S273" s="64">
        <f t="shared" si="100"/>
        <v>4551337.6838290822</v>
      </c>
      <c r="T273" s="64">
        <f t="shared" si="100"/>
        <v>4528877.7622742932</v>
      </c>
      <c r="U273" s="64">
        <f t="shared" si="100"/>
        <v>4507161.024187143</v>
      </c>
      <c r="V273" s="64">
        <f t="shared" si="100"/>
        <v>4486414.4394813534</v>
      </c>
      <c r="W273" s="64">
        <f t="shared" si="100"/>
        <v>4466683.0701414607</v>
      </c>
      <c r="X273" s="64">
        <f t="shared" si="100"/>
        <v>4447873.417619735</v>
      </c>
      <c r="Y273" s="64">
        <f t="shared" si="100"/>
        <v>4429821.8650675034</v>
      </c>
      <c r="Z273" s="64">
        <f t="shared" si="100"/>
        <v>4412351.7674345626</v>
      </c>
      <c r="AA273" s="64">
        <f t="shared" si="100"/>
        <v>4395306.2271243818</v>
      </c>
      <c r="AB273" s="64">
        <f t="shared" si="100"/>
        <v>4378560.2109031091</v>
      </c>
      <c r="AC273" s="64">
        <f t="shared" si="100"/>
        <v>4362020.5331913531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25">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25">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25">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25">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25">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25">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25">
      <c r="A283" s="30" t="str">
        <f t="shared" si="101"/>
        <v>Fuel Cost</v>
      </c>
      <c r="B283" s="66">
        <f>B253*B254*B261/B261</f>
        <v>18.791813371051141</v>
      </c>
      <c r="C283" s="66">
        <f t="shared" ref="C283:AC283" si="109">C253*C254*C261/C261</f>
        <v>18.293850493512178</v>
      </c>
      <c r="D283" s="66">
        <f t="shared" si="109"/>
        <v>17.795426046905337</v>
      </c>
      <c r="E283" s="66">
        <f t="shared" si="109"/>
        <v>17.296363604281858</v>
      </c>
      <c r="F283" s="66">
        <f t="shared" si="109"/>
        <v>16.796421903337443</v>
      </c>
      <c r="G283" s="66">
        <f t="shared" si="109"/>
        <v>16.295273228136875</v>
      </c>
      <c r="H283" s="66">
        <f t="shared" si="109"/>
        <v>15.792476675074129</v>
      </c>
      <c r="I283" s="66">
        <f t="shared" si="109"/>
        <v>15.287447287253018</v>
      </c>
      <c r="J283" s="66">
        <f t="shared" si="109"/>
        <v>15.130333095184868</v>
      </c>
      <c r="K283" s="66">
        <f t="shared" si="109"/>
        <v>14.9684548769479</v>
      </c>
      <c r="L283" s="66">
        <f t="shared" si="109"/>
        <v>14.800190279908229</v>
      </c>
      <c r="M283" s="66">
        <f t="shared" si="109"/>
        <v>14.62359722072277</v>
      </c>
      <c r="N283" s="66">
        <f t="shared" si="109"/>
        <v>14.436575866540792</v>
      </c>
      <c r="O283" s="66">
        <f t="shared" si="109"/>
        <v>14.237259181661496</v>
      </c>
      <c r="P283" s="66">
        <f t="shared" si="109"/>
        <v>14.024694777551073</v>
      </c>
      <c r="Q283" s="66">
        <f t="shared" si="109"/>
        <v>13.799730823763859</v>
      </c>
      <c r="R283" s="66">
        <f t="shared" si="109"/>
        <v>13.565734517027034</v>
      </c>
      <c r="S283" s="66">
        <f t="shared" si="109"/>
        <v>13.328543126503064</v>
      </c>
      <c r="T283" s="66">
        <f t="shared" si="109"/>
        <v>13.095264422359946</v>
      </c>
      <c r="U283" s="66">
        <f t="shared" si="109"/>
        <v>12.872314273016825</v>
      </c>
      <c r="V283" s="66">
        <f t="shared" si="109"/>
        <v>12.663751312664596</v>
      </c>
      <c r="W283" s="66">
        <f t="shared" si="109"/>
        <v>12.470754145487712</v>
      </c>
      <c r="X283" s="66">
        <f t="shared" si="109"/>
        <v>12.292207557983502</v>
      </c>
      <c r="Y283" s="66">
        <f t="shared" si="109"/>
        <v>12.125753584940488</v>
      </c>
      <c r="Z283" s="66">
        <f t="shared" si="109"/>
        <v>11.968712246383092</v>
      </c>
      <c r="AA283" s="66">
        <f t="shared" si="109"/>
        <v>11.818636277802668</v>
      </c>
      <c r="AB283" s="66">
        <f t="shared" si="109"/>
        <v>11.673537057739075</v>
      </c>
      <c r="AC283" s="66">
        <f t="shared" si="109"/>
        <v>11.531908894831895</v>
      </c>
    </row>
    <row r="284" spans="1:29" ht="15.75" thickBot="1" x14ac:dyDescent="0.3">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75" thickBot="1" x14ac:dyDescent="0.3">
      <c r="A285" s="31" t="s">
        <v>63</v>
      </c>
      <c r="B285" s="76">
        <f>B276+B277+B278-B279+B280+B281+B282+B283+B284</f>
        <v>43.260531799309128</v>
      </c>
      <c r="C285" s="76">
        <f t="shared" ref="C285:AC285" si="111">C276+C277+C278-C279+C280+C281+C282+C283+C284</f>
        <v>42.763033467362916</v>
      </c>
      <c r="D285" s="76">
        <f t="shared" si="111"/>
        <v>42.265274007425177</v>
      </c>
      <c r="E285" s="76">
        <f t="shared" si="111"/>
        <v>41.767162874995805</v>
      </c>
      <c r="F285" s="76">
        <f t="shared" si="111"/>
        <v>41.268580806235775</v>
      </c>
      <c r="G285" s="76">
        <f t="shared" si="111"/>
        <v>40.769372619991046</v>
      </c>
      <c r="H285" s="76">
        <f t="shared" si="111"/>
        <v>40.269339799255448</v>
      </c>
      <c r="I285" s="76">
        <f t="shared" si="111"/>
        <v>39.768234515152919</v>
      </c>
      <c r="J285" s="76">
        <f t="shared" si="111"/>
        <v>39.616666666608694</v>
      </c>
      <c r="K285" s="76">
        <f t="shared" si="111"/>
        <v>39.462575414614996</v>
      </c>
      <c r="L285" s="76">
        <f t="shared" si="111"/>
        <v>39.305137527409741</v>
      </c>
      <c r="M285" s="76">
        <f t="shared" si="111"/>
        <v>39.143387482379254</v>
      </c>
      <c r="N285" s="76">
        <f t="shared" si="111"/>
        <v>38.976313548708461</v>
      </c>
      <c r="O285" s="76">
        <f t="shared" si="111"/>
        <v>38.803071995995523</v>
      </c>
      <c r="P285" s="76">
        <f t="shared" si="111"/>
        <v>38.623344813579251</v>
      </c>
      <c r="Q285" s="76">
        <f t="shared" si="111"/>
        <v>38.437784583232428</v>
      </c>
      <c r="R285" s="76">
        <f t="shared" si="111"/>
        <v>38.248344968832036</v>
      </c>
      <c r="S285" s="76">
        <f t="shared" si="111"/>
        <v>38.058191895596138</v>
      </c>
      <c r="T285" s="76">
        <f t="shared" si="111"/>
        <v>37.871025882639564</v>
      </c>
      <c r="U285" s="76">
        <f t="shared" si="111"/>
        <v>37.690053065246644</v>
      </c>
      <c r="V285" s="76">
        <f t="shared" si="111"/>
        <v>37.517164859365067</v>
      </c>
      <c r="W285" s="76">
        <f t="shared" si="111"/>
        <v>37.352736781532627</v>
      </c>
      <c r="X285" s="76">
        <f t="shared" si="111"/>
        <v>37.195989677184905</v>
      </c>
      <c r="Y285" s="76">
        <f t="shared" si="111"/>
        <v>37.045560072582987</v>
      </c>
      <c r="Z285" s="76">
        <f t="shared" si="111"/>
        <v>36.899975925641812</v>
      </c>
      <c r="AA285" s="76">
        <f t="shared" si="111"/>
        <v>36.757929756390304</v>
      </c>
      <c r="AB285" s="76">
        <f t="shared" si="111"/>
        <v>36.61837962121303</v>
      </c>
      <c r="AC285" s="76">
        <f t="shared" si="111"/>
        <v>36.480548973615065</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25">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25">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25">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25">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25">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25">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25">
      <c r="A295" s="30" t="str">
        <f t="shared" si="112"/>
        <v>Fuel Cost</v>
      </c>
      <c r="B295" s="66">
        <f>B253*B254*B261/B261/(B258)</f>
        <v>1.9885516794763114E-3</v>
      </c>
      <c r="C295" s="66">
        <f t="shared" ref="C295:AC295" si="120">C253*C254*C261/C261/(C258)</f>
        <v>1.9358571950806537E-3</v>
      </c>
      <c r="D295" s="66">
        <f t="shared" si="120"/>
        <v>1.8831138673973903E-3</v>
      </c>
      <c r="E295" s="66">
        <f t="shared" si="120"/>
        <v>1.8303030269081332E-3</v>
      </c>
      <c r="F295" s="66">
        <f t="shared" si="120"/>
        <v>1.7773991432103115E-3</v>
      </c>
      <c r="G295" s="66">
        <f t="shared" si="120"/>
        <v>1.7243675373689814E-3</v>
      </c>
      <c r="H295" s="66">
        <f t="shared" si="120"/>
        <v>1.6711615529178972E-3</v>
      </c>
      <c r="I295" s="66">
        <f t="shared" si="120"/>
        <v>1.617719289656404E-3</v>
      </c>
      <c r="J295" s="66">
        <f t="shared" si="120"/>
        <v>1.6010934492259119E-3</v>
      </c>
      <c r="K295" s="66">
        <f t="shared" si="120"/>
        <v>1.5839634790421058E-3</v>
      </c>
      <c r="L295" s="66">
        <f t="shared" si="120"/>
        <v>1.5661577015775904E-3</v>
      </c>
      <c r="M295" s="66">
        <f t="shared" si="120"/>
        <v>1.5474706053674888E-3</v>
      </c>
      <c r="N295" s="66">
        <f t="shared" si="120"/>
        <v>1.5276799858773326E-3</v>
      </c>
      <c r="O295" s="66">
        <f t="shared" si="120"/>
        <v>1.5065882731916927E-3</v>
      </c>
      <c r="P295" s="66">
        <f t="shared" si="120"/>
        <v>1.48409468545514E-3</v>
      </c>
      <c r="Q295" s="66">
        <f t="shared" si="120"/>
        <v>1.4602889760596677E-3</v>
      </c>
      <c r="R295" s="66">
        <f t="shared" si="120"/>
        <v>1.4355274621192628E-3</v>
      </c>
      <c r="S295" s="66">
        <f t="shared" si="120"/>
        <v>1.4104278440743984E-3</v>
      </c>
      <c r="T295" s="66">
        <f t="shared" si="120"/>
        <v>1.3857422669163965E-3</v>
      </c>
      <c r="U295" s="66">
        <f t="shared" si="120"/>
        <v>1.3621496585202988E-3</v>
      </c>
      <c r="V295" s="66">
        <f t="shared" si="120"/>
        <v>1.3400795039856714E-3</v>
      </c>
      <c r="W295" s="66">
        <f t="shared" si="120"/>
        <v>1.3196565233320331E-3</v>
      </c>
      <c r="X295" s="66">
        <f t="shared" si="120"/>
        <v>1.3007627045485187E-3</v>
      </c>
      <c r="Y295" s="66">
        <f t="shared" si="120"/>
        <v>1.2831485275069301E-3</v>
      </c>
      <c r="Z295" s="66">
        <f t="shared" si="120"/>
        <v>1.2665303964426553E-3</v>
      </c>
      <c r="AA295" s="66">
        <f t="shared" si="120"/>
        <v>1.2506493415664198E-3</v>
      </c>
      <c r="AB295" s="66">
        <f t="shared" si="120"/>
        <v>1.2352949267448758E-3</v>
      </c>
      <c r="AC295" s="66">
        <f t="shared" si="120"/>
        <v>1.2203078195589308E-3</v>
      </c>
    </row>
    <row r="296" spans="1:29" x14ac:dyDescent="0.25">
      <c r="A296" s="59" t="str">
        <f>A259</f>
        <v>Market failure (av. utilization)</v>
      </c>
      <c r="B296" s="66">
        <f t="shared" ref="B296:AC296" si="121">B285/B259-B285/B258</f>
        <v>4.2256929718494868E-3</v>
      </c>
      <c r="C296" s="66">
        <f t="shared" si="121"/>
        <v>4.1770972861892956E-3</v>
      </c>
      <c r="D296" s="66">
        <f t="shared" si="121"/>
        <v>4.1284760935213849E-3</v>
      </c>
      <c r="E296" s="66">
        <f t="shared" si="121"/>
        <v>4.0798205494501395E-3</v>
      </c>
      <c r="F296" s="66">
        <f t="shared" si="121"/>
        <v>4.0311190042721153E-3</v>
      </c>
      <c r="G296" s="66">
        <f t="shared" si="121"/>
        <v>3.9823562998770254E-3</v>
      </c>
      <c r="H296" s="66">
        <f t="shared" si="121"/>
        <v>3.9335130451043174E-3</v>
      </c>
      <c r="I296" s="66">
        <f t="shared" si="121"/>
        <v>3.8845650320051698E-3</v>
      </c>
      <c r="J296" s="66">
        <f t="shared" si="121"/>
        <v>3.8697598697542074E-3</v>
      </c>
      <c r="K296" s="66">
        <f t="shared" si="121"/>
        <v>3.8547082212078143E-3</v>
      </c>
      <c r="L296" s="66">
        <f t="shared" si="121"/>
        <v>3.8393296730070553E-3</v>
      </c>
      <c r="M296" s="66">
        <f t="shared" si="121"/>
        <v>3.8235299128087192E-3</v>
      </c>
      <c r="N296" s="66">
        <f t="shared" si="121"/>
        <v>3.8072101146479562E-3</v>
      </c>
      <c r="O296" s="66">
        <f t="shared" si="121"/>
        <v>3.7902878628567052E-3</v>
      </c>
      <c r="P296" s="66">
        <f t="shared" si="121"/>
        <v>3.7727320941225145E-3</v>
      </c>
      <c r="Q296" s="66">
        <f t="shared" si="121"/>
        <v>3.7546065526966963E-3</v>
      </c>
      <c r="R296" s="66">
        <f t="shared" si="121"/>
        <v>3.7361020726575864E-3</v>
      </c>
      <c r="S296" s="66">
        <f t="shared" si="121"/>
        <v>3.717527901889733E-3</v>
      </c>
      <c r="T296" s="66">
        <f t="shared" si="121"/>
        <v>3.6992455074617396E-3</v>
      </c>
      <c r="U296" s="66">
        <f t="shared" si="121"/>
        <v>3.6815680649813567E-3</v>
      </c>
      <c r="V296" s="66">
        <f t="shared" si="121"/>
        <v>3.6646803281431082E-3</v>
      </c>
      <c r="W296" s="66">
        <f t="shared" si="121"/>
        <v>3.6486189774390847E-3</v>
      </c>
      <c r="X296" s="66">
        <f t="shared" si="121"/>
        <v>3.6333079049753261E-3</v>
      </c>
      <c r="Y296" s="66">
        <f t="shared" si="121"/>
        <v>3.6186139265038325E-3</v>
      </c>
      <c r="Z296" s="66">
        <f t="shared" si="121"/>
        <v>3.6043932528099449E-3</v>
      </c>
      <c r="AA296" s="66">
        <f t="shared" si="121"/>
        <v>3.5905181691223745E-3</v>
      </c>
      <c r="AB296" s="66">
        <f t="shared" si="121"/>
        <v>3.5768868982869874E-3</v>
      </c>
      <c r="AC296" s="66">
        <f t="shared" si="121"/>
        <v>3.5634235871663065E-3</v>
      </c>
    </row>
    <row r="297" spans="1:29" x14ac:dyDescent="0.25">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75" thickBot="1" x14ac:dyDescent="0.3">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75" thickBot="1" x14ac:dyDescent="0.3">
      <c r="A299" s="31" t="s">
        <v>210</v>
      </c>
      <c r="B299" s="77">
        <f>B288+B289+B290+B291+B292+B293+B294+B295+B296+B297+B298</f>
        <v>8.7897304253544608E-3</v>
      </c>
      <c r="C299" s="67">
        <f t="shared" ref="C299:AC299" si="124">C288+C289+C290+C291+C292+C293+C294+C295+C296+C297+C298</f>
        <v>8.688489413562395E-3</v>
      </c>
      <c r="D299" s="67">
        <f t="shared" si="124"/>
        <v>8.5871952621709158E-3</v>
      </c>
      <c r="E299" s="67">
        <f t="shared" si="124"/>
        <v>8.4858295453558198E-3</v>
      </c>
      <c r="F299" s="67">
        <f t="shared" si="124"/>
        <v>8.3843679929016032E-3</v>
      </c>
      <c r="G299" s="67">
        <f t="shared" si="124"/>
        <v>8.2827790254118312E-3</v>
      </c>
      <c r="H299" s="67">
        <f t="shared" si="124"/>
        <v>8.1810222446353567E-3</v>
      </c>
      <c r="I299" s="67">
        <f t="shared" si="124"/>
        <v>8.0790472173454669E-3</v>
      </c>
      <c r="J299" s="67">
        <f t="shared" si="124"/>
        <v>8.0482031293226276E-3</v>
      </c>
      <c r="K299" s="67">
        <f t="shared" si="124"/>
        <v>8.0168455281843087E-3</v>
      </c>
      <c r="L299" s="67">
        <f t="shared" si="124"/>
        <v>7.9848068860993958E-3</v>
      </c>
      <c r="M299" s="67">
        <f t="shared" si="124"/>
        <v>7.9518907190195276E-3</v>
      </c>
      <c r="N299" s="67">
        <f t="shared" si="124"/>
        <v>7.9178911395179387E-3</v>
      </c>
      <c r="O299" s="67">
        <f t="shared" si="124"/>
        <v>7.8826364482861653E-3</v>
      </c>
      <c r="P299" s="67">
        <f t="shared" si="124"/>
        <v>7.8460619300899353E-3</v>
      </c>
      <c r="Q299" s="67">
        <f t="shared" si="124"/>
        <v>7.8083003854528136E-3</v>
      </c>
      <c r="R299" s="67">
        <f t="shared" si="124"/>
        <v>7.7697493853713341E-3</v>
      </c>
      <c r="S299" s="67">
        <f t="shared" si="124"/>
        <v>7.7310531962716394E-3</v>
      </c>
      <c r="T299" s="67">
        <f t="shared" si="124"/>
        <v>7.6929648745466539E-3</v>
      </c>
      <c r="U299" s="67">
        <f t="shared" si="124"/>
        <v>7.6561368693791902E-3</v>
      </c>
      <c r="V299" s="67">
        <f t="shared" si="124"/>
        <v>7.6209540842995041E-3</v>
      </c>
      <c r="W299" s="67">
        <f t="shared" si="124"/>
        <v>7.5874929369994558E-3</v>
      </c>
      <c r="X299" s="67">
        <f t="shared" si="124"/>
        <v>7.5555948693666261E-3</v>
      </c>
      <c r="Y299" s="67">
        <f t="shared" si="124"/>
        <v>7.5249824142176805E-3</v>
      </c>
      <c r="Z299" s="67">
        <f t="shared" si="124"/>
        <v>7.4953560106887484E-3</v>
      </c>
      <c r="AA299" s="67">
        <f t="shared" si="124"/>
        <v>7.4664495863396418E-3</v>
      </c>
      <c r="AB299" s="67">
        <f t="shared" si="124"/>
        <v>7.4380511054325856E-3</v>
      </c>
      <c r="AC299" s="67">
        <f t="shared" si="124"/>
        <v>7.4100025405978345E-3</v>
      </c>
    </row>
    <row r="301" spans="1:29" x14ac:dyDescent="0.25">
      <c r="B301" s="40"/>
    </row>
    <row r="324" spans="1:44" s="3" customFormat="1" ht="21" x14ac:dyDescent="0.35">
      <c r="A324" s="2" t="str">
        <f>'Parameter Input'!A248</f>
        <v>Short-sea:  Neo bulk</v>
      </c>
    </row>
    <row r="325" spans="1:44" s="3" customFormat="1" ht="21" x14ac:dyDescent="0.35">
      <c r="A325" s="2" t="s">
        <v>280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Input'!$L$224</f>
        <v>15000000</v>
      </c>
      <c r="C334" s="42">
        <f>'Parameter Input'!$M$224</f>
        <v>15000000</v>
      </c>
      <c r="D334" s="1" t="s">
        <v>15</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25">
      <c r="A335" s="24" t="s">
        <v>28</v>
      </c>
      <c r="B335" s="60">
        <f>'Parameter Input'!$L$225</f>
        <v>-1500000</v>
      </c>
      <c r="C335" s="61">
        <f>'Parameter Input'!$M$225</f>
        <v>-750000</v>
      </c>
      <c r="D335" s="1" t="s">
        <v>15</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25">
      <c r="A338" s="24" t="s">
        <v>79</v>
      </c>
      <c r="B338" s="92">
        <f>'Parameter Input'!$L$231</f>
        <v>0.06</v>
      </c>
      <c r="C338" s="91">
        <f>'Parameter Input'!$M$231</f>
        <v>0.06</v>
      </c>
      <c r="D338" s="1" t="s">
        <v>57</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25">
      <c r="A340" s="24" t="s">
        <v>52</v>
      </c>
      <c r="B340" s="60">
        <f>'Parameter Input'!$L$227</f>
        <v>488235.29411764705</v>
      </c>
      <c r="C340" s="61">
        <f>'Parameter Input'!$M$227</f>
        <v>488235.29411764705</v>
      </c>
      <c r="D340" s="1" t="s">
        <v>38</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25">
      <c r="A342" s="24" t="s">
        <v>59</v>
      </c>
      <c r="B342" s="60">
        <f>'Parameter Input'!$L$228</f>
        <v>647</v>
      </c>
      <c r="C342" s="61">
        <f>'Parameter Input'!$M$228</f>
        <v>600</v>
      </c>
      <c r="D342" s="1" t="s">
        <v>60</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25">
      <c r="A343" s="24" t="s">
        <v>67</v>
      </c>
      <c r="B343" s="78">
        <f>'Parameter Input'!$L$229</f>
        <v>3.1399999999999997E-2</v>
      </c>
      <c r="C343" s="61">
        <f>'Parameter Input'!$M$229</f>
        <v>3.1399999999999997E-2</v>
      </c>
      <c r="D343" s="1" t="s">
        <v>68</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25">
      <c r="A344" s="24" t="s">
        <v>206</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25">
      <c r="A345" s="24" t="s">
        <v>41</v>
      </c>
      <c r="B345" s="60">
        <f>'Parameter Input'!$L$226</f>
        <v>25</v>
      </c>
      <c r="C345" s="61">
        <f>'Parameter Input'!$M$226</f>
        <v>25</v>
      </c>
      <c r="D345" s="1" t="s">
        <v>42</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25">
      <c r="A349" s="24" t="s">
        <v>73</v>
      </c>
      <c r="B349" s="45">
        <f>'Parameter Input'!$L$230</f>
        <v>0</v>
      </c>
      <c r="C349" s="46">
        <f>'Parameter Input'!$M$230</f>
        <v>0</v>
      </c>
      <c r="D349" s="1" t="s">
        <v>57</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25">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25">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25">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25">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25">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25">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25">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25">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25">
      <c r="A363" s="30" t="str">
        <f t="shared" si="129"/>
        <v>Fuel Cost</v>
      </c>
      <c r="B363" s="62">
        <f>'Parameter Input'!J10</f>
        <v>2.9049168379255901E-2</v>
      </c>
      <c r="C363" s="62">
        <f>'Parameter Input'!K10</f>
        <v>2.8281348950729313E-2</v>
      </c>
      <c r="D363" s="62">
        <f>'Parameter Input'!L10</f>
        <v>2.7513529522202727E-2</v>
      </c>
      <c r="E363" s="62">
        <f>'Parameter Input'!M10</f>
        <v>2.6745710093676139E-2</v>
      </c>
      <c r="F363" s="62">
        <f>'Parameter Input'!N10</f>
        <v>2.597789066514955E-2</v>
      </c>
      <c r="G363" s="62">
        <f>'Parameter Input'!O10</f>
        <v>2.5210071236622961E-2</v>
      </c>
      <c r="H363" s="62">
        <f>'Parameter Input'!P10</f>
        <v>2.4442251808096373E-2</v>
      </c>
      <c r="I363" s="62">
        <f>'Parameter Input'!Q10</f>
        <v>2.3674432379569791E-2</v>
      </c>
      <c r="J363" s="62">
        <f>'Parameter Input'!R10</f>
        <v>2.3450485046249536E-2</v>
      </c>
      <c r="K363" s="62">
        <f>'Parameter Input'!S10</f>
        <v>2.322653771292928E-2</v>
      </c>
      <c r="L363" s="62">
        <f>'Parameter Input'!T10</f>
        <v>2.3002590379609025E-2</v>
      </c>
      <c r="M363" s="62">
        <f>'Parameter Input'!U10</f>
        <v>2.2778643046288769E-2</v>
      </c>
      <c r="N363" s="62">
        <f>'Parameter Input'!V10</f>
        <v>2.2554695712968514E-2</v>
      </c>
      <c r="O363" s="62">
        <f>'Parameter Input'!W10</f>
        <v>2.2330748379648258E-2</v>
      </c>
      <c r="P363" s="62">
        <f>'Parameter Input'!X10</f>
        <v>2.2106801046328003E-2</v>
      </c>
      <c r="Q363" s="62">
        <f>'Parameter Input'!Y10</f>
        <v>2.1882853713007747E-2</v>
      </c>
      <c r="R363" s="62">
        <f>'Parameter Input'!Z10</f>
        <v>2.1658906379687492E-2</v>
      </c>
      <c r="S363" s="62">
        <f>'Parameter Input'!AA10</f>
        <v>2.1434959046367243E-2</v>
      </c>
      <c r="T363" s="62">
        <f>'Parameter Input'!AB10</f>
        <v>2.1211011713046988E-2</v>
      </c>
      <c r="U363" s="62">
        <f>'Parameter Input'!AC10</f>
        <v>2.0987064379726732E-2</v>
      </c>
      <c r="V363" s="62">
        <f>'Parameter Input'!AD10</f>
        <v>2.0763117046406477E-2</v>
      </c>
      <c r="W363" s="62">
        <f>'Parameter Input'!AE10</f>
        <v>2.0539169713086221E-2</v>
      </c>
      <c r="X363" s="62">
        <f>'Parameter Input'!AF10</f>
        <v>2.0315222379765973E-2</v>
      </c>
      <c r="Y363" s="62">
        <f>'Parameter Input'!AG10</f>
        <v>2.0091275046445718E-2</v>
      </c>
      <c r="Z363" s="62">
        <f>'Parameter Input'!AH10</f>
        <v>1.9867327713125462E-2</v>
      </c>
      <c r="AA363" s="62">
        <f>'Parameter Input'!AI10</f>
        <v>1.9643380379805207E-2</v>
      </c>
      <c r="AB363" s="62">
        <f>'Parameter Input'!AJ10</f>
        <v>1.9419433046484951E-2</v>
      </c>
      <c r="AC363" s="62">
        <f>'Parameter Input'!AK10</f>
        <v>1.9195485713164699E-2</v>
      </c>
    </row>
    <row r="364" spans="1:29" x14ac:dyDescent="0.25">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25">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25">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25">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25">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25">
      <c r="A369" s="30" t="s">
        <v>73</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25">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25">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25">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25">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25">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25">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25">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25">
      <c r="A380" s="30" t="str">
        <f>A363</f>
        <v>Fuel Cost</v>
      </c>
      <c r="B380" s="62">
        <f>B362*B363*B370</f>
        <v>2255017.604526137</v>
      </c>
      <c r="C380" s="62">
        <f t="shared" ref="C380:AC380" si="140">C362*C363*C370</f>
        <v>2195262.0592214614</v>
      </c>
      <c r="D380" s="62">
        <f t="shared" si="140"/>
        <v>2135451.1256286404</v>
      </c>
      <c r="E380" s="62">
        <f t="shared" si="140"/>
        <v>2075563.632513823</v>
      </c>
      <c r="F380" s="62">
        <f t="shared" si="140"/>
        <v>2015570.6284004932</v>
      </c>
      <c r="G380" s="62">
        <f t="shared" si="140"/>
        <v>1955432.787376425</v>
      </c>
      <c r="H380" s="62">
        <f t="shared" si="140"/>
        <v>1895097.2010088954</v>
      </c>
      <c r="I380" s="62">
        <f t="shared" si="140"/>
        <v>1834493.6744703623</v>
      </c>
      <c r="J380" s="62">
        <f t="shared" si="140"/>
        <v>1815639.9714221843</v>
      </c>
      <c r="K380" s="62">
        <f t="shared" si="140"/>
        <v>1796214.585233748</v>
      </c>
      <c r="L380" s="62">
        <f t="shared" si="140"/>
        <v>1776022.8335889874</v>
      </c>
      <c r="M380" s="62">
        <f t="shared" si="140"/>
        <v>1754831.6664867324</v>
      </c>
      <c r="N380" s="62">
        <f t="shared" si="140"/>
        <v>1732389.1039848952</v>
      </c>
      <c r="O380" s="62">
        <f t="shared" si="140"/>
        <v>1708471.1017993796</v>
      </c>
      <c r="P380" s="62">
        <f t="shared" si="140"/>
        <v>1682963.3733061287</v>
      </c>
      <c r="Q380" s="62">
        <f t="shared" si="140"/>
        <v>1655967.6988516632</v>
      </c>
      <c r="R380" s="62">
        <f t="shared" si="140"/>
        <v>1627888.1420432441</v>
      </c>
      <c r="S380" s="62">
        <f t="shared" si="140"/>
        <v>1599425.1751803677</v>
      </c>
      <c r="T380" s="62">
        <f t="shared" si="140"/>
        <v>1571431.7306831935</v>
      </c>
      <c r="U380" s="62">
        <f t="shared" si="140"/>
        <v>1544677.7127620189</v>
      </c>
      <c r="V380" s="62">
        <f t="shared" si="140"/>
        <v>1519650.1575197515</v>
      </c>
      <c r="W380" s="62">
        <f t="shared" si="140"/>
        <v>1496490.4974585255</v>
      </c>
      <c r="X380" s="62">
        <f t="shared" si="140"/>
        <v>1475064.9069580203</v>
      </c>
      <c r="Y380" s="62">
        <f t="shared" si="140"/>
        <v>1455090.4301928587</v>
      </c>
      <c r="Z380" s="62">
        <f t="shared" si="140"/>
        <v>1436245.4695659711</v>
      </c>
      <c r="AA380" s="62">
        <f t="shared" si="140"/>
        <v>1418236.35333632</v>
      </c>
      <c r="AB380" s="62">
        <f t="shared" si="140"/>
        <v>1400824.446928689</v>
      </c>
      <c r="AC380" s="62">
        <f t="shared" si="140"/>
        <v>1383829.0673798274</v>
      </c>
    </row>
    <row r="381" spans="1:29" ht="15.75" thickBot="1" x14ac:dyDescent="0.3">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75" thickBot="1" x14ac:dyDescent="0.3">
      <c r="A382" s="31" t="s">
        <v>209</v>
      </c>
      <c r="B382" s="64">
        <f>B373+B374+B375+B376+B377+B378+B379+B380+B381</f>
        <v>5175618.4722746406</v>
      </c>
      <c r="C382" s="64">
        <f t="shared" ref="C382:AC382" si="142">C373+C374+C375+C376+C377+C378+C379+C380+C381</f>
        <v>5115918.6724410951</v>
      </c>
      <c r="D382" s="64">
        <f t="shared" si="142"/>
        <v>5056187.5372485667</v>
      </c>
      <c r="E382" s="64">
        <f t="shared" si="142"/>
        <v>4996414.2013570424</v>
      </c>
      <c r="F382" s="64">
        <f t="shared" si="142"/>
        <v>4936584.3531058393</v>
      </c>
      <c r="G382" s="64">
        <f t="shared" si="142"/>
        <v>4876679.3707564706</v>
      </c>
      <c r="H382" s="64">
        <f t="shared" si="142"/>
        <v>4816675.4322681986</v>
      </c>
      <c r="I382" s="64">
        <f t="shared" si="142"/>
        <v>4756542.7981758956</v>
      </c>
      <c r="J382" s="64">
        <f t="shared" si="142"/>
        <v>4738354.6563505884</v>
      </c>
      <c r="K382" s="64">
        <f t="shared" si="142"/>
        <v>4719863.7061113454</v>
      </c>
      <c r="L382" s="64">
        <f t="shared" si="142"/>
        <v>4700971.1596467141</v>
      </c>
      <c r="M382" s="64">
        <f t="shared" si="142"/>
        <v>4681561.1542430557</v>
      </c>
      <c r="N382" s="64">
        <f t="shared" si="142"/>
        <v>4661512.2822025605</v>
      </c>
      <c r="O382" s="64">
        <f t="shared" si="142"/>
        <v>4640723.2958770078</v>
      </c>
      <c r="P382" s="64">
        <f t="shared" si="142"/>
        <v>4619156.0339870555</v>
      </c>
      <c r="Q382" s="64">
        <f t="shared" si="142"/>
        <v>4596888.8063454367</v>
      </c>
      <c r="R382" s="64">
        <f t="shared" si="142"/>
        <v>4574156.0526173897</v>
      </c>
      <c r="S382" s="64">
        <f t="shared" si="142"/>
        <v>4551337.6838290822</v>
      </c>
      <c r="T382" s="64">
        <f t="shared" si="142"/>
        <v>4528877.7622742932</v>
      </c>
      <c r="U382" s="64">
        <f t="shared" si="142"/>
        <v>4507161.024187143</v>
      </c>
      <c r="V382" s="64">
        <f t="shared" si="142"/>
        <v>4486414.4394813534</v>
      </c>
      <c r="W382" s="64">
        <f t="shared" si="142"/>
        <v>4466683.0701414607</v>
      </c>
      <c r="X382" s="64">
        <f t="shared" si="142"/>
        <v>4447873.417619735</v>
      </c>
      <c r="Y382" s="64">
        <f t="shared" si="142"/>
        <v>4429821.8650675034</v>
      </c>
      <c r="Z382" s="64">
        <f t="shared" si="142"/>
        <v>4412351.7674345626</v>
      </c>
      <c r="AA382" s="64">
        <f t="shared" si="142"/>
        <v>4395306.2271243818</v>
      </c>
      <c r="AB382" s="64">
        <f t="shared" si="142"/>
        <v>4378560.2109031091</v>
      </c>
      <c r="AC382" s="64">
        <f t="shared" si="142"/>
        <v>4362020.5331913531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25">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25">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25">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25">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25">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25">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25">
      <c r="A392" s="30" t="str">
        <f t="shared" si="143"/>
        <v>Fuel Cost</v>
      </c>
      <c r="B392" s="66">
        <f>B362*B363*B370/B370</f>
        <v>18.791813371051141</v>
      </c>
      <c r="C392" s="66">
        <f t="shared" ref="C392:AC392" si="151">C362*C363*C370/C370</f>
        <v>18.293850493512178</v>
      </c>
      <c r="D392" s="66">
        <f t="shared" si="151"/>
        <v>17.795426046905337</v>
      </c>
      <c r="E392" s="66">
        <f t="shared" si="151"/>
        <v>17.296363604281858</v>
      </c>
      <c r="F392" s="66">
        <f t="shared" si="151"/>
        <v>16.796421903337443</v>
      </c>
      <c r="G392" s="66">
        <f t="shared" si="151"/>
        <v>16.295273228136875</v>
      </c>
      <c r="H392" s="66">
        <f t="shared" si="151"/>
        <v>15.792476675074129</v>
      </c>
      <c r="I392" s="66">
        <f t="shared" si="151"/>
        <v>15.287447287253018</v>
      </c>
      <c r="J392" s="66">
        <f t="shared" si="151"/>
        <v>15.130333095184868</v>
      </c>
      <c r="K392" s="66">
        <f t="shared" si="151"/>
        <v>14.9684548769479</v>
      </c>
      <c r="L392" s="66">
        <f t="shared" si="151"/>
        <v>14.800190279908229</v>
      </c>
      <c r="M392" s="66">
        <f t="shared" si="151"/>
        <v>14.62359722072277</v>
      </c>
      <c r="N392" s="66">
        <f t="shared" si="151"/>
        <v>14.436575866540792</v>
      </c>
      <c r="O392" s="66">
        <f t="shared" si="151"/>
        <v>14.237259181661496</v>
      </c>
      <c r="P392" s="66">
        <f t="shared" si="151"/>
        <v>14.024694777551073</v>
      </c>
      <c r="Q392" s="66">
        <f t="shared" si="151"/>
        <v>13.799730823763859</v>
      </c>
      <c r="R392" s="66">
        <f t="shared" si="151"/>
        <v>13.565734517027034</v>
      </c>
      <c r="S392" s="66">
        <f t="shared" si="151"/>
        <v>13.328543126503064</v>
      </c>
      <c r="T392" s="66">
        <f t="shared" si="151"/>
        <v>13.095264422359946</v>
      </c>
      <c r="U392" s="66">
        <f t="shared" si="151"/>
        <v>12.872314273016825</v>
      </c>
      <c r="V392" s="66">
        <f t="shared" si="151"/>
        <v>12.663751312664596</v>
      </c>
      <c r="W392" s="66">
        <f t="shared" si="151"/>
        <v>12.470754145487712</v>
      </c>
      <c r="X392" s="66">
        <f t="shared" si="151"/>
        <v>12.292207557983502</v>
      </c>
      <c r="Y392" s="66">
        <f t="shared" si="151"/>
        <v>12.125753584940488</v>
      </c>
      <c r="Z392" s="66">
        <f t="shared" si="151"/>
        <v>11.968712246383092</v>
      </c>
      <c r="AA392" s="66">
        <f t="shared" si="151"/>
        <v>11.818636277802668</v>
      </c>
      <c r="AB392" s="66">
        <f t="shared" si="151"/>
        <v>11.673537057739075</v>
      </c>
      <c r="AC392" s="66">
        <f t="shared" si="151"/>
        <v>11.531908894831895</v>
      </c>
    </row>
    <row r="393" spans="1:29" ht="15.75" thickBot="1" x14ac:dyDescent="0.3">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75" thickBot="1" x14ac:dyDescent="0.3">
      <c r="A394" s="31" t="s">
        <v>63</v>
      </c>
      <c r="B394" s="76">
        <f>B385+B386+B387-B388+B389+B390+B391+B392+B393</f>
        <v>43.260531799309128</v>
      </c>
      <c r="C394" s="76">
        <f t="shared" ref="C394:AC394" si="153">C385+C386+C387-C388+C389+C390+C391+C392+C393</f>
        <v>42.763033467362916</v>
      </c>
      <c r="D394" s="76">
        <f t="shared" si="153"/>
        <v>42.265274007425177</v>
      </c>
      <c r="E394" s="76">
        <f t="shared" si="153"/>
        <v>41.767162874995805</v>
      </c>
      <c r="F394" s="76">
        <f t="shared" si="153"/>
        <v>41.268580806235775</v>
      </c>
      <c r="G394" s="76">
        <f t="shared" si="153"/>
        <v>40.769372619991046</v>
      </c>
      <c r="H394" s="76">
        <f t="shared" si="153"/>
        <v>40.269339799255448</v>
      </c>
      <c r="I394" s="76">
        <f t="shared" si="153"/>
        <v>39.768234515152919</v>
      </c>
      <c r="J394" s="76">
        <f t="shared" si="153"/>
        <v>39.616666666608694</v>
      </c>
      <c r="K394" s="76">
        <f t="shared" si="153"/>
        <v>39.462575414614996</v>
      </c>
      <c r="L394" s="76">
        <f t="shared" si="153"/>
        <v>39.305137527409741</v>
      </c>
      <c r="M394" s="76">
        <f t="shared" si="153"/>
        <v>39.143387482379254</v>
      </c>
      <c r="N394" s="76">
        <f t="shared" si="153"/>
        <v>38.976313548708461</v>
      </c>
      <c r="O394" s="76">
        <f t="shared" si="153"/>
        <v>38.803071995995523</v>
      </c>
      <c r="P394" s="76">
        <f t="shared" si="153"/>
        <v>38.623344813579251</v>
      </c>
      <c r="Q394" s="76">
        <f t="shared" si="153"/>
        <v>38.437784583232428</v>
      </c>
      <c r="R394" s="76">
        <f t="shared" si="153"/>
        <v>38.248344968832036</v>
      </c>
      <c r="S394" s="76">
        <f t="shared" si="153"/>
        <v>38.058191895596138</v>
      </c>
      <c r="T394" s="76">
        <f t="shared" si="153"/>
        <v>37.871025882639564</v>
      </c>
      <c r="U394" s="76">
        <f t="shared" si="153"/>
        <v>37.690053065246644</v>
      </c>
      <c r="V394" s="76">
        <f t="shared" si="153"/>
        <v>37.517164859365067</v>
      </c>
      <c r="W394" s="76">
        <f t="shared" si="153"/>
        <v>37.352736781532627</v>
      </c>
      <c r="X394" s="76">
        <f t="shared" si="153"/>
        <v>37.195989677184905</v>
      </c>
      <c r="Y394" s="76">
        <f t="shared" si="153"/>
        <v>37.045560072582987</v>
      </c>
      <c r="Z394" s="76">
        <f t="shared" si="153"/>
        <v>36.899975925641812</v>
      </c>
      <c r="AA394" s="76">
        <f t="shared" si="153"/>
        <v>36.757929756390304</v>
      </c>
      <c r="AB394" s="76">
        <f t="shared" si="153"/>
        <v>36.61837962121303</v>
      </c>
      <c r="AC394" s="76">
        <f t="shared" si="153"/>
        <v>36.480548973615065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25">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25">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25">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25">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25">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25">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25">
      <c r="A404" s="30" t="str">
        <f t="shared" si="154"/>
        <v>Fuel Cost</v>
      </c>
      <c r="B404" s="66">
        <f>B362*B363*B370/B370/(B367)</f>
        <v>1.9885516794763114E-3</v>
      </c>
      <c r="C404" s="66">
        <f t="shared" ref="C404:AC404" si="162">C362*C363*C370/C370/(C367)</f>
        <v>1.9358571950806537E-3</v>
      </c>
      <c r="D404" s="66">
        <f t="shared" si="162"/>
        <v>1.8831138673973903E-3</v>
      </c>
      <c r="E404" s="66">
        <f t="shared" si="162"/>
        <v>1.8303030269081332E-3</v>
      </c>
      <c r="F404" s="66">
        <f t="shared" si="162"/>
        <v>1.7773991432103115E-3</v>
      </c>
      <c r="G404" s="66">
        <f t="shared" si="162"/>
        <v>1.7243675373689814E-3</v>
      </c>
      <c r="H404" s="66">
        <f t="shared" si="162"/>
        <v>1.6711615529178972E-3</v>
      </c>
      <c r="I404" s="66">
        <f t="shared" si="162"/>
        <v>1.617719289656404E-3</v>
      </c>
      <c r="J404" s="66">
        <f t="shared" si="162"/>
        <v>1.6010934492259119E-3</v>
      </c>
      <c r="K404" s="66">
        <f t="shared" si="162"/>
        <v>1.5839634790421058E-3</v>
      </c>
      <c r="L404" s="66">
        <f t="shared" si="162"/>
        <v>1.5661577015775904E-3</v>
      </c>
      <c r="M404" s="66">
        <f t="shared" si="162"/>
        <v>1.5474706053674888E-3</v>
      </c>
      <c r="N404" s="66">
        <f t="shared" si="162"/>
        <v>1.5276799858773326E-3</v>
      </c>
      <c r="O404" s="66">
        <f t="shared" si="162"/>
        <v>1.5065882731916927E-3</v>
      </c>
      <c r="P404" s="66">
        <f t="shared" si="162"/>
        <v>1.48409468545514E-3</v>
      </c>
      <c r="Q404" s="66">
        <f t="shared" si="162"/>
        <v>1.4602889760596677E-3</v>
      </c>
      <c r="R404" s="66">
        <f t="shared" si="162"/>
        <v>1.4355274621192628E-3</v>
      </c>
      <c r="S404" s="66">
        <f t="shared" si="162"/>
        <v>1.4104278440743984E-3</v>
      </c>
      <c r="T404" s="66">
        <f t="shared" si="162"/>
        <v>1.3857422669163965E-3</v>
      </c>
      <c r="U404" s="66">
        <f t="shared" si="162"/>
        <v>1.3621496585202988E-3</v>
      </c>
      <c r="V404" s="66">
        <f t="shared" si="162"/>
        <v>1.3400795039856714E-3</v>
      </c>
      <c r="W404" s="66">
        <f t="shared" si="162"/>
        <v>1.3196565233320331E-3</v>
      </c>
      <c r="X404" s="66">
        <f t="shared" si="162"/>
        <v>1.3007627045485187E-3</v>
      </c>
      <c r="Y404" s="66">
        <f t="shared" si="162"/>
        <v>1.2831485275069301E-3</v>
      </c>
      <c r="Z404" s="66">
        <f t="shared" si="162"/>
        <v>1.2665303964426553E-3</v>
      </c>
      <c r="AA404" s="66">
        <f t="shared" si="162"/>
        <v>1.2506493415664198E-3</v>
      </c>
      <c r="AB404" s="66">
        <f t="shared" si="162"/>
        <v>1.2352949267448758E-3</v>
      </c>
      <c r="AC404" s="66">
        <f t="shared" si="162"/>
        <v>1.2203078195589308E-3</v>
      </c>
    </row>
    <row r="405" spans="1:29" x14ac:dyDescent="0.25">
      <c r="A405" s="59" t="str">
        <f>A368</f>
        <v>Market failure (av. utilization)</v>
      </c>
      <c r="B405" s="66">
        <f t="shared" ref="B405:AC405" si="163">B394/B368-B394/B367</f>
        <v>2.1542748483938546E-3</v>
      </c>
      <c r="C405" s="66">
        <f t="shared" si="163"/>
        <v>2.1295005772729737E-3</v>
      </c>
      <c r="D405" s="66">
        <f t="shared" si="163"/>
        <v>2.1047133025795285E-3</v>
      </c>
      <c r="E405" s="66">
        <f t="shared" si="163"/>
        <v>2.0799085154059524E-3</v>
      </c>
      <c r="F405" s="66">
        <f t="shared" si="163"/>
        <v>2.0550802766877447E-3</v>
      </c>
      <c r="G405" s="66">
        <f t="shared" si="163"/>
        <v>2.030220858760836E-3</v>
      </c>
      <c r="H405" s="66">
        <f t="shared" si="163"/>
        <v>2.0053203759355332E-3</v>
      </c>
      <c r="I405" s="66">
        <f t="shared" si="163"/>
        <v>1.9803664869045955E-3</v>
      </c>
      <c r="J405" s="66">
        <f t="shared" si="163"/>
        <v>1.9728187571295946E-3</v>
      </c>
      <c r="K405" s="66">
        <f t="shared" si="163"/>
        <v>1.9651453676745702E-3</v>
      </c>
      <c r="L405" s="66">
        <f t="shared" si="163"/>
        <v>1.957305323493792E-3</v>
      </c>
      <c r="M405" s="66">
        <f t="shared" si="163"/>
        <v>1.9492505437848362E-3</v>
      </c>
      <c r="N405" s="66">
        <f t="shared" si="163"/>
        <v>1.9409306466832716E-3</v>
      </c>
      <c r="O405" s="66">
        <f t="shared" si="163"/>
        <v>1.9323036163583192E-3</v>
      </c>
      <c r="P405" s="66">
        <f t="shared" si="163"/>
        <v>1.9233536166114772E-3</v>
      </c>
      <c r="Q405" s="66">
        <f t="shared" si="163"/>
        <v>1.9141131445120406E-3</v>
      </c>
      <c r="R405" s="66">
        <f t="shared" si="163"/>
        <v>1.9046794880215141E-3</v>
      </c>
      <c r="S405" s="66">
        <f t="shared" si="163"/>
        <v>1.8952103029241767E-3</v>
      </c>
      <c r="T405" s="66">
        <f t="shared" si="163"/>
        <v>1.8858898665491215E-3</v>
      </c>
      <c r="U405" s="66">
        <f t="shared" si="163"/>
        <v>1.8768778370493186E-3</v>
      </c>
      <c r="V405" s="66">
        <f t="shared" si="163"/>
        <v>1.8682684025827598E-3</v>
      </c>
      <c r="W405" s="66">
        <f t="shared" si="163"/>
        <v>1.8600802630081596E-3</v>
      </c>
      <c r="X405" s="66">
        <f t="shared" si="163"/>
        <v>1.8522746182227144E-3</v>
      </c>
      <c r="Y405" s="66">
        <f t="shared" si="163"/>
        <v>1.844783570374502E-3</v>
      </c>
      <c r="Z405" s="66">
        <f t="shared" si="163"/>
        <v>1.8375338151580102E-3</v>
      </c>
      <c r="AA405" s="66">
        <f t="shared" si="163"/>
        <v>1.8304602430819941E-3</v>
      </c>
      <c r="AB405" s="66">
        <f t="shared" si="163"/>
        <v>1.8235109677541494E-3</v>
      </c>
      <c r="AC405" s="66">
        <f t="shared" si="163"/>
        <v>1.8166473189475275E-3</v>
      </c>
    </row>
    <row r="406" spans="1:29" x14ac:dyDescent="0.25">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75" thickBot="1" x14ac:dyDescent="0.3">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75" thickBot="1" x14ac:dyDescent="0.3">
      <c r="A408" s="31" t="s">
        <v>210</v>
      </c>
      <c r="B408" s="76">
        <f>B397+B398+B399+B400+B401+B402+B403+B404+B405+B406+B407</f>
        <v>6.7183123018988286E-3</v>
      </c>
      <c r="C408" s="67">
        <f t="shared" ref="C408:AC408" si="166">C397+C398+C399+C400+C401+C402+C403+C404+C405+C406+C407</f>
        <v>6.6408927046460731E-3</v>
      </c>
      <c r="D408" s="67">
        <f t="shared" si="166"/>
        <v>6.5634324712290585E-3</v>
      </c>
      <c r="E408" s="67">
        <f t="shared" si="166"/>
        <v>6.4859175113116327E-3</v>
      </c>
      <c r="F408" s="67">
        <f t="shared" si="166"/>
        <v>6.4083292653172325E-3</v>
      </c>
      <c r="G408" s="67">
        <f t="shared" si="166"/>
        <v>6.3306435842956418E-3</v>
      </c>
      <c r="H408" s="67">
        <f t="shared" si="166"/>
        <v>6.2528295754665725E-3</v>
      </c>
      <c r="I408" s="67">
        <f t="shared" si="166"/>
        <v>6.1748486722448918E-3</v>
      </c>
      <c r="J408" s="67">
        <f t="shared" si="166"/>
        <v>6.1512620166980147E-3</v>
      </c>
      <c r="K408" s="67">
        <f t="shared" si="166"/>
        <v>6.1272826746510646E-3</v>
      </c>
      <c r="L408" s="67">
        <f t="shared" si="166"/>
        <v>6.1027825365861325E-3</v>
      </c>
      <c r="M408" s="67">
        <f t="shared" si="166"/>
        <v>6.0776113499956437E-3</v>
      </c>
      <c r="N408" s="67">
        <f t="shared" si="166"/>
        <v>6.0516116715532541E-3</v>
      </c>
      <c r="O408" s="67">
        <f t="shared" si="166"/>
        <v>6.0246522017877793E-3</v>
      </c>
      <c r="P408" s="67">
        <f t="shared" si="166"/>
        <v>5.996683452578898E-3</v>
      </c>
      <c r="Q408" s="67">
        <f t="shared" si="166"/>
        <v>5.9678069772681579E-3</v>
      </c>
      <c r="R408" s="67">
        <f t="shared" si="166"/>
        <v>5.9383268007352618E-3</v>
      </c>
      <c r="S408" s="67">
        <f t="shared" si="166"/>
        <v>5.9087355973060831E-3</v>
      </c>
      <c r="T408" s="67">
        <f t="shared" si="166"/>
        <v>5.8796092336340358E-3</v>
      </c>
      <c r="U408" s="67">
        <f t="shared" si="166"/>
        <v>5.8514466414471521E-3</v>
      </c>
      <c r="V408" s="67">
        <f t="shared" si="166"/>
        <v>5.8245421587391558E-3</v>
      </c>
      <c r="W408" s="67">
        <f t="shared" si="166"/>
        <v>5.7989542225685307E-3</v>
      </c>
      <c r="X408" s="67">
        <f t="shared" si="166"/>
        <v>5.7745615826140144E-3</v>
      </c>
      <c r="Y408" s="67">
        <f t="shared" si="166"/>
        <v>5.7511520580883499E-3</v>
      </c>
      <c r="Z408" s="67">
        <f t="shared" si="166"/>
        <v>5.7284965730368138E-3</v>
      </c>
      <c r="AA408" s="67">
        <f t="shared" si="166"/>
        <v>5.7063916602992613E-3</v>
      </c>
      <c r="AB408" s="67">
        <f t="shared" si="166"/>
        <v>5.6846751748997476E-3</v>
      </c>
      <c r="AC408" s="67">
        <f t="shared" si="166"/>
        <v>5.6632262723790554E-3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279</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Input'!$L$212</f>
        <v>15000000</v>
      </c>
      <c r="C11" s="42">
        <f>'Parameter Input'!$M$212</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Input'!$L$213</f>
        <v>-1500000</v>
      </c>
      <c r="C12" s="61">
        <f>'Parameter Input'!$M$213</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Input'!$L$219</f>
        <v>0.06</v>
      </c>
      <c r="C15" s="91">
        <f>'Parameter Input'!$M$219</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Input'!$L$215</f>
        <v>488235.29411764705</v>
      </c>
      <c r="C17" s="61">
        <f>'Parameter Input'!$M$215</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Input'!$L$216</f>
        <v>647</v>
      </c>
      <c r="C19" s="61">
        <f>'Parameter Input'!$M$216</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Input'!$L$217</f>
        <v>0.06</v>
      </c>
      <c r="C20" s="61">
        <f>'Parameter Input'!$M$217</f>
        <v>0.06</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Input'!$L$214</f>
        <v>25</v>
      </c>
      <c r="C22" s="61">
        <f>'Parameter Input'!$M$214</f>
        <v>25</v>
      </c>
      <c r="D22" s="1" t="s">
        <v>42</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Input'!$L$218</f>
        <v>0</v>
      </c>
      <c r="C26" s="46">
        <f>'Parameter Input'!$M$218</f>
        <v>0</v>
      </c>
      <c r="D26" s="1" t="s">
        <v>57</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'Parameter Input'!J9</f>
        <v>6.4802641056422569E-2</v>
      </c>
      <c r="C40" s="62">
        <f>'Parameter Input'!K9</f>
        <v>6.3089795918367345E-2</v>
      </c>
      <c r="D40" s="62">
        <f>'Parameter Input'!L9</f>
        <v>6.1376950780312127E-2</v>
      </c>
      <c r="E40" s="62">
        <f>'Parameter Input'!M9</f>
        <v>5.9664105642256909E-2</v>
      </c>
      <c r="F40" s="62">
        <f>'Parameter Input'!N9</f>
        <v>5.7951260504201692E-2</v>
      </c>
      <c r="G40" s="62">
        <f>'Parameter Input'!O9</f>
        <v>5.6238415366146474E-2</v>
      </c>
      <c r="H40" s="62">
        <f>'Parameter Input'!P9</f>
        <v>5.4525570228091257E-2</v>
      </c>
      <c r="I40" s="62">
        <f>'Parameter Input'!Q9</f>
        <v>5.2812725090036025E-2</v>
      </c>
      <c r="J40" s="62">
        <f>'Parameter Input'!R9</f>
        <v>5.2313145258103252E-2</v>
      </c>
      <c r="K40" s="62">
        <f>'Parameter Input'!S9</f>
        <v>5.181356542617048E-2</v>
      </c>
      <c r="L40" s="62">
        <f>'Parameter Input'!T9</f>
        <v>5.1313985594237707E-2</v>
      </c>
      <c r="M40" s="62">
        <f>'Parameter Input'!U9</f>
        <v>5.0814405762304934E-2</v>
      </c>
      <c r="N40" s="62">
        <f>'Parameter Input'!V9</f>
        <v>5.0314825930372155E-2</v>
      </c>
      <c r="O40" s="62">
        <f>'Parameter Input'!W9</f>
        <v>4.9815246098439382E-2</v>
      </c>
      <c r="P40" s="62">
        <f>'Parameter Input'!X9</f>
        <v>4.931566626650661E-2</v>
      </c>
      <c r="Q40" s="62">
        <f>'Parameter Input'!Y9</f>
        <v>4.8816086434573837E-2</v>
      </c>
      <c r="R40" s="62">
        <f>'Parameter Input'!Z9</f>
        <v>4.8316506602641064E-2</v>
      </c>
      <c r="S40" s="62">
        <f>'Parameter Input'!AA9</f>
        <v>4.7816926770708292E-2</v>
      </c>
      <c r="T40" s="62">
        <f>'Parameter Input'!AB9</f>
        <v>4.7317346938775519E-2</v>
      </c>
      <c r="U40" s="62">
        <f>'Parameter Input'!AC9</f>
        <v>4.6817767106842746E-2</v>
      </c>
      <c r="V40" s="62">
        <f>'Parameter Input'!AD9</f>
        <v>4.6318187274909974E-2</v>
      </c>
      <c r="W40" s="62">
        <f>'Parameter Input'!AE9</f>
        <v>4.5818607442977201E-2</v>
      </c>
      <c r="X40" s="62">
        <f>'Parameter Input'!AF9</f>
        <v>4.5319027611044428E-2</v>
      </c>
      <c r="Y40" s="62">
        <f>'Parameter Input'!AG9</f>
        <v>4.4819447779111656E-2</v>
      </c>
      <c r="Z40" s="62">
        <f>'Parameter Input'!AH9</f>
        <v>4.4319867947178883E-2</v>
      </c>
      <c r="AA40" s="62">
        <f>'Parameter Input'!AI9</f>
        <v>4.382028811524611E-2</v>
      </c>
      <c r="AB40" s="62">
        <f>'Parameter Input'!AJ9</f>
        <v>4.3320708283313338E-2</v>
      </c>
      <c r="AC40" s="62">
        <f>'Parameter Input'!AK9</f>
        <v>4.2821128451380565E-2</v>
      </c>
    </row>
    <row r="41" spans="1:29" x14ac:dyDescent="0.25">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25">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25">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25">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25">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25">
      <c r="A46" s="30" t="s">
        <v>73</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25">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25">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25">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25">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25">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25">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25">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25">
      <c r="A57" s="30" t="str">
        <f>A40</f>
        <v>Fuel Cost</v>
      </c>
      <c r="B57" s="62">
        <f>B39*B40*B47</f>
        <v>5030474.3493577521</v>
      </c>
      <c r="C57" s="62">
        <f t="shared" ref="C57:AC57" si="48">C39*C40*C47</f>
        <v>4897172.180326472</v>
      </c>
      <c r="D57" s="62">
        <f t="shared" si="48"/>
        <v>4763746.4515667846</v>
      </c>
      <c r="E57" s="62">
        <f t="shared" si="48"/>
        <v>4630149.9344678698</v>
      </c>
      <c r="F57" s="62">
        <f t="shared" si="48"/>
        <v>4496318.0443188623</v>
      </c>
      <c r="G57" s="62">
        <f t="shared" si="48"/>
        <v>4362163.0532047693</v>
      </c>
      <c r="H57" s="62">
        <f t="shared" si="48"/>
        <v>4227566.9334378485</v>
      </c>
      <c r="I57" s="62">
        <f t="shared" si="48"/>
        <v>4092373.0949858506</v>
      </c>
      <c r="J57" s="62">
        <f t="shared" si="48"/>
        <v>4050314.4124354781</v>
      </c>
      <c r="K57" s="62">
        <f t="shared" si="48"/>
        <v>4006980.4239330562</v>
      </c>
      <c r="L57" s="62">
        <f t="shared" si="48"/>
        <v>3961936.8338015652</v>
      </c>
      <c r="M57" s="62">
        <f t="shared" si="48"/>
        <v>3914663.75605402</v>
      </c>
      <c r="N57" s="62">
        <f t="shared" si="48"/>
        <v>3864599.0759500815</v>
      </c>
      <c r="O57" s="62">
        <f t="shared" si="48"/>
        <v>3811242.9973808406</v>
      </c>
      <c r="P57" s="62">
        <f t="shared" si="48"/>
        <v>3754340.5707043787</v>
      </c>
      <c r="Q57" s="62">
        <f t="shared" si="48"/>
        <v>3694118.8466636306</v>
      </c>
      <c r="R57" s="62">
        <f t="shared" si="48"/>
        <v>3631479.206963005</v>
      </c>
      <c r="S57" s="62">
        <f t="shared" si="48"/>
        <v>3567984.2593302522</v>
      </c>
      <c r="T57" s="62">
        <f t="shared" si="48"/>
        <v>3505536.7182509466</v>
      </c>
      <c r="U57" s="62">
        <f t="shared" si="48"/>
        <v>3445854.0795768206</v>
      </c>
      <c r="V57" s="62">
        <f t="shared" si="48"/>
        <v>3390022.8193593128</v>
      </c>
      <c r="W57" s="62">
        <f t="shared" si="48"/>
        <v>3338358.4440373629</v>
      </c>
      <c r="X57" s="62">
        <f t="shared" si="48"/>
        <v>3290562.4165401473</v>
      </c>
      <c r="Y57" s="62">
        <f t="shared" si="48"/>
        <v>3246003.5213868194</v>
      </c>
      <c r="Z57" s="62">
        <f t="shared" si="48"/>
        <v>3203964.3413565001</v>
      </c>
      <c r="AA57" s="62">
        <f t="shared" si="48"/>
        <v>3163789.7559936079</v>
      </c>
      <c r="AB57" s="62">
        <f t="shared" si="48"/>
        <v>3124947.4212902333</v>
      </c>
      <c r="AC57" s="62">
        <f t="shared" si="48"/>
        <v>3087034.2712081457</v>
      </c>
    </row>
    <row r="58" spans="1:29" ht="15.75" thickBot="1" x14ac:dyDescent="0.3">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75" thickBot="1" x14ac:dyDescent="0.3">
      <c r="A59" s="31" t="s">
        <v>209</v>
      </c>
      <c r="B59" s="64">
        <f>B50+B51+B52+B53+B54+B55+B56+B57+B58</f>
        <v>7955034.7576847225</v>
      </c>
      <c r="C59" s="64">
        <f t="shared" ref="C59:AC59" si="50">C50+C51+C52+C53+C54+C55+C56+C57+C58</f>
        <v>7821788.3341245726</v>
      </c>
      <c r="D59" s="64">
        <f t="shared" si="50"/>
        <v>7688442.4037651774</v>
      </c>
      <c r="E59" s="64">
        <f t="shared" si="50"/>
        <v>7554960.0438895551</v>
      </c>
      <c r="F59" s="64">
        <f t="shared" si="50"/>
        <v>7421291.309602675</v>
      </c>
      <c r="G59" s="64">
        <f t="shared" si="50"/>
        <v>7287369.1771632815</v>
      </c>
      <c r="H59" s="64">
        <f t="shared" si="50"/>
        <v>7153104.7052756185</v>
      </c>
      <c r="I59" s="64">
        <f t="shared" si="50"/>
        <v>7018381.7592698503</v>
      </c>
      <c r="J59" s="64">
        <f t="shared" si="50"/>
        <v>6976988.6379423495</v>
      </c>
      <c r="K59" s="64">
        <f t="shared" si="50"/>
        <v>6934589.0853891196</v>
      </c>
      <c r="L59" s="64">
        <f t="shared" si="50"/>
        <v>6890844.7004377581</v>
      </c>
      <c r="M59" s="64">
        <f t="shared" si="50"/>
        <v>6845352.7843888104</v>
      </c>
      <c r="N59" s="64">
        <f t="shared" si="50"/>
        <v>6797681.7947462136</v>
      </c>
      <c r="O59" s="64">
        <f t="shared" si="50"/>
        <v>6747454.7320369352</v>
      </c>
      <c r="P59" s="64">
        <f t="shared" si="50"/>
        <v>6694492.7719637714</v>
      </c>
      <c r="Q59" s="64">
        <f t="shared" si="50"/>
        <v>6638999.4947358705</v>
      </c>
      <c r="R59" s="64">
        <f t="shared" si="50"/>
        <v>6581706.6581156179</v>
      </c>
      <c r="S59" s="64">
        <f t="shared" si="50"/>
        <v>6523856.3085574331</v>
      </c>
      <c r="T59" s="64">
        <f t="shared" si="50"/>
        <v>6466942.2904205127</v>
      </c>
      <c r="U59" s="64">
        <f t="shared" si="50"/>
        <v>6412296.9315804113</v>
      </c>
      <c r="V59" s="64">
        <f t="shared" si="50"/>
        <v>6360746.6418993808</v>
      </c>
      <c r="W59" s="64">
        <f t="shared" si="50"/>
        <v>6312510.5572987646</v>
      </c>
      <c r="X59" s="64">
        <f t="shared" si="50"/>
        <v>6267330.4677803274</v>
      </c>
      <c r="Y59" s="64">
        <f t="shared" si="50"/>
        <v>6224694.4968399312</v>
      </c>
      <c r="Z59" s="64">
        <f t="shared" si="50"/>
        <v>6184030.1798035577</v>
      </c>
      <c r="AA59" s="64">
        <f t="shared" si="50"/>
        <v>6144819.1703601358</v>
      </c>
      <c r="AB59" s="64">
        <f t="shared" si="50"/>
        <v>6106642.7258431204</v>
      </c>
      <c r="AC59" s="64">
        <f t="shared" si="50"/>
        <v>6069185.277598138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25">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25">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25">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25">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25">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25">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25">
      <c r="A69" s="30" t="str">
        <f t="shared" si="51"/>
        <v>Fuel Cost</v>
      </c>
      <c r="B69" s="66">
        <f>B39*B40*B47/B47</f>
        <v>41.92061957798127</v>
      </c>
      <c r="C69" s="66">
        <f t="shared" ref="C69:AC69" si="59">C39*C40*C47/C47</f>
        <v>40.809768169387269</v>
      </c>
      <c r="D69" s="66">
        <f t="shared" si="59"/>
        <v>39.69788709638987</v>
      </c>
      <c r="E69" s="66">
        <f t="shared" si="59"/>
        <v>38.58458278723225</v>
      </c>
      <c r="F69" s="66">
        <f t="shared" si="59"/>
        <v>37.469317035990521</v>
      </c>
      <c r="G69" s="66">
        <f t="shared" si="59"/>
        <v>36.351358776706412</v>
      </c>
      <c r="H69" s="66">
        <f t="shared" si="59"/>
        <v>35.229724445315405</v>
      </c>
      <c r="I69" s="66">
        <f t="shared" si="59"/>
        <v>34.103109124882089</v>
      </c>
      <c r="J69" s="66">
        <f t="shared" si="59"/>
        <v>33.752620103628985</v>
      </c>
      <c r="K69" s="66">
        <f t="shared" si="59"/>
        <v>33.391503532775467</v>
      </c>
      <c r="L69" s="66">
        <f t="shared" si="59"/>
        <v>33.016140281679711</v>
      </c>
      <c r="M69" s="66">
        <f t="shared" si="59"/>
        <v>32.622197967116833</v>
      </c>
      <c r="N69" s="66">
        <f t="shared" si="59"/>
        <v>32.204992299584013</v>
      </c>
      <c r="O69" s="66">
        <f t="shared" si="59"/>
        <v>31.760358311507005</v>
      </c>
      <c r="P69" s="66">
        <f t="shared" si="59"/>
        <v>31.286171422536487</v>
      </c>
      <c r="Q69" s="66">
        <f t="shared" si="59"/>
        <v>30.78432372219692</v>
      </c>
      <c r="R69" s="66">
        <f t="shared" si="59"/>
        <v>30.262326724691707</v>
      </c>
      <c r="S69" s="66">
        <f t="shared" si="59"/>
        <v>29.733202161085433</v>
      </c>
      <c r="T69" s="66">
        <f t="shared" si="59"/>
        <v>29.212805985424556</v>
      </c>
      <c r="U69" s="66">
        <f t="shared" si="59"/>
        <v>28.715450663140171</v>
      </c>
      <c r="V69" s="66">
        <f t="shared" si="59"/>
        <v>28.250190161327605</v>
      </c>
      <c r="W69" s="66">
        <f t="shared" si="59"/>
        <v>27.819653700311356</v>
      </c>
      <c r="X69" s="66">
        <f t="shared" si="59"/>
        <v>27.421353471167894</v>
      </c>
      <c r="Y69" s="66">
        <f t="shared" si="59"/>
        <v>27.050029344890163</v>
      </c>
      <c r="Z69" s="66">
        <f t="shared" si="59"/>
        <v>26.6997028446375</v>
      </c>
      <c r="AA69" s="66">
        <f t="shared" si="59"/>
        <v>26.364914633280065</v>
      </c>
      <c r="AB69" s="66">
        <f t="shared" si="59"/>
        <v>26.041228510751942</v>
      </c>
      <c r="AC69" s="66">
        <f t="shared" si="59"/>
        <v>25.725285593401214</v>
      </c>
    </row>
    <row r="70" spans="1:29" ht="15.75" thickBot="1" x14ac:dyDescent="0.3">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75" thickBot="1" x14ac:dyDescent="0.3">
      <c r="A71" s="31" t="s">
        <v>63</v>
      </c>
      <c r="B71" s="76">
        <f>B62+B63+B64-B65+B66+B67+B68+B69+B70</f>
        <v>66.422334177726469</v>
      </c>
      <c r="C71" s="76">
        <f t="shared" ref="C71:AC71" si="61">C62+C63+C64-C65+C66+C67+C68+C69+C70</f>
        <v>65.311947314725217</v>
      </c>
      <c r="D71" s="76">
        <f t="shared" si="61"/>
        <v>64.200731228396933</v>
      </c>
      <c r="E71" s="76">
        <f t="shared" si="61"/>
        <v>63.088378229433417</v>
      </c>
      <c r="F71" s="76">
        <f t="shared" si="61"/>
        <v>61.974472110376077</v>
      </c>
      <c r="G71" s="76">
        <f t="shared" si="61"/>
        <v>60.8584543400478</v>
      </c>
      <c r="H71" s="76">
        <f t="shared" si="61"/>
        <v>59.739583740983946</v>
      </c>
      <c r="I71" s="76">
        <f t="shared" si="61"/>
        <v>58.616892524269211</v>
      </c>
      <c r="J71" s="76">
        <f t="shared" si="61"/>
        <v>58.271949846540032</v>
      </c>
      <c r="K71" s="76">
        <f t="shared" si="61"/>
        <v>57.91862024192978</v>
      </c>
      <c r="L71" s="76">
        <f t="shared" si="61"/>
        <v>57.554083700668443</v>
      </c>
      <c r="M71" s="76">
        <f t="shared" si="61"/>
        <v>57.174984400260534</v>
      </c>
      <c r="N71" s="76">
        <f t="shared" si="61"/>
        <v>56.777726153238902</v>
      </c>
      <c r="O71" s="76">
        <f t="shared" si="61"/>
        <v>56.359167297328248</v>
      </c>
      <c r="P71" s="76">
        <f t="shared" si="61"/>
        <v>55.917817630051886</v>
      </c>
      <c r="Q71" s="76">
        <f t="shared" si="61"/>
        <v>55.455373653152705</v>
      </c>
      <c r="R71" s="76">
        <f t="shared" si="61"/>
        <v>54.977933347983935</v>
      </c>
      <c r="S71" s="76">
        <f t="shared" si="61"/>
        <v>54.495847101665731</v>
      </c>
      <c r="T71" s="76">
        <f t="shared" si="61"/>
        <v>54.02156361719139</v>
      </c>
      <c r="U71" s="76">
        <f t="shared" si="61"/>
        <v>53.566185626857205</v>
      </c>
      <c r="V71" s="76">
        <f t="shared" si="61"/>
        <v>53.136599879515302</v>
      </c>
      <c r="W71" s="76">
        <f t="shared" si="61"/>
        <v>52.734632507843493</v>
      </c>
      <c r="X71" s="76">
        <f t="shared" si="61"/>
        <v>52.358131761856512</v>
      </c>
      <c r="Y71" s="76">
        <f t="shared" si="61"/>
        <v>52.002832004019879</v>
      </c>
      <c r="Z71" s="76">
        <f t="shared" si="61"/>
        <v>51.663962695383439</v>
      </c>
      <c r="AA71" s="76">
        <f t="shared" si="61"/>
        <v>51.337204283354922</v>
      </c>
      <c r="AB71" s="76">
        <f t="shared" si="61"/>
        <v>51.019067245713117</v>
      </c>
      <c r="AC71" s="76">
        <f t="shared" si="61"/>
        <v>50.706921843671608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25">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25">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25">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25">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25">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25">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25">
      <c r="A81" s="30" t="str">
        <f t="shared" si="62"/>
        <v>Fuel Cost</v>
      </c>
      <c r="B81" s="66">
        <f>B39*B40*B47/B47/(B44)</f>
        <v>4.4360443997863777E-3</v>
      </c>
      <c r="C81" s="66">
        <f t="shared" ref="C81:AC81" si="70">C39*C40*C47/C47/(C44)</f>
        <v>4.3184939861785473E-3</v>
      </c>
      <c r="D81" s="66">
        <f t="shared" si="70"/>
        <v>4.2008346133745895E-3</v>
      </c>
      <c r="E81" s="66">
        <f t="shared" si="70"/>
        <v>4.0830246335695503E-3</v>
      </c>
      <c r="F81" s="66">
        <f t="shared" si="70"/>
        <v>3.9650070937556105E-3</v>
      </c>
      <c r="G81" s="66">
        <f t="shared" si="70"/>
        <v>3.8467046324557048E-3</v>
      </c>
      <c r="H81" s="66">
        <f t="shared" si="70"/>
        <v>3.7280131688164448E-3</v>
      </c>
      <c r="I81" s="66">
        <f t="shared" si="70"/>
        <v>3.6087946163896388E-3</v>
      </c>
      <c r="J81" s="66">
        <f t="shared" si="70"/>
        <v>3.5717058310718503E-3</v>
      </c>
      <c r="K81" s="66">
        <f t="shared" si="70"/>
        <v>3.5334924373307372E-3</v>
      </c>
      <c r="L81" s="66">
        <f t="shared" si="70"/>
        <v>3.4937714583788055E-3</v>
      </c>
      <c r="M81" s="66">
        <f t="shared" si="70"/>
        <v>3.4520844409647441E-3</v>
      </c>
      <c r="N81" s="66">
        <f t="shared" si="70"/>
        <v>3.4079356930776733E-3</v>
      </c>
      <c r="O81" s="66">
        <f t="shared" si="70"/>
        <v>3.3608844774081488E-3</v>
      </c>
      <c r="P81" s="66">
        <f t="shared" si="70"/>
        <v>3.3107059706387817E-3</v>
      </c>
      <c r="Q81" s="66">
        <f t="shared" si="70"/>
        <v>3.2576003938832717E-3</v>
      </c>
      <c r="R81" s="66">
        <f t="shared" si="70"/>
        <v>3.202362616369493E-3</v>
      </c>
      <c r="S81" s="66">
        <f t="shared" si="70"/>
        <v>3.1463705990566596E-3</v>
      </c>
      <c r="T81" s="66">
        <f t="shared" si="70"/>
        <v>3.091302220679847E-3</v>
      </c>
      <c r="U81" s="66">
        <f t="shared" si="70"/>
        <v>3.0386720278455207E-3</v>
      </c>
      <c r="V81" s="66">
        <f t="shared" si="70"/>
        <v>2.9894381123097996E-3</v>
      </c>
      <c r="W81" s="66">
        <f t="shared" si="70"/>
        <v>2.943878698445646E-3</v>
      </c>
      <c r="X81" s="66">
        <f t="shared" si="70"/>
        <v>2.9017305260495125E-3</v>
      </c>
      <c r="Y81" s="66">
        <f t="shared" si="70"/>
        <v>2.8624369677132449E-3</v>
      </c>
      <c r="Z81" s="66">
        <f t="shared" si="70"/>
        <v>2.8253653803849204E-3</v>
      </c>
      <c r="AA81" s="66">
        <f t="shared" si="70"/>
        <v>2.789938056431753E-3</v>
      </c>
      <c r="AB81" s="66">
        <f t="shared" si="70"/>
        <v>2.7556855566933272E-3</v>
      </c>
      <c r="AC81" s="66">
        <f t="shared" si="70"/>
        <v>2.7222524437461601E-3</v>
      </c>
    </row>
    <row r="82" spans="1:29" x14ac:dyDescent="0.25">
      <c r="A82" s="59" t="str">
        <f>A45</f>
        <v>Market failure (av. utilization)</v>
      </c>
      <c r="B82" s="66">
        <f t="shared" ref="B82:AC82" si="71">B71/B45-B71/B44</f>
        <v>3.3076792618849139E-3</v>
      </c>
      <c r="C82" s="66">
        <f t="shared" si="71"/>
        <v>3.2523845534877154E-3</v>
      </c>
      <c r="D82" s="66">
        <f t="shared" si="71"/>
        <v>3.1970485516786508E-3</v>
      </c>
      <c r="E82" s="66">
        <f t="shared" si="71"/>
        <v>3.1416559342388236E-3</v>
      </c>
      <c r="F82" s="66">
        <f t="shared" si="71"/>
        <v>3.0861859749953839E-3</v>
      </c>
      <c r="G82" s="66">
        <f t="shared" si="71"/>
        <v>3.0306108603820872E-3</v>
      </c>
      <c r="H82" s="66">
        <f t="shared" si="71"/>
        <v>2.974893681468231E-3</v>
      </c>
      <c r="I82" s="66">
        <f t="shared" si="71"/>
        <v>2.9189862445947934E-3</v>
      </c>
      <c r="J82" s="66">
        <f t="shared" si="71"/>
        <v>2.9018088936963596E-3</v>
      </c>
      <c r="K82" s="66">
        <f t="shared" si="71"/>
        <v>2.8842138931555444E-3</v>
      </c>
      <c r="L82" s="66">
        <f t="shared" si="71"/>
        <v>2.8660608129806864E-3</v>
      </c>
      <c r="M82" s="66">
        <f t="shared" si="71"/>
        <v>2.8471825409404541E-3</v>
      </c>
      <c r="N82" s="66">
        <f t="shared" si="71"/>
        <v>2.8273999951815192E-3</v>
      </c>
      <c r="O82" s="66">
        <f t="shared" si="71"/>
        <v>2.8065567281582689E-3</v>
      </c>
      <c r="P82" s="66">
        <f t="shared" si="71"/>
        <v>2.7845785312195148E-3</v>
      </c>
      <c r="Q82" s="66">
        <f t="shared" si="71"/>
        <v>2.7615498862447654E-3</v>
      </c>
      <c r="R82" s="66">
        <f t="shared" si="71"/>
        <v>2.7377744586608854E-3</v>
      </c>
      <c r="S82" s="66">
        <f t="shared" si="71"/>
        <v>2.7137676739080333E-3</v>
      </c>
      <c r="T82" s="66">
        <f t="shared" si="71"/>
        <v>2.6901494487241266E-3</v>
      </c>
      <c r="U82" s="66">
        <f t="shared" si="71"/>
        <v>2.6674726736063336E-3</v>
      </c>
      <c r="V82" s="66">
        <f t="shared" si="71"/>
        <v>2.6460802927863198E-3</v>
      </c>
      <c r="W82" s="66">
        <f t="shared" si="71"/>
        <v>2.6260632434655937E-3</v>
      </c>
      <c r="X82" s="66">
        <f t="shared" si="71"/>
        <v>2.6073143734506822E-3</v>
      </c>
      <c r="Y82" s="66">
        <f t="shared" si="71"/>
        <v>2.5896212638167378E-3</v>
      </c>
      <c r="Z82" s="66">
        <f t="shared" si="71"/>
        <v>2.5727463527112811E-3</v>
      </c>
      <c r="AA82" s="66">
        <f t="shared" si="71"/>
        <v>2.5564745363637681E-3</v>
      </c>
      <c r="AB82" s="66">
        <f t="shared" si="71"/>
        <v>2.5406320446044496E-3</v>
      </c>
      <c r="AC82" s="66">
        <f t="shared" si="71"/>
        <v>2.5250879224984297E-3</v>
      </c>
    </row>
    <row r="83" spans="1:29" x14ac:dyDescent="0.25">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75" thickBot="1" x14ac:dyDescent="0.3">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75" thickBot="1" x14ac:dyDescent="0.3">
      <c r="A85" s="31" t="s">
        <v>210</v>
      </c>
      <c r="B85" s="77">
        <f>B74+B75+B76+B77+B78+B79+B80+B81+B82+B83+B84</f>
        <v>1.032270109405839E-2</v>
      </c>
      <c r="C85" s="77">
        <f t="shared" ref="C85:AC85" si="74">C74+C75+C76+C77+C78+C79+C80+C81+C82+C83+C84</f>
        <v>1.0149905130317143E-2</v>
      </c>
      <c r="D85" s="77">
        <f t="shared" si="74"/>
        <v>9.9769801246638156E-3</v>
      </c>
      <c r="E85" s="77">
        <f t="shared" si="74"/>
        <v>9.8038781951643571E-3</v>
      </c>
      <c r="F85" s="77">
        <f t="shared" si="74"/>
        <v>9.6305345725286075E-3</v>
      </c>
      <c r="G85" s="77">
        <f t="shared" si="74"/>
        <v>9.4568623393620523E-3</v>
      </c>
      <c r="H85" s="77">
        <f t="shared" si="74"/>
        <v>9.2827461552562537E-3</v>
      </c>
      <c r="I85" s="77">
        <f t="shared" si="74"/>
        <v>9.1080354150267599E-3</v>
      </c>
      <c r="J85" s="77">
        <f t="shared" si="74"/>
        <v>9.0543561934691534E-3</v>
      </c>
      <c r="K85" s="77">
        <f t="shared" si="74"/>
        <v>8.9993718167791052E-3</v>
      </c>
      <c r="L85" s="77">
        <f t="shared" si="74"/>
        <v>8.942643441232679E-3</v>
      </c>
      <c r="M85" s="77">
        <f t="shared" si="74"/>
        <v>8.8836488411069524E-3</v>
      </c>
      <c r="N85" s="77">
        <f t="shared" si="74"/>
        <v>8.8218283856102784E-3</v>
      </c>
      <c r="O85" s="77">
        <f t="shared" si="74"/>
        <v>8.7566931761626221E-3</v>
      </c>
      <c r="P85" s="77">
        <f t="shared" si="74"/>
        <v>8.6880113107290144E-3</v>
      </c>
      <c r="Q85" s="77">
        <f t="shared" si="74"/>
        <v>8.6160467951829217E-3</v>
      </c>
      <c r="R85" s="77">
        <f t="shared" si="74"/>
        <v>8.5417485839832993E-3</v>
      </c>
      <c r="S85" s="77">
        <f t="shared" si="74"/>
        <v>8.4667273816306371E-3</v>
      </c>
      <c r="T85" s="77">
        <f t="shared" si="74"/>
        <v>8.3929204279309284E-3</v>
      </c>
      <c r="U85" s="77">
        <f t="shared" si="74"/>
        <v>8.3220555056878233E-3</v>
      </c>
      <c r="V85" s="77">
        <f t="shared" si="74"/>
        <v>8.2552043156252797E-3</v>
      </c>
      <c r="W85" s="77">
        <f t="shared" si="74"/>
        <v>8.1926510364980151E-3</v>
      </c>
      <c r="X85" s="77">
        <f t="shared" si="74"/>
        <v>8.134060817701412E-3</v>
      </c>
      <c r="Y85" s="77">
        <f t="shared" si="74"/>
        <v>8.0787698500953374E-3</v>
      </c>
      <c r="Z85" s="77">
        <f t="shared" si="74"/>
        <v>8.0260357528907852E-3</v>
      </c>
      <c r="AA85" s="77">
        <f t="shared" si="74"/>
        <v>7.9751863268048041E-3</v>
      </c>
      <c r="AB85" s="77">
        <f t="shared" si="74"/>
        <v>7.9256785400569352E-3</v>
      </c>
      <c r="AC85" s="77">
        <f t="shared" si="74"/>
        <v>7.8771031584756231E-3</v>
      </c>
    </row>
    <row r="87" spans="1:29" x14ac:dyDescent="0.25">
      <c r="B87" s="40"/>
    </row>
    <row r="107" spans="1:2" s="3" customFormat="1" ht="21" x14ac:dyDescent="0.35">
      <c r="A107" s="2" t="str">
        <f>'Parameter Input'!A223</f>
        <v>Short-sea: Container</v>
      </c>
    </row>
    <row r="108" spans="1:2" s="3" customFormat="1" ht="21" x14ac:dyDescent="0.35">
      <c r="A108" s="2" t="s">
        <v>279</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Input'!$L$212</f>
        <v>15000000</v>
      </c>
      <c r="C117" s="42">
        <f>'Parameter Input'!$M$212</f>
        <v>15000000</v>
      </c>
      <c r="D117" s="1" t="s">
        <v>15</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25">
      <c r="A118" s="24" t="s">
        <v>28</v>
      </c>
      <c r="B118" s="60">
        <f>'Parameter Input'!$L$213</f>
        <v>-1500000</v>
      </c>
      <c r="C118" s="61">
        <f>'Parameter Input'!$M$213</f>
        <v>-750000</v>
      </c>
      <c r="D118" s="1" t="s">
        <v>15</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25">
      <c r="A121" s="24" t="s">
        <v>79</v>
      </c>
      <c r="B121" s="92">
        <f>'Parameter Input'!$L$219</f>
        <v>0.06</v>
      </c>
      <c r="C121" s="91">
        <f>'Parameter Input'!$M$219</f>
        <v>0.06</v>
      </c>
      <c r="D121" s="1" t="s">
        <v>57</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25">
      <c r="A123" s="24" t="s">
        <v>52</v>
      </c>
      <c r="B123" s="60">
        <f>'Parameter Input'!$L$215</f>
        <v>488235.29411764705</v>
      </c>
      <c r="C123" s="61">
        <f>'Parameter Input'!$M$215</f>
        <v>488235.29411764705</v>
      </c>
      <c r="D123" s="1" t="s">
        <v>38</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25">
      <c r="A125" s="24" t="s">
        <v>59</v>
      </c>
      <c r="B125" s="60">
        <f>'Parameter Input'!$L$216</f>
        <v>647</v>
      </c>
      <c r="C125" s="61">
        <f>'Parameter Input'!$M$216</f>
        <v>600</v>
      </c>
      <c r="D125" s="1" t="s">
        <v>60</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25">
      <c r="A126" s="24" t="s">
        <v>67</v>
      </c>
      <c r="B126" s="78">
        <f>'Parameter Input'!$L$217</f>
        <v>0.06</v>
      </c>
      <c r="C126" s="61">
        <f>'Parameter Input'!$M$217</f>
        <v>0.06</v>
      </c>
      <c r="D126" s="1" t="s">
        <v>68</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25">
      <c r="A127" s="24" t="s">
        <v>206</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Input'!$L$214</f>
        <v>25</v>
      </c>
      <c r="C128" s="61">
        <f>'Parameter Input'!$M$214</f>
        <v>25</v>
      </c>
      <c r="D128" s="1" t="s">
        <v>42</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25">
      <c r="A132" s="24" t="s">
        <v>73</v>
      </c>
      <c r="B132" s="45">
        <f>'Parameter Input'!$L$218</f>
        <v>0</v>
      </c>
      <c r="C132" s="46">
        <f>'Parameter Input'!$M$218</f>
        <v>0</v>
      </c>
      <c r="D132" s="1" t="s">
        <v>57</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25">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25">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25">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25">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25">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25">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25">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25">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25">
      <c r="A146" s="30" t="str">
        <f t="shared" si="80"/>
        <v>Fuel Cost</v>
      </c>
      <c r="B146" s="62">
        <f>'Parameter Input'!J9</f>
        <v>6.4802641056422569E-2</v>
      </c>
      <c r="C146" s="62">
        <f>'Parameter Input'!K9</f>
        <v>6.3089795918367345E-2</v>
      </c>
      <c r="D146" s="62">
        <f>'Parameter Input'!L9</f>
        <v>6.1376950780312127E-2</v>
      </c>
      <c r="E146" s="62">
        <f>'Parameter Input'!M9</f>
        <v>5.9664105642256909E-2</v>
      </c>
      <c r="F146" s="62">
        <f>'Parameter Input'!N9</f>
        <v>5.7951260504201692E-2</v>
      </c>
      <c r="G146" s="62">
        <f>'Parameter Input'!O9</f>
        <v>5.6238415366146474E-2</v>
      </c>
      <c r="H146" s="62">
        <f>'Parameter Input'!P9</f>
        <v>5.4525570228091257E-2</v>
      </c>
      <c r="I146" s="62">
        <f>'Parameter Input'!Q9</f>
        <v>5.2812725090036025E-2</v>
      </c>
      <c r="J146" s="62">
        <f>'Parameter Input'!R9</f>
        <v>5.2313145258103252E-2</v>
      </c>
      <c r="K146" s="62">
        <f>'Parameter Input'!S9</f>
        <v>5.181356542617048E-2</v>
      </c>
      <c r="L146" s="62">
        <f>'Parameter Input'!T9</f>
        <v>5.1313985594237707E-2</v>
      </c>
      <c r="M146" s="62">
        <f>'Parameter Input'!U9</f>
        <v>5.0814405762304934E-2</v>
      </c>
      <c r="N146" s="62">
        <f>'Parameter Input'!V9</f>
        <v>5.0314825930372155E-2</v>
      </c>
      <c r="O146" s="62">
        <f>'Parameter Input'!W9</f>
        <v>4.9815246098439382E-2</v>
      </c>
      <c r="P146" s="62">
        <f>'Parameter Input'!X9</f>
        <v>4.931566626650661E-2</v>
      </c>
      <c r="Q146" s="62">
        <f>'Parameter Input'!Y9</f>
        <v>4.8816086434573837E-2</v>
      </c>
      <c r="R146" s="62">
        <f>'Parameter Input'!Z9</f>
        <v>4.8316506602641064E-2</v>
      </c>
      <c r="S146" s="62">
        <f>'Parameter Input'!AA9</f>
        <v>4.7816926770708292E-2</v>
      </c>
      <c r="T146" s="62">
        <f>'Parameter Input'!AB9</f>
        <v>4.7317346938775519E-2</v>
      </c>
      <c r="U146" s="62">
        <f>'Parameter Input'!AC9</f>
        <v>4.6817767106842746E-2</v>
      </c>
      <c r="V146" s="62">
        <f>'Parameter Input'!AD9</f>
        <v>4.6318187274909974E-2</v>
      </c>
      <c r="W146" s="62">
        <f>'Parameter Input'!AE9</f>
        <v>4.5818607442977201E-2</v>
      </c>
      <c r="X146" s="62">
        <f>'Parameter Input'!AF9</f>
        <v>4.5319027611044428E-2</v>
      </c>
      <c r="Y146" s="62">
        <f>'Parameter Input'!AG9</f>
        <v>4.4819447779111656E-2</v>
      </c>
      <c r="Z146" s="62">
        <f>'Parameter Input'!AH9</f>
        <v>4.4319867947178883E-2</v>
      </c>
      <c r="AA146" s="62">
        <f>'Parameter Input'!AI9</f>
        <v>4.382028811524611E-2</v>
      </c>
      <c r="AB146" s="62">
        <f>'Parameter Input'!AJ9</f>
        <v>4.3320708283313338E-2</v>
      </c>
      <c r="AC146" s="62">
        <f>'Parameter Input'!AK9</f>
        <v>4.2821128451380565E-2</v>
      </c>
    </row>
    <row r="147" spans="1:29" x14ac:dyDescent="0.25">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25">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25">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25">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25">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25">
      <c r="A152" s="30" t="s">
        <v>73</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25">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25">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25">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25">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25">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25">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25">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25">
      <c r="A163" s="30" t="str">
        <f>A146</f>
        <v>Fuel Cost</v>
      </c>
      <c r="B163" s="62">
        <f>B145*B146*B153</f>
        <v>5030474.3493577521</v>
      </c>
      <c r="C163" s="62">
        <f t="shared" ref="C163:AC163" si="124">C145*C146*C153</f>
        <v>4897172.180326472</v>
      </c>
      <c r="D163" s="62">
        <f t="shared" si="124"/>
        <v>4763746.4515667846</v>
      </c>
      <c r="E163" s="62">
        <f t="shared" si="124"/>
        <v>4630149.9344678698</v>
      </c>
      <c r="F163" s="62">
        <f t="shared" si="124"/>
        <v>4496318.0443188623</v>
      </c>
      <c r="G163" s="62">
        <f t="shared" si="124"/>
        <v>4362163.0532047693</v>
      </c>
      <c r="H163" s="62">
        <f t="shared" si="124"/>
        <v>4227566.9334378485</v>
      </c>
      <c r="I163" s="62">
        <f t="shared" si="124"/>
        <v>4092373.0949858506</v>
      </c>
      <c r="J163" s="62">
        <f t="shared" si="124"/>
        <v>4050314.4124354781</v>
      </c>
      <c r="K163" s="62">
        <f t="shared" si="124"/>
        <v>4006980.4239330562</v>
      </c>
      <c r="L163" s="62">
        <f t="shared" si="124"/>
        <v>3961936.8338015652</v>
      </c>
      <c r="M163" s="62">
        <f t="shared" si="124"/>
        <v>3914663.75605402</v>
      </c>
      <c r="N163" s="62">
        <f t="shared" si="124"/>
        <v>3864599.0759500815</v>
      </c>
      <c r="O163" s="62">
        <f t="shared" si="124"/>
        <v>3811242.9973808406</v>
      </c>
      <c r="P163" s="62">
        <f t="shared" si="124"/>
        <v>3754340.5707043787</v>
      </c>
      <c r="Q163" s="62">
        <f t="shared" si="124"/>
        <v>3694118.8466636306</v>
      </c>
      <c r="R163" s="62">
        <f t="shared" si="124"/>
        <v>3631479.206963005</v>
      </c>
      <c r="S163" s="62">
        <f t="shared" si="124"/>
        <v>3567984.2593302522</v>
      </c>
      <c r="T163" s="62">
        <f t="shared" si="124"/>
        <v>3505536.7182509466</v>
      </c>
      <c r="U163" s="62">
        <f t="shared" si="124"/>
        <v>3445854.0795768206</v>
      </c>
      <c r="V163" s="62">
        <f t="shared" si="124"/>
        <v>3390022.8193593128</v>
      </c>
      <c r="W163" s="62">
        <f t="shared" si="124"/>
        <v>3338358.4440373629</v>
      </c>
      <c r="X163" s="62">
        <f t="shared" si="124"/>
        <v>3290562.4165401473</v>
      </c>
      <c r="Y163" s="62">
        <f t="shared" si="124"/>
        <v>3246003.5213868194</v>
      </c>
      <c r="Z163" s="62">
        <f t="shared" si="124"/>
        <v>3203964.3413565001</v>
      </c>
      <c r="AA163" s="62">
        <f t="shared" si="124"/>
        <v>3163789.7559936079</v>
      </c>
      <c r="AB163" s="62">
        <f t="shared" si="124"/>
        <v>3124947.4212902333</v>
      </c>
      <c r="AC163" s="62">
        <f t="shared" si="124"/>
        <v>3087034.2712081457</v>
      </c>
    </row>
    <row r="164" spans="1:29" ht="15.75" thickBot="1" x14ac:dyDescent="0.3">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75" thickBot="1" x14ac:dyDescent="0.3">
      <c r="A165" s="31" t="s">
        <v>209</v>
      </c>
      <c r="B165" s="64">
        <f>B156+B157+B158+B159+B160+B161+B162+B163+B164</f>
        <v>8337797.4073258284</v>
      </c>
      <c r="C165" s="64">
        <f t="shared" ref="C165:AC165" si="126">C156+C157+C158+C159+C160+C161+C162+C163+C164</f>
        <v>8204550.9837656775</v>
      </c>
      <c r="D165" s="64">
        <f t="shared" si="126"/>
        <v>8071205.0534062833</v>
      </c>
      <c r="E165" s="64">
        <f t="shared" si="126"/>
        <v>7937722.6935306611</v>
      </c>
      <c r="F165" s="64">
        <f t="shared" si="126"/>
        <v>7804053.95924378</v>
      </c>
      <c r="G165" s="64">
        <f t="shared" si="126"/>
        <v>7670131.8268043865</v>
      </c>
      <c r="H165" s="64">
        <f t="shared" si="126"/>
        <v>7535867.3549167244</v>
      </c>
      <c r="I165" s="64">
        <f t="shared" si="126"/>
        <v>7401144.4089109562</v>
      </c>
      <c r="J165" s="64">
        <f t="shared" si="126"/>
        <v>7359751.2875834554</v>
      </c>
      <c r="K165" s="64">
        <f t="shared" si="126"/>
        <v>7317351.7350302245</v>
      </c>
      <c r="L165" s="64">
        <f t="shared" si="126"/>
        <v>7273607.350078864</v>
      </c>
      <c r="M165" s="64">
        <f t="shared" si="126"/>
        <v>7228115.4340299163</v>
      </c>
      <c r="N165" s="64">
        <f t="shared" si="126"/>
        <v>7180444.4443873186</v>
      </c>
      <c r="O165" s="64">
        <f t="shared" si="126"/>
        <v>7130217.3816780411</v>
      </c>
      <c r="P165" s="64">
        <f t="shared" si="126"/>
        <v>7077255.4216048773</v>
      </c>
      <c r="Q165" s="64">
        <f t="shared" si="126"/>
        <v>7021762.1443769764</v>
      </c>
      <c r="R165" s="64">
        <f t="shared" si="126"/>
        <v>6964469.3077567238</v>
      </c>
      <c r="S165" s="64">
        <f t="shared" si="126"/>
        <v>6906618.958198539</v>
      </c>
      <c r="T165" s="64">
        <f t="shared" si="126"/>
        <v>6849704.9400616176</v>
      </c>
      <c r="U165" s="64">
        <f t="shared" si="126"/>
        <v>6795059.5812215172</v>
      </c>
      <c r="V165" s="64">
        <f t="shared" si="126"/>
        <v>6743509.2915404867</v>
      </c>
      <c r="W165" s="64">
        <f t="shared" si="126"/>
        <v>6695273.2069398705</v>
      </c>
      <c r="X165" s="64">
        <f t="shared" si="126"/>
        <v>6650093.1174214333</v>
      </c>
      <c r="Y165" s="64">
        <f t="shared" si="126"/>
        <v>6607457.1464810371</v>
      </c>
      <c r="Z165" s="64">
        <f t="shared" si="126"/>
        <v>6566792.8294446636</v>
      </c>
      <c r="AA165" s="64">
        <f t="shared" si="126"/>
        <v>6527581.8200012408</v>
      </c>
      <c r="AB165" s="64">
        <f t="shared" si="126"/>
        <v>6489405.3754842253</v>
      </c>
      <c r="AC165" s="64">
        <f t="shared" si="126"/>
        <v>6451947.9272392439</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25">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25">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25">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25">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25">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25">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25">
      <c r="A175" s="30" t="str">
        <f t="shared" si="127"/>
        <v>Fuel Cost</v>
      </c>
      <c r="B175" s="66">
        <f>B145*B146*B153/B153</f>
        <v>41.92061957798127</v>
      </c>
      <c r="C175" s="66">
        <f t="shared" ref="C175:AC175" si="135">C145*C146*C153/C153</f>
        <v>40.809768169387269</v>
      </c>
      <c r="D175" s="66">
        <f t="shared" si="135"/>
        <v>39.69788709638987</v>
      </c>
      <c r="E175" s="66">
        <f t="shared" si="135"/>
        <v>38.58458278723225</v>
      </c>
      <c r="F175" s="66">
        <f t="shared" si="135"/>
        <v>37.469317035990521</v>
      </c>
      <c r="G175" s="66">
        <f t="shared" si="135"/>
        <v>36.351358776706412</v>
      </c>
      <c r="H175" s="66">
        <f t="shared" si="135"/>
        <v>35.229724445315405</v>
      </c>
      <c r="I175" s="66">
        <f t="shared" si="135"/>
        <v>34.103109124882089</v>
      </c>
      <c r="J175" s="66">
        <f t="shared" si="135"/>
        <v>33.752620103628985</v>
      </c>
      <c r="K175" s="66">
        <f t="shared" si="135"/>
        <v>33.391503532775467</v>
      </c>
      <c r="L175" s="66">
        <f t="shared" si="135"/>
        <v>33.016140281679711</v>
      </c>
      <c r="M175" s="66">
        <f t="shared" si="135"/>
        <v>32.622197967116833</v>
      </c>
      <c r="N175" s="66">
        <f t="shared" si="135"/>
        <v>32.204992299584013</v>
      </c>
      <c r="O175" s="66">
        <f t="shared" si="135"/>
        <v>31.760358311507005</v>
      </c>
      <c r="P175" s="66">
        <f t="shared" si="135"/>
        <v>31.286171422536487</v>
      </c>
      <c r="Q175" s="66">
        <f t="shared" si="135"/>
        <v>30.78432372219692</v>
      </c>
      <c r="R175" s="66">
        <f t="shared" si="135"/>
        <v>30.262326724691707</v>
      </c>
      <c r="S175" s="66">
        <f t="shared" si="135"/>
        <v>29.733202161085433</v>
      </c>
      <c r="T175" s="66">
        <f t="shared" si="135"/>
        <v>29.212805985424556</v>
      </c>
      <c r="U175" s="66">
        <f t="shared" si="135"/>
        <v>28.715450663140171</v>
      </c>
      <c r="V175" s="66">
        <f t="shared" si="135"/>
        <v>28.250190161327605</v>
      </c>
      <c r="W175" s="66">
        <f t="shared" si="135"/>
        <v>27.819653700311356</v>
      </c>
      <c r="X175" s="66">
        <f t="shared" si="135"/>
        <v>27.421353471167894</v>
      </c>
      <c r="Y175" s="66">
        <f t="shared" si="135"/>
        <v>27.050029344890163</v>
      </c>
      <c r="Z175" s="66">
        <f t="shared" si="135"/>
        <v>26.6997028446375</v>
      </c>
      <c r="AA175" s="66">
        <f t="shared" si="135"/>
        <v>26.364914633280065</v>
      </c>
      <c r="AB175" s="66">
        <f t="shared" si="135"/>
        <v>26.041228510751942</v>
      </c>
      <c r="AC175" s="66">
        <f t="shared" si="135"/>
        <v>25.725285593401214</v>
      </c>
    </row>
    <row r="176" spans="1:29" ht="15.75" thickBot="1" x14ac:dyDescent="0.3">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75" thickBot="1" x14ac:dyDescent="0.3">
      <c r="A177" s="31" t="s">
        <v>63</v>
      </c>
      <c r="B177" s="76">
        <f>B168+B169+B170-B171+B172+B173+B174+B175+B176</f>
        <v>70.133534379484189</v>
      </c>
      <c r="C177" s="76">
        <f t="shared" ref="C177:AC177" si="137">C168+C169+C170-C171+C172+C173+C174+C175+C176</f>
        <v>69.023147516482936</v>
      </c>
      <c r="D177" s="76">
        <f t="shared" si="137"/>
        <v>67.911931430154638</v>
      </c>
      <c r="E177" s="76">
        <f t="shared" si="137"/>
        <v>66.799578431191122</v>
      </c>
      <c r="F177" s="76">
        <f t="shared" si="137"/>
        <v>65.685672312133789</v>
      </c>
      <c r="G177" s="76">
        <f t="shared" si="137"/>
        <v>64.569654541805505</v>
      </c>
      <c r="H177" s="76">
        <f t="shared" si="137"/>
        <v>63.450783942741651</v>
      </c>
      <c r="I177" s="76">
        <f t="shared" si="137"/>
        <v>62.328092726026924</v>
      </c>
      <c r="J177" s="76">
        <f t="shared" si="137"/>
        <v>61.983150048297745</v>
      </c>
      <c r="K177" s="76">
        <f t="shared" si="137"/>
        <v>61.629820443687493</v>
      </c>
      <c r="L177" s="76">
        <f t="shared" si="137"/>
        <v>61.265283902426162</v>
      </c>
      <c r="M177" s="76">
        <f t="shared" si="137"/>
        <v>60.886184602018247</v>
      </c>
      <c r="N177" s="76">
        <f t="shared" si="137"/>
        <v>60.488926354996607</v>
      </c>
      <c r="O177" s="76">
        <f t="shared" si="137"/>
        <v>60.070367499085961</v>
      </c>
      <c r="P177" s="76">
        <f t="shared" si="137"/>
        <v>59.629017831809598</v>
      </c>
      <c r="Q177" s="76">
        <f t="shared" si="137"/>
        <v>59.166573854910418</v>
      </c>
      <c r="R177" s="76">
        <f t="shared" si="137"/>
        <v>58.689133549741648</v>
      </c>
      <c r="S177" s="76">
        <f t="shared" si="137"/>
        <v>58.207047303423437</v>
      </c>
      <c r="T177" s="76">
        <f t="shared" si="137"/>
        <v>57.732763818949103</v>
      </c>
      <c r="U177" s="76">
        <f t="shared" si="137"/>
        <v>57.277385828614925</v>
      </c>
      <c r="V177" s="76">
        <f t="shared" si="137"/>
        <v>56.847800081273007</v>
      </c>
      <c r="W177" s="76">
        <f t="shared" si="137"/>
        <v>56.445832709601206</v>
      </c>
      <c r="X177" s="76">
        <f t="shared" si="137"/>
        <v>56.069331963614225</v>
      </c>
      <c r="Y177" s="76">
        <f t="shared" si="137"/>
        <v>55.714032205777585</v>
      </c>
      <c r="Z177" s="76">
        <f t="shared" si="137"/>
        <v>55.375162897141152</v>
      </c>
      <c r="AA177" s="76">
        <f t="shared" si="137"/>
        <v>55.048404485112627</v>
      </c>
      <c r="AB177" s="76">
        <f t="shared" si="137"/>
        <v>54.730267447470823</v>
      </c>
      <c r="AC177" s="76">
        <f t="shared" si="137"/>
        <v>54.418122045429314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25">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25">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25">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25">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25">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25">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25">
      <c r="A187" s="30" t="str">
        <f t="shared" si="138"/>
        <v>Fuel Cost</v>
      </c>
      <c r="B187" s="66">
        <f>B145*B146*B153/B153/(B150)</f>
        <v>4.4360443997863777E-3</v>
      </c>
      <c r="C187" s="66">
        <f t="shared" ref="C187:AC187" si="146">C145*C146*C153/C153/(C150)</f>
        <v>4.3184939861785473E-3</v>
      </c>
      <c r="D187" s="66">
        <f t="shared" si="146"/>
        <v>4.2008346133745895E-3</v>
      </c>
      <c r="E187" s="66">
        <f t="shared" si="146"/>
        <v>4.0830246335695503E-3</v>
      </c>
      <c r="F187" s="66">
        <f t="shared" si="146"/>
        <v>3.9650070937556105E-3</v>
      </c>
      <c r="G187" s="66">
        <f t="shared" si="146"/>
        <v>3.8467046324557048E-3</v>
      </c>
      <c r="H187" s="66">
        <f t="shared" si="146"/>
        <v>3.7280131688164448E-3</v>
      </c>
      <c r="I187" s="66">
        <f t="shared" si="146"/>
        <v>3.6087946163896388E-3</v>
      </c>
      <c r="J187" s="66">
        <f t="shared" si="146"/>
        <v>3.5717058310718503E-3</v>
      </c>
      <c r="K187" s="66">
        <f t="shared" si="146"/>
        <v>3.5334924373307372E-3</v>
      </c>
      <c r="L187" s="66">
        <f t="shared" si="146"/>
        <v>3.4937714583788055E-3</v>
      </c>
      <c r="M187" s="66">
        <f t="shared" si="146"/>
        <v>3.4520844409647441E-3</v>
      </c>
      <c r="N187" s="66">
        <f t="shared" si="146"/>
        <v>3.4079356930776733E-3</v>
      </c>
      <c r="O187" s="66">
        <f t="shared" si="146"/>
        <v>3.3608844774081488E-3</v>
      </c>
      <c r="P187" s="66">
        <f t="shared" si="146"/>
        <v>3.3107059706387817E-3</v>
      </c>
      <c r="Q187" s="66">
        <f t="shared" si="146"/>
        <v>3.2576003938832717E-3</v>
      </c>
      <c r="R187" s="66">
        <f t="shared" si="146"/>
        <v>3.202362616369493E-3</v>
      </c>
      <c r="S187" s="66">
        <f t="shared" si="146"/>
        <v>3.1463705990566596E-3</v>
      </c>
      <c r="T187" s="66">
        <f t="shared" si="146"/>
        <v>3.091302220679847E-3</v>
      </c>
      <c r="U187" s="66">
        <f t="shared" si="146"/>
        <v>3.0386720278455207E-3</v>
      </c>
      <c r="V187" s="66">
        <f t="shared" si="146"/>
        <v>2.9894381123097996E-3</v>
      </c>
      <c r="W187" s="66">
        <f t="shared" si="146"/>
        <v>2.943878698445646E-3</v>
      </c>
      <c r="X187" s="66">
        <f t="shared" si="146"/>
        <v>2.9017305260495125E-3</v>
      </c>
      <c r="Y187" s="66">
        <f t="shared" si="146"/>
        <v>2.8624369677132449E-3</v>
      </c>
      <c r="Z187" s="66">
        <f t="shared" si="146"/>
        <v>2.8253653803849204E-3</v>
      </c>
      <c r="AA187" s="66">
        <f t="shared" si="146"/>
        <v>2.789938056431753E-3</v>
      </c>
      <c r="AB187" s="66">
        <f t="shared" si="146"/>
        <v>2.7556855566933272E-3</v>
      </c>
      <c r="AC187" s="66">
        <f t="shared" si="146"/>
        <v>2.7222524437461601E-3</v>
      </c>
    </row>
    <row r="188" spans="1:29" x14ac:dyDescent="0.25">
      <c r="A188" s="59" t="str">
        <f>A151</f>
        <v>Market failure (av. utilization)</v>
      </c>
      <c r="B188" s="66">
        <f t="shared" ref="B188:AC188" si="147">B177/B151-B177/B150</f>
        <v>5.5230050452651511E-3</v>
      </c>
      <c r="C188" s="66">
        <f t="shared" si="147"/>
        <v>5.4355622505905098E-3</v>
      </c>
      <c r="D188" s="66">
        <f t="shared" si="147"/>
        <v>5.3480541547064071E-3</v>
      </c>
      <c r="E188" s="66">
        <f t="shared" si="147"/>
        <v>5.2604565271271468E-3</v>
      </c>
      <c r="F188" s="66">
        <f t="shared" si="147"/>
        <v>5.1727365915793799E-3</v>
      </c>
      <c r="G188" s="66">
        <f t="shared" si="147"/>
        <v>5.0848503638188164E-3</v>
      </c>
      <c r="H188" s="66">
        <f t="shared" si="147"/>
        <v>4.9967394762341156E-3</v>
      </c>
      <c r="I188" s="66">
        <f t="shared" si="147"/>
        <v>4.9083277155970518E-3</v>
      </c>
      <c r="J188" s="66">
        <f t="shared" si="147"/>
        <v>4.8811635327809227E-3</v>
      </c>
      <c r="K188" s="66">
        <f t="shared" si="147"/>
        <v>4.8533388807628875E-3</v>
      </c>
      <c r="L188" s="66">
        <f t="shared" si="147"/>
        <v>4.8246316842073013E-3</v>
      </c>
      <c r="M188" s="66">
        <f t="shared" si="147"/>
        <v>4.7947776726087951E-3</v>
      </c>
      <c r="N188" s="66">
        <f t="shared" si="147"/>
        <v>4.7634936467574529E-3</v>
      </c>
      <c r="O188" s="66">
        <f t="shared" si="147"/>
        <v>4.7305322012323138E-3</v>
      </c>
      <c r="P188" s="66">
        <f t="shared" si="147"/>
        <v>4.6957759828175401E-3</v>
      </c>
      <c r="Q188" s="66">
        <f t="shared" si="147"/>
        <v>4.6593585907644475E-3</v>
      </c>
      <c r="R188" s="66">
        <f t="shared" si="147"/>
        <v>4.6217602401666859E-3</v>
      </c>
      <c r="S188" s="66">
        <f t="shared" si="147"/>
        <v>4.5837960224179904E-3</v>
      </c>
      <c r="T188" s="66">
        <f t="shared" si="147"/>
        <v>4.546446270964369E-3</v>
      </c>
      <c r="U188" s="66">
        <f t="shared" si="147"/>
        <v>4.5105853242664636E-3</v>
      </c>
      <c r="V188" s="66">
        <f t="shared" si="147"/>
        <v>4.4767555127371381E-3</v>
      </c>
      <c r="W188" s="66">
        <f t="shared" si="147"/>
        <v>4.4451006440438994E-3</v>
      </c>
      <c r="X188" s="66">
        <f t="shared" si="147"/>
        <v>4.4154512682063624E-3</v>
      </c>
      <c r="Y188" s="66">
        <f t="shared" si="147"/>
        <v>4.3874714669247753E-3</v>
      </c>
      <c r="Z188" s="66">
        <f t="shared" si="147"/>
        <v>4.3607855609905672E-3</v>
      </c>
      <c r="AA188" s="66">
        <f t="shared" si="147"/>
        <v>4.3350533863014745E-3</v>
      </c>
      <c r="AB188" s="66">
        <f t="shared" si="147"/>
        <v>4.3100001435192967E-3</v>
      </c>
      <c r="AC188" s="66">
        <f t="shared" si="147"/>
        <v>4.2854187411190793E-3</v>
      </c>
    </row>
    <row r="189" spans="1:29" x14ac:dyDescent="0.25">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75" thickBot="1" x14ac:dyDescent="0.3">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75" thickBot="1" x14ac:dyDescent="0.3">
      <c r="A191" s="31" t="s">
        <v>210</v>
      </c>
      <c r="B191" s="76">
        <f>B180+B181+B182+B183+B184+B185+B186+B187+B188+B189+B190</f>
        <v>1.2875560078180342E-2</v>
      </c>
      <c r="C191" s="67">
        <f t="shared" ref="C191:AC191" si="150">C180+C181+C182+C183+C184+C185+C186+C187+C188+C189+C190</f>
        <v>1.2670616028161654E-2</v>
      </c>
      <c r="D191" s="67">
        <f t="shared" si="150"/>
        <v>1.2465518928433287E-2</v>
      </c>
      <c r="E191" s="67">
        <f t="shared" si="150"/>
        <v>1.2260211988794397E-2</v>
      </c>
      <c r="F191" s="67">
        <f t="shared" si="150"/>
        <v>1.2054618389854319E-2</v>
      </c>
      <c r="G191" s="67">
        <f t="shared" si="150"/>
        <v>1.1848635043540497E-2</v>
      </c>
      <c r="H191" s="67">
        <f t="shared" si="150"/>
        <v>1.1642125150763854E-2</v>
      </c>
      <c r="I191" s="67">
        <f t="shared" si="150"/>
        <v>1.1434910086770734E-2</v>
      </c>
      <c r="J191" s="67">
        <f t="shared" si="150"/>
        <v>1.1371244033295433E-2</v>
      </c>
      <c r="K191" s="67">
        <f t="shared" si="150"/>
        <v>1.1306030005128163E-2</v>
      </c>
      <c r="L191" s="67">
        <f t="shared" si="150"/>
        <v>1.123874751320101E-2</v>
      </c>
      <c r="M191" s="67">
        <f t="shared" si="150"/>
        <v>1.1168777173517009E-2</v>
      </c>
      <c r="N191" s="67">
        <f t="shared" si="150"/>
        <v>1.1095455237927928E-2</v>
      </c>
      <c r="O191" s="67">
        <f t="shared" si="150"/>
        <v>1.1018201849978381E-2</v>
      </c>
      <c r="P191" s="67">
        <f t="shared" si="150"/>
        <v>1.0936741963068755E-2</v>
      </c>
      <c r="Q191" s="67">
        <f t="shared" si="150"/>
        <v>1.0851388700444321E-2</v>
      </c>
      <c r="R191" s="67">
        <f t="shared" si="150"/>
        <v>1.0763267566230816E-2</v>
      </c>
      <c r="S191" s="67">
        <f t="shared" si="150"/>
        <v>1.0674288930882309E-2</v>
      </c>
      <c r="T191" s="67">
        <f t="shared" si="150"/>
        <v>1.0586750450912886E-2</v>
      </c>
      <c r="U191" s="67">
        <f t="shared" si="150"/>
        <v>1.050270135708967E-2</v>
      </c>
      <c r="V191" s="67">
        <f t="shared" si="150"/>
        <v>1.0423412736317814E-2</v>
      </c>
      <c r="W191" s="67">
        <f t="shared" si="150"/>
        <v>1.0349221637818037E-2</v>
      </c>
      <c r="X191" s="67">
        <f t="shared" si="150"/>
        <v>1.0279730913198807E-2</v>
      </c>
      <c r="Y191" s="67">
        <f t="shared" si="150"/>
        <v>1.0214153253945089E-2</v>
      </c>
      <c r="Z191" s="67">
        <f t="shared" si="150"/>
        <v>1.0151608161911787E-2</v>
      </c>
      <c r="AA191" s="67">
        <f t="shared" si="150"/>
        <v>1.0091298377484226E-2</v>
      </c>
      <c r="AB191" s="67">
        <f t="shared" si="150"/>
        <v>1.0032579839713498E-2</v>
      </c>
      <c r="AC191" s="67">
        <f t="shared" si="150"/>
        <v>9.9749671778379886E-3</v>
      </c>
    </row>
    <row r="193" spans="2:2" x14ac:dyDescent="0.25">
      <c r="B193" s="40"/>
    </row>
    <row r="215" spans="1:44" s="3" customFormat="1" ht="21" x14ac:dyDescent="0.35">
      <c r="A215" s="2" t="str">
        <f>'Parameter Input'!A235</f>
        <v>Short-sea: Break bulk</v>
      </c>
    </row>
    <row r="216" spans="1:44" s="3" customFormat="1" ht="21" x14ac:dyDescent="0.35">
      <c r="A216" s="2" t="s">
        <v>279</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Input'!$L$212</f>
        <v>15000000</v>
      </c>
      <c r="C225" s="42">
        <f>'Parameter Input'!$M$212</f>
        <v>15000000</v>
      </c>
      <c r="D225" s="1" t="s">
        <v>15</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25">
      <c r="A226" s="24" t="s">
        <v>28</v>
      </c>
      <c r="B226" s="60">
        <f>'Parameter Input'!$L$213</f>
        <v>-1500000</v>
      </c>
      <c r="C226" s="61">
        <f>'Parameter Input'!$M$213</f>
        <v>-750000</v>
      </c>
      <c r="D226" s="1" t="s">
        <v>15</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25">
      <c r="A229" s="24" t="s">
        <v>79</v>
      </c>
      <c r="B229" s="92">
        <f>'Parameter Input'!$L$219</f>
        <v>0.06</v>
      </c>
      <c r="C229" s="91">
        <f>'Parameter Input'!$M$219</f>
        <v>0.06</v>
      </c>
      <c r="D229" s="1" t="s">
        <v>57</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25">
      <c r="A231" s="24" t="s">
        <v>52</v>
      </c>
      <c r="B231" s="60">
        <f>'Parameter Input'!$L$215</f>
        <v>488235.29411764705</v>
      </c>
      <c r="C231" s="61">
        <f>'Parameter Input'!$M$215</f>
        <v>488235.29411764705</v>
      </c>
      <c r="D231" s="1" t="s">
        <v>38</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25">
      <c r="A233" s="24" t="s">
        <v>59</v>
      </c>
      <c r="B233" s="60">
        <f>'Parameter Input'!$L$216</f>
        <v>647</v>
      </c>
      <c r="C233" s="61">
        <f>'Parameter Input'!$M$216</f>
        <v>600</v>
      </c>
      <c r="D233" s="1" t="s">
        <v>60</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25">
      <c r="A234" s="24" t="s">
        <v>67</v>
      </c>
      <c r="B234" s="78">
        <f>'Parameter Input'!$L$217</f>
        <v>0.06</v>
      </c>
      <c r="C234" s="61">
        <f>'Parameter Input'!$M$217</f>
        <v>0.06</v>
      </c>
      <c r="D234" s="1" t="s">
        <v>68</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25">
      <c r="A235" s="24" t="s">
        <v>206</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25">
      <c r="A236" s="24" t="s">
        <v>41</v>
      </c>
      <c r="B236" s="60">
        <f>'Parameter Input'!$L$214</f>
        <v>25</v>
      </c>
      <c r="C236" s="61">
        <f>'Parameter Input'!$M$214</f>
        <v>25</v>
      </c>
      <c r="D236" s="1" t="s">
        <v>42</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25">
      <c r="A240" s="24" t="s">
        <v>73</v>
      </c>
      <c r="B240" s="45">
        <f>'Parameter Input'!$L$218</f>
        <v>0</v>
      </c>
      <c r="C240" s="46">
        <f>'Parameter Input'!$M$218</f>
        <v>0</v>
      </c>
      <c r="D240" s="1" t="s">
        <v>57</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25">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25">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25">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25">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25">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25">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25">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25">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25">
      <c r="A254" s="30" t="str">
        <f t="shared" si="156"/>
        <v>Fuel Cost</v>
      </c>
      <c r="B254" s="62">
        <f>'Parameter Input'!J9</f>
        <v>6.4802641056422569E-2</v>
      </c>
      <c r="C254" s="62">
        <f>'Parameter Input'!K9</f>
        <v>6.3089795918367345E-2</v>
      </c>
      <c r="D254" s="62">
        <f>'Parameter Input'!L9</f>
        <v>6.1376950780312127E-2</v>
      </c>
      <c r="E254" s="62">
        <f>'Parameter Input'!M9</f>
        <v>5.9664105642256909E-2</v>
      </c>
      <c r="F254" s="62">
        <f>'Parameter Input'!N9</f>
        <v>5.7951260504201692E-2</v>
      </c>
      <c r="G254" s="62">
        <f>'Parameter Input'!O9</f>
        <v>5.6238415366146474E-2</v>
      </c>
      <c r="H254" s="62">
        <f>'Parameter Input'!P9</f>
        <v>5.4525570228091257E-2</v>
      </c>
      <c r="I254" s="62">
        <f>'Parameter Input'!Q9</f>
        <v>5.2812725090036025E-2</v>
      </c>
      <c r="J254" s="62">
        <f>'Parameter Input'!R9</f>
        <v>5.2313145258103252E-2</v>
      </c>
      <c r="K254" s="62">
        <f>'Parameter Input'!S9</f>
        <v>5.181356542617048E-2</v>
      </c>
      <c r="L254" s="62">
        <f>'Parameter Input'!T9</f>
        <v>5.1313985594237707E-2</v>
      </c>
      <c r="M254" s="62">
        <f>'Parameter Input'!U9</f>
        <v>5.0814405762304934E-2</v>
      </c>
      <c r="N254" s="62">
        <f>'Parameter Input'!V9</f>
        <v>5.0314825930372155E-2</v>
      </c>
      <c r="O254" s="62">
        <f>'Parameter Input'!W9</f>
        <v>4.9815246098439382E-2</v>
      </c>
      <c r="P254" s="62">
        <f>'Parameter Input'!X9</f>
        <v>4.931566626650661E-2</v>
      </c>
      <c r="Q254" s="62">
        <f>'Parameter Input'!Y9</f>
        <v>4.8816086434573837E-2</v>
      </c>
      <c r="R254" s="62">
        <f>'Parameter Input'!Z9</f>
        <v>4.8316506602641064E-2</v>
      </c>
      <c r="S254" s="62">
        <f>'Parameter Input'!AA9</f>
        <v>4.7816926770708292E-2</v>
      </c>
      <c r="T254" s="62">
        <f>'Parameter Input'!AB9</f>
        <v>4.7317346938775519E-2</v>
      </c>
      <c r="U254" s="62">
        <f>'Parameter Input'!AC9</f>
        <v>4.6817767106842746E-2</v>
      </c>
      <c r="V254" s="62">
        <f>'Parameter Input'!AD9</f>
        <v>4.6318187274909974E-2</v>
      </c>
      <c r="W254" s="62">
        <f>'Parameter Input'!AE9</f>
        <v>4.5818607442977201E-2</v>
      </c>
      <c r="X254" s="62">
        <f>'Parameter Input'!AF9</f>
        <v>4.5319027611044428E-2</v>
      </c>
      <c r="Y254" s="62">
        <f>'Parameter Input'!AG9</f>
        <v>4.4819447779111656E-2</v>
      </c>
      <c r="Z254" s="62">
        <f>'Parameter Input'!AH9</f>
        <v>4.4319867947178883E-2</v>
      </c>
      <c r="AA254" s="62">
        <f>'Parameter Input'!AI9</f>
        <v>4.382028811524611E-2</v>
      </c>
      <c r="AB254" s="62">
        <f>'Parameter Input'!AJ9</f>
        <v>4.3320708283313338E-2</v>
      </c>
      <c r="AC254" s="62">
        <f>'Parameter Input'!AK9</f>
        <v>4.2821128451380565E-2</v>
      </c>
    </row>
    <row r="255" spans="1:44" x14ac:dyDescent="0.25">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25">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25">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25">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25">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25">
      <c r="A260" s="30" t="s">
        <v>73</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25">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25">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25">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25">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25">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25">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25">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25">
      <c r="A271" s="30" t="str">
        <f>A254</f>
        <v>Fuel Cost</v>
      </c>
      <c r="B271" s="62">
        <f>B253*B254*B261</f>
        <v>5030474.3493577521</v>
      </c>
      <c r="C271" s="62">
        <f t="shared" ref="C271:AC271" si="200">C253*C254*C261</f>
        <v>4897172.180326472</v>
      </c>
      <c r="D271" s="62">
        <f t="shared" si="200"/>
        <v>4763746.4515667846</v>
      </c>
      <c r="E271" s="62">
        <f t="shared" si="200"/>
        <v>4630149.9344678698</v>
      </c>
      <c r="F271" s="62">
        <f t="shared" si="200"/>
        <v>4496318.0443188623</v>
      </c>
      <c r="G271" s="62">
        <f t="shared" si="200"/>
        <v>4362163.0532047693</v>
      </c>
      <c r="H271" s="62">
        <f t="shared" si="200"/>
        <v>4227566.9334378485</v>
      </c>
      <c r="I271" s="62">
        <f t="shared" si="200"/>
        <v>4092373.0949858506</v>
      </c>
      <c r="J271" s="62">
        <f t="shared" si="200"/>
        <v>4050314.4124354781</v>
      </c>
      <c r="K271" s="62">
        <f t="shared" si="200"/>
        <v>4006980.4239330562</v>
      </c>
      <c r="L271" s="62">
        <f t="shared" si="200"/>
        <v>3961936.8338015652</v>
      </c>
      <c r="M271" s="62">
        <f t="shared" si="200"/>
        <v>3914663.75605402</v>
      </c>
      <c r="N271" s="62">
        <f t="shared" si="200"/>
        <v>3864599.0759500815</v>
      </c>
      <c r="O271" s="62">
        <f t="shared" si="200"/>
        <v>3811242.9973808406</v>
      </c>
      <c r="P271" s="62">
        <f t="shared" si="200"/>
        <v>3754340.5707043787</v>
      </c>
      <c r="Q271" s="62">
        <f t="shared" si="200"/>
        <v>3694118.8466636306</v>
      </c>
      <c r="R271" s="62">
        <f t="shared" si="200"/>
        <v>3631479.206963005</v>
      </c>
      <c r="S271" s="62">
        <f t="shared" si="200"/>
        <v>3567984.2593302522</v>
      </c>
      <c r="T271" s="62">
        <f t="shared" si="200"/>
        <v>3505536.7182509466</v>
      </c>
      <c r="U271" s="62">
        <f t="shared" si="200"/>
        <v>3445854.0795768206</v>
      </c>
      <c r="V271" s="62">
        <f t="shared" si="200"/>
        <v>3390022.8193593128</v>
      </c>
      <c r="W271" s="62">
        <f t="shared" si="200"/>
        <v>3338358.4440373629</v>
      </c>
      <c r="X271" s="62">
        <f t="shared" si="200"/>
        <v>3290562.4165401473</v>
      </c>
      <c r="Y271" s="62">
        <f t="shared" si="200"/>
        <v>3246003.5213868194</v>
      </c>
      <c r="Z271" s="62">
        <f t="shared" si="200"/>
        <v>3203964.3413565001</v>
      </c>
      <c r="AA271" s="62">
        <f t="shared" si="200"/>
        <v>3163789.7559936079</v>
      </c>
      <c r="AB271" s="62">
        <f t="shared" si="200"/>
        <v>3124947.4212902333</v>
      </c>
      <c r="AC271" s="62">
        <f t="shared" si="200"/>
        <v>3087034.2712081457</v>
      </c>
    </row>
    <row r="272" spans="1:29" ht="15.75" thickBot="1" x14ac:dyDescent="0.3">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75" thickBot="1" x14ac:dyDescent="0.3">
      <c r="A273" s="31" t="s">
        <v>209</v>
      </c>
      <c r="B273" s="64">
        <f>B264+B265+B266+B267+B268+B269+B270+B271+B272</f>
        <v>7951075.2171062566</v>
      </c>
      <c r="C273" s="64">
        <f t="shared" ref="C273:AC273" si="202">C264+C265+C266+C267+C268+C269+C270+C271+C272</f>
        <v>7817828.7935461057</v>
      </c>
      <c r="D273" s="64">
        <f t="shared" si="202"/>
        <v>7684482.8631867114</v>
      </c>
      <c r="E273" s="64">
        <f t="shared" si="202"/>
        <v>7551000.5033110883</v>
      </c>
      <c r="F273" s="64">
        <f t="shared" si="202"/>
        <v>7417331.7690242082</v>
      </c>
      <c r="G273" s="64">
        <f t="shared" si="202"/>
        <v>7283409.6365848146</v>
      </c>
      <c r="H273" s="64">
        <f t="shared" si="202"/>
        <v>7149145.1646971516</v>
      </c>
      <c r="I273" s="64">
        <f t="shared" si="202"/>
        <v>7014422.2186913844</v>
      </c>
      <c r="J273" s="64">
        <f t="shared" si="202"/>
        <v>6973029.0973638827</v>
      </c>
      <c r="K273" s="64">
        <f t="shared" si="202"/>
        <v>6930629.5448106527</v>
      </c>
      <c r="L273" s="64">
        <f t="shared" si="202"/>
        <v>6886885.1598592922</v>
      </c>
      <c r="M273" s="64">
        <f t="shared" si="202"/>
        <v>6841393.2438103436</v>
      </c>
      <c r="N273" s="64">
        <f t="shared" si="202"/>
        <v>6793722.2541677468</v>
      </c>
      <c r="O273" s="64">
        <f t="shared" si="202"/>
        <v>6743495.1914584693</v>
      </c>
      <c r="P273" s="64">
        <f t="shared" si="202"/>
        <v>6690533.2313853055</v>
      </c>
      <c r="Q273" s="64">
        <f t="shared" si="202"/>
        <v>6635039.9541574046</v>
      </c>
      <c r="R273" s="64">
        <f t="shared" si="202"/>
        <v>6577747.1175371511</v>
      </c>
      <c r="S273" s="64">
        <f t="shared" si="202"/>
        <v>6519896.7679789662</v>
      </c>
      <c r="T273" s="64">
        <f t="shared" si="202"/>
        <v>6462982.7498420458</v>
      </c>
      <c r="U273" s="64">
        <f t="shared" si="202"/>
        <v>6408337.3910019444</v>
      </c>
      <c r="V273" s="64">
        <f t="shared" si="202"/>
        <v>6356787.1013209149</v>
      </c>
      <c r="W273" s="64">
        <f t="shared" si="202"/>
        <v>6308551.0167202987</v>
      </c>
      <c r="X273" s="64">
        <f t="shared" si="202"/>
        <v>6263370.9272018615</v>
      </c>
      <c r="Y273" s="64">
        <f t="shared" si="202"/>
        <v>6220734.9562614644</v>
      </c>
      <c r="Z273" s="64">
        <f t="shared" si="202"/>
        <v>6180070.6392250918</v>
      </c>
      <c r="AA273" s="64">
        <f t="shared" si="202"/>
        <v>6140859.629781669</v>
      </c>
      <c r="AB273" s="64">
        <f t="shared" si="202"/>
        <v>6102683.1852646535</v>
      </c>
      <c r="AC273" s="64">
        <f t="shared" si="202"/>
        <v>6065225.7370196711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25">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25">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25">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25">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25">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25">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25">
      <c r="A283" s="30" t="str">
        <f t="shared" si="203"/>
        <v>Fuel Cost</v>
      </c>
      <c r="B283" s="66">
        <f>B253*B254*B261/B261</f>
        <v>41.92061957798127</v>
      </c>
      <c r="C283" s="66">
        <f t="shared" ref="C283:AC283" si="211">C253*C254*C261/C261</f>
        <v>40.809768169387269</v>
      </c>
      <c r="D283" s="66">
        <f t="shared" si="211"/>
        <v>39.69788709638987</v>
      </c>
      <c r="E283" s="66">
        <f t="shared" si="211"/>
        <v>38.58458278723225</v>
      </c>
      <c r="F283" s="66">
        <f t="shared" si="211"/>
        <v>37.469317035990521</v>
      </c>
      <c r="G283" s="66">
        <f t="shared" si="211"/>
        <v>36.351358776706412</v>
      </c>
      <c r="H283" s="66">
        <f t="shared" si="211"/>
        <v>35.229724445315405</v>
      </c>
      <c r="I283" s="66">
        <f t="shared" si="211"/>
        <v>34.103109124882089</v>
      </c>
      <c r="J283" s="66">
        <f t="shared" si="211"/>
        <v>33.752620103628985</v>
      </c>
      <c r="K283" s="66">
        <f t="shared" si="211"/>
        <v>33.391503532775467</v>
      </c>
      <c r="L283" s="66">
        <f t="shared" si="211"/>
        <v>33.016140281679711</v>
      </c>
      <c r="M283" s="66">
        <f t="shared" si="211"/>
        <v>32.622197967116833</v>
      </c>
      <c r="N283" s="66">
        <f t="shared" si="211"/>
        <v>32.204992299584013</v>
      </c>
      <c r="O283" s="66">
        <f t="shared" si="211"/>
        <v>31.760358311507005</v>
      </c>
      <c r="P283" s="66">
        <f t="shared" si="211"/>
        <v>31.286171422536487</v>
      </c>
      <c r="Q283" s="66">
        <f t="shared" si="211"/>
        <v>30.78432372219692</v>
      </c>
      <c r="R283" s="66">
        <f t="shared" si="211"/>
        <v>30.262326724691707</v>
      </c>
      <c r="S283" s="66">
        <f t="shared" si="211"/>
        <v>29.733202161085433</v>
      </c>
      <c r="T283" s="66">
        <f t="shared" si="211"/>
        <v>29.212805985424556</v>
      </c>
      <c r="U283" s="66">
        <f t="shared" si="211"/>
        <v>28.715450663140171</v>
      </c>
      <c r="V283" s="66">
        <f t="shared" si="211"/>
        <v>28.250190161327605</v>
      </c>
      <c r="W283" s="66">
        <f t="shared" si="211"/>
        <v>27.819653700311356</v>
      </c>
      <c r="X283" s="66">
        <f t="shared" si="211"/>
        <v>27.421353471167894</v>
      </c>
      <c r="Y283" s="66">
        <f t="shared" si="211"/>
        <v>27.050029344890163</v>
      </c>
      <c r="Z283" s="66">
        <f t="shared" si="211"/>
        <v>26.6997028446375</v>
      </c>
      <c r="AA283" s="66">
        <f t="shared" si="211"/>
        <v>26.364914633280065</v>
      </c>
      <c r="AB283" s="66">
        <f t="shared" si="211"/>
        <v>26.041228510751942</v>
      </c>
      <c r="AC283" s="66">
        <f t="shared" si="211"/>
        <v>25.725285593401214</v>
      </c>
    </row>
    <row r="284" spans="1:29" ht="15.75" thickBot="1" x14ac:dyDescent="0.3">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75" thickBot="1" x14ac:dyDescent="0.3">
      <c r="A285" s="31" t="s">
        <v>63</v>
      </c>
      <c r="B285" s="76">
        <f>B276+B277+B278-B279+B280+B281+B282+B283+B284</f>
        <v>66.389338006239257</v>
      </c>
      <c r="C285" s="76">
        <f t="shared" ref="C285:AC285" si="213">C276+C277+C278-C279+C280+C281+C282+C283+C284</f>
        <v>65.278951143238004</v>
      </c>
      <c r="D285" s="76">
        <f t="shared" si="213"/>
        <v>64.167735056909706</v>
      </c>
      <c r="E285" s="76">
        <f t="shared" si="213"/>
        <v>63.055382057946197</v>
      </c>
      <c r="F285" s="76">
        <f t="shared" si="213"/>
        <v>61.941475938888857</v>
      </c>
      <c r="G285" s="76">
        <f t="shared" si="213"/>
        <v>60.82545816856058</v>
      </c>
      <c r="H285" s="76">
        <f t="shared" si="213"/>
        <v>59.706587569496726</v>
      </c>
      <c r="I285" s="76">
        <f t="shared" si="213"/>
        <v>58.583896352781991</v>
      </c>
      <c r="J285" s="76">
        <f t="shared" si="213"/>
        <v>58.238953675052812</v>
      </c>
      <c r="K285" s="76">
        <f t="shared" si="213"/>
        <v>57.88562407044256</v>
      </c>
      <c r="L285" s="76">
        <f t="shared" si="213"/>
        <v>57.521087529181223</v>
      </c>
      <c r="M285" s="76">
        <f t="shared" si="213"/>
        <v>57.141988228773315</v>
      </c>
      <c r="N285" s="76">
        <f t="shared" si="213"/>
        <v>56.744729981751682</v>
      </c>
      <c r="O285" s="76">
        <f t="shared" si="213"/>
        <v>56.326171125841029</v>
      </c>
      <c r="P285" s="76">
        <f t="shared" si="213"/>
        <v>55.884821458564673</v>
      </c>
      <c r="Q285" s="76">
        <f t="shared" si="213"/>
        <v>55.422377481665492</v>
      </c>
      <c r="R285" s="76">
        <f t="shared" si="213"/>
        <v>54.944937176496708</v>
      </c>
      <c r="S285" s="76">
        <f t="shared" si="213"/>
        <v>54.462850930178504</v>
      </c>
      <c r="T285" s="76">
        <f t="shared" si="213"/>
        <v>53.988567445704177</v>
      </c>
      <c r="U285" s="76">
        <f t="shared" si="213"/>
        <v>53.533189455369993</v>
      </c>
      <c r="V285" s="76">
        <f t="shared" si="213"/>
        <v>53.103603708028075</v>
      </c>
      <c r="W285" s="76">
        <f t="shared" si="213"/>
        <v>52.701636336356273</v>
      </c>
      <c r="X285" s="76">
        <f t="shared" si="213"/>
        <v>52.3251355903693</v>
      </c>
      <c r="Y285" s="76">
        <f t="shared" si="213"/>
        <v>51.969835832532659</v>
      </c>
      <c r="Z285" s="76">
        <f t="shared" si="213"/>
        <v>51.63096652389622</v>
      </c>
      <c r="AA285" s="76">
        <f t="shared" si="213"/>
        <v>51.304208111867702</v>
      </c>
      <c r="AB285" s="76">
        <f t="shared" si="213"/>
        <v>50.986071074225897</v>
      </c>
      <c r="AC285" s="76">
        <f t="shared" si="213"/>
        <v>50.673925672184382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25">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25">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25">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25">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25">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25">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25">
      <c r="A295" s="30" t="str">
        <f t="shared" si="214"/>
        <v>Fuel Cost</v>
      </c>
      <c r="B295" s="66">
        <f>B253*B254*B261/B261/(B258)</f>
        <v>4.4360443997863777E-3</v>
      </c>
      <c r="C295" s="66">
        <f t="shared" ref="C295:AC295" si="222">C253*C254*C261/C261/(C258)</f>
        <v>4.3184939861785473E-3</v>
      </c>
      <c r="D295" s="66">
        <f t="shared" si="222"/>
        <v>4.2008346133745895E-3</v>
      </c>
      <c r="E295" s="66">
        <f t="shared" si="222"/>
        <v>4.0830246335695503E-3</v>
      </c>
      <c r="F295" s="66">
        <f t="shared" si="222"/>
        <v>3.9650070937556105E-3</v>
      </c>
      <c r="G295" s="66">
        <f t="shared" si="222"/>
        <v>3.8467046324557048E-3</v>
      </c>
      <c r="H295" s="66">
        <f t="shared" si="222"/>
        <v>3.7280131688164448E-3</v>
      </c>
      <c r="I295" s="66">
        <f t="shared" si="222"/>
        <v>3.6087946163896388E-3</v>
      </c>
      <c r="J295" s="66">
        <f t="shared" si="222"/>
        <v>3.5717058310718503E-3</v>
      </c>
      <c r="K295" s="66">
        <f t="shared" si="222"/>
        <v>3.5334924373307372E-3</v>
      </c>
      <c r="L295" s="66">
        <f t="shared" si="222"/>
        <v>3.4937714583788055E-3</v>
      </c>
      <c r="M295" s="66">
        <f t="shared" si="222"/>
        <v>3.4520844409647441E-3</v>
      </c>
      <c r="N295" s="66">
        <f t="shared" si="222"/>
        <v>3.4079356930776733E-3</v>
      </c>
      <c r="O295" s="66">
        <f t="shared" si="222"/>
        <v>3.3608844774081488E-3</v>
      </c>
      <c r="P295" s="66">
        <f t="shared" si="222"/>
        <v>3.3107059706387817E-3</v>
      </c>
      <c r="Q295" s="66">
        <f t="shared" si="222"/>
        <v>3.2576003938832717E-3</v>
      </c>
      <c r="R295" s="66">
        <f t="shared" si="222"/>
        <v>3.202362616369493E-3</v>
      </c>
      <c r="S295" s="66">
        <f t="shared" si="222"/>
        <v>3.1463705990566596E-3</v>
      </c>
      <c r="T295" s="66">
        <f t="shared" si="222"/>
        <v>3.091302220679847E-3</v>
      </c>
      <c r="U295" s="66">
        <f t="shared" si="222"/>
        <v>3.0386720278455207E-3</v>
      </c>
      <c r="V295" s="66">
        <f t="shared" si="222"/>
        <v>2.9894381123097996E-3</v>
      </c>
      <c r="W295" s="66">
        <f t="shared" si="222"/>
        <v>2.943878698445646E-3</v>
      </c>
      <c r="X295" s="66">
        <f t="shared" si="222"/>
        <v>2.9017305260495125E-3</v>
      </c>
      <c r="Y295" s="66">
        <f t="shared" si="222"/>
        <v>2.8624369677132449E-3</v>
      </c>
      <c r="Z295" s="66">
        <f t="shared" si="222"/>
        <v>2.8253653803849204E-3</v>
      </c>
      <c r="AA295" s="66">
        <f t="shared" si="222"/>
        <v>2.789938056431753E-3</v>
      </c>
      <c r="AB295" s="66">
        <f t="shared" si="222"/>
        <v>2.7556855566933272E-3</v>
      </c>
      <c r="AC295" s="66">
        <f t="shared" si="222"/>
        <v>2.7222524437461601E-3</v>
      </c>
    </row>
    <row r="296" spans="1:29" x14ac:dyDescent="0.25">
      <c r="A296" s="59" t="str">
        <f>A259</f>
        <v>Market failure (av. utilization)</v>
      </c>
      <c r="B296" s="66">
        <f t="shared" ref="B296:AC296" si="223">B285/B259-B285/B258</f>
        <v>6.4849170213664717E-3</v>
      </c>
      <c r="C296" s="66">
        <f t="shared" si="223"/>
        <v>6.3764543241258131E-3</v>
      </c>
      <c r="D296" s="66">
        <f t="shared" si="223"/>
        <v>6.267910628269569E-3</v>
      </c>
      <c r="E296" s="66">
        <f t="shared" si="223"/>
        <v>6.1592558786760622E-3</v>
      </c>
      <c r="F296" s="66">
        <f t="shared" si="223"/>
        <v>6.0504494201600832E-3</v>
      </c>
      <c r="G296" s="66">
        <f t="shared" si="223"/>
        <v>5.9414366953416935E-3</v>
      </c>
      <c r="H296" s="66">
        <f t="shared" si="223"/>
        <v>5.8321453059337457E-3</v>
      </c>
      <c r="I296" s="66">
        <f t="shared" si="223"/>
        <v>5.7224807182204625E-3</v>
      </c>
      <c r="J296" s="66">
        <f t="shared" si="223"/>
        <v>5.6887866837658421E-3</v>
      </c>
      <c r="K296" s="66">
        <f t="shared" si="223"/>
        <v>5.6542734134742431E-3</v>
      </c>
      <c r="L296" s="66">
        <f t="shared" si="223"/>
        <v>5.6186654485158713E-3</v>
      </c>
      <c r="M296" s="66">
        <f t="shared" si="223"/>
        <v>5.5816349918215687E-3</v>
      </c>
      <c r="N296" s="66">
        <f t="shared" si="223"/>
        <v>5.5428307674482719E-3</v>
      </c>
      <c r="O296" s="66">
        <f t="shared" si="223"/>
        <v>5.5019458975180489E-3</v>
      </c>
      <c r="P296" s="66">
        <f t="shared" si="223"/>
        <v>5.4588348189074159E-3</v>
      </c>
      <c r="Q296" s="66">
        <f t="shared" si="223"/>
        <v>5.4136632460723318E-3</v>
      </c>
      <c r="R296" s="66">
        <f t="shared" si="223"/>
        <v>5.3670268304270279E-3</v>
      </c>
      <c r="S296" s="66">
        <f t="shared" si="223"/>
        <v>5.3199365987964342E-3</v>
      </c>
      <c r="T296" s="66">
        <f t="shared" si="223"/>
        <v>5.2736085417049265E-3</v>
      </c>
      <c r="U296" s="66">
        <f t="shared" si="223"/>
        <v>5.2291271751277154E-3</v>
      </c>
      <c r="V296" s="66">
        <f t="shared" si="223"/>
        <v>5.1871651973653798E-3</v>
      </c>
      <c r="W296" s="66">
        <f t="shared" si="223"/>
        <v>5.1479009852362662E-3</v>
      </c>
      <c r="X296" s="66">
        <f t="shared" si="223"/>
        <v>5.1111243555916298E-3</v>
      </c>
      <c r="Y296" s="66">
        <f t="shared" si="223"/>
        <v>5.0764186405404315E-3</v>
      </c>
      <c r="Z296" s="66">
        <f t="shared" si="223"/>
        <v>5.0433178533720356E-3</v>
      </c>
      <c r="AA296" s="66">
        <f t="shared" si="223"/>
        <v>5.0114000597672979E-3</v>
      </c>
      <c r="AB296" s="66">
        <f t="shared" si="223"/>
        <v>4.9803244028547881E-3</v>
      </c>
      <c r="AC296" s="66">
        <f t="shared" si="223"/>
        <v>4.9498340094929804E-3</v>
      </c>
    </row>
    <row r="297" spans="1:29" x14ac:dyDescent="0.25">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75" thickBot="1" x14ac:dyDescent="0.3">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75" thickBot="1" x14ac:dyDescent="0.3">
      <c r="A299" s="31" t="s">
        <v>210</v>
      </c>
      <c r="B299" s="77">
        <f>B288+B289+B290+B291+B292+B293+B294+B295+B296+B297+B298</f>
        <v>1.3496447195181512E-2</v>
      </c>
      <c r="C299" s="67">
        <f t="shared" ref="C299:AC299" si="226">C288+C289+C290+C291+C292+C293+C294+C295+C296+C297+C298</f>
        <v>1.3270483242596807E-2</v>
      </c>
      <c r="D299" s="67">
        <f t="shared" si="226"/>
        <v>1.3044350542896297E-2</v>
      </c>
      <c r="E299" s="67">
        <f t="shared" si="226"/>
        <v>1.281798648124316E-2</v>
      </c>
      <c r="F299" s="67">
        <f t="shared" si="226"/>
        <v>1.2591306359334871E-2</v>
      </c>
      <c r="G299" s="67">
        <f t="shared" si="226"/>
        <v>1.2364196515963223E-2</v>
      </c>
      <c r="H299" s="67">
        <f t="shared" si="226"/>
        <v>1.2136506121363333E-2</v>
      </c>
      <c r="I299" s="67">
        <f t="shared" si="226"/>
        <v>1.1908038230293993E-2</v>
      </c>
      <c r="J299" s="67">
        <f t="shared" si="226"/>
        <v>1.18378423251802E-2</v>
      </c>
      <c r="K299" s="67">
        <f t="shared" si="226"/>
        <v>1.176593967873937E-2</v>
      </c>
      <c r="L299" s="67">
        <f t="shared" si="226"/>
        <v>1.1691756418409426E-2</v>
      </c>
      <c r="M299" s="67">
        <f t="shared" si="226"/>
        <v>1.1614609633629631E-2</v>
      </c>
      <c r="N299" s="67">
        <f t="shared" si="226"/>
        <v>1.1533767499518595E-2</v>
      </c>
      <c r="O299" s="67">
        <f t="shared" si="226"/>
        <v>1.1448590687163964E-2</v>
      </c>
      <c r="P299" s="67">
        <f t="shared" si="226"/>
        <v>1.1358775940058479E-2</v>
      </c>
      <c r="Q299" s="67">
        <f t="shared" si="226"/>
        <v>1.1264668496652053E-2</v>
      </c>
      <c r="R299" s="67">
        <f t="shared" si="226"/>
        <v>1.1167509297391007E-2</v>
      </c>
      <c r="S299" s="67">
        <f t="shared" si="226"/>
        <v>1.1069404648160603E-2</v>
      </c>
      <c r="T299" s="67">
        <f t="shared" si="226"/>
        <v>1.0972887862553292E-2</v>
      </c>
      <c r="U299" s="67">
        <f t="shared" si="226"/>
        <v>1.0880218348850772E-2</v>
      </c>
      <c r="V299" s="67">
        <f t="shared" si="226"/>
        <v>1.0792797561845905E-2</v>
      </c>
      <c r="W299" s="67">
        <f t="shared" si="226"/>
        <v>1.071099711991025E-2</v>
      </c>
      <c r="X299" s="67">
        <f t="shared" si="226"/>
        <v>1.0634379141483925E-2</v>
      </c>
      <c r="Y299" s="67">
        <f t="shared" si="226"/>
        <v>1.0562075568460595E-2</v>
      </c>
      <c r="Z299" s="67">
        <f t="shared" si="226"/>
        <v>1.0493115595193104E-2</v>
      </c>
      <c r="AA299" s="67">
        <f t="shared" si="226"/>
        <v>1.0426620191849898E-2</v>
      </c>
      <c r="AB299" s="67">
        <f t="shared" si="226"/>
        <v>1.0361879239948839E-2</v>
      </c>
      <c r="AC299" s="67">
        <f t="shared" si="226"/>
        <v>1.0298357587111739E-2</v>
      </c>
    </row>
    <row r="301" spans="1:29" x14ac:dyDescent="0.25">
      <c r="B301" s="40"/>
    </row>
    <row r="324" spans="1:44" s="3" customFormat="1" ht="21" x14ac:dyDescent="0.35">
      <c r="A324" s="2" t="str">
        <f>'Parameter Input'!A248</f>
        <v>Short-sea:  Neo bulk</v>
      </c>
    </row>
    <row r="325" spans="1:44" s="3" customFormat="1" ht="21" x14ac:dyDescent="0.35">
      <c r="A325" s="2" t="s">
        <v>279</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Input'!$L$212</f>
        <v>15000000</v>
      </c>
      <c r="C334" s="42">
        <f>'Parameter Input'!$M$212</f>
        <v>15000000</v>
      </c>
      <c r="D334" s="1" t="s">
        <v>15</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25">
      <c r="A335" s="24" t="s">
        <v>28</v>
      </c>
      <c r="B335" s="60">
        <f>'Parameter Input'!$L$213</f>
        <v>-1500000</v>
      </c>
      <c r="C335" s="61">
        <f>'Parameter Input'!$M$213</f>
        <v>-750000</v>
      </c>
      <c r="D335" s="1" t="s">
        <v>15</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25">
      <c r="A338" s="24" t="s">
        <v>79</v>
      </c>
      <c r="B338" s="92">
        <f>'Parameter Input'!$L$219</f>
        <v>0.06</v>
      </c>
      <c r="C338" s="91">
        <f>'Parameter Input'!$M$219</f>
        <v>0.06</v>
      </c>
      <c r="D338" s="1" t="s">
        <v>57</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25">
      <c r="A340" s="24" t="s">
        <v>52</v>
      </c>
      <c r="B340" s="60">
        <f>'Parameter Input'!$L$215</f>
        <v>488235.29411764705</v>
      </c>
      <c r="C340" s="61">
        <f>'Parameter Input'!$M$215</f>
        <v>488235.29411764705</v>
      </c>
      <c r="D340" s="1" t="s">
        <v>38</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25">
      <c r="A342" s="24" t="s">
        <v>59</v>
      </c>
      <c r="B342" s="60">
        <f>'Parameter Input'!$L$216</f>
        <v>647</v>
      </c>
      <c r="C342" s="61">
        <f>'Parameter Input'!$M$216</f>
        <v>600</v>
      </c>
      <c r="D342" s="1" t="s">
        <v>60</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25">
      <c r="A343" s="24" t="s">
        <v>67</v>
      </c>
      <c r="B343" s="78">
        <f>'Parameter Input'!$L$217</f>
        <v>0.06</v>
      </c>
      <c r="C343" s="61">
        <f>'Parameter Input'!$M$217</f>
        <v>0.06</v>
      </c>
      <c r="D343" s="1" t="s">
        <v>68</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25">
      <c r="A344" s="24" t="s">
        <v>206</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25">
      <c r="A345" s="24" t="s">
        <v>41</v>
      </c>
      <c r="B345" s="60">
        <f>'Parameter Input'!$L$214</f>
        <v>25</v>
      </c>
      <c r="C345" s="61">
        <f>'Parameter Input'!$M$214</f>
        <v>25</v>
      </c>
      <c r="D345" s="1" t="s">
        <v>42</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25">
      <c r="A349" s="24" t="s">
        <v>73</v>
      </c>
      <c r="B349" s="45">
        <f>'Parameter Input'!$L$218</f>
        <v>0</v>
      </c>
      <c r="C349" s="46">
        <f>'Parameter Input'!$M$218</f>
        <v>0</v>
      </c>
      <c r="D349" s="1" t="s">
        <v>57</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25">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25">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25">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25">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25">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25">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25">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25">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25">
      <c r="A363" s="30" t="str">
        <f t="shared" si="232"/>
        <v>Fuel Cost</v>
      </c>
      <c r="B363" s="62">
        <f>'Parameter Input'!J9</f>
        <v>6.4802641056422569E-2</v>
      </c>
      <c r="C363" s="62">
        <f>'Parameter Input'!K9</f>
        <v>6.3089795918367345E-2</v>
      </c>
      <c r="D363" s="62">
        <f>'Parameter Input'!L9</f>
        <v>6.1376950780312127E-2</v>
      </c>
      <c r="E363" s="62">
        <f>'Parameter Input'!M9</f>
        <v>5.9664105642256909E-2</v>
      </c>
      <c r="F363" s="62">
        <f>'Parameter Input'!N9</f>
        <v>5.7951260504201692E-2</v>
      </c>
      <c r="G363" s="62">
        <f>'Parameter Input'!O9</f>
        <v>5.6238415366146474E-2</v>
      </c>
      <c r="H363" s="62">
        <f>'Parameter Input'!P9</f>
        <v>5.4525570228091257E-2</v>
      </c>
      <c r="I363" s="62">
        <f>'Parameter Input'!Q9</f>
        <v>5.2812725090036025E-2</v>
      </c>
      <c r="J363" s="62">
        <f>'Parameter Input'!R9</f>
        <v>5.2313145258103252E-2</v>
      </c>
      <c r="K363" s="62">
        <f>'Parameter Input'!S9</f>
        <v>5.181356542617048E-2</v>
      </c>
      <c r="L363" s="62">
        <f>'Parameter Input'!T9</f>
        <v>5.1313985594237707E-2</v>
      </c>
      <c r="M363" s="62">
        <f>'Parameter Input'!U9</f>
        <v>5.0814405762304934E-2</v>
      </c>
      <c r="N363" s="62">
        <f>'Parameter Input'!V9</f>
        <v>5.0314825930372155E-2</v>
      </c>
      <c r="O363" s="62">
        <f>'Parameter Input'!W9</f>
        <v>4.9815246098439382E-2</v>
      </c>
      <c r="P363" s="62">
        <f>'Parameter Input'!X9</f>
        <v>4.931566626650661E-2</v>
      </c>
      <c r="Q363" s="62">
        <f>'Parameter Input'!Y9</f>
        <v>4.8816086434573837E-2</v>
      </c>
      <c r="R363" s="62">
        <f>'Parameter Input'!Z9</f>
        <v>4.8316506602641064E-2</v>
      </c>
      <c r="S363" s="62">
        <f>'Parameter Input'!AA9</f>
        <v>4.7816926770708292E-2</v>
      </c>
      <c r="T363" s="62">
        <f>'Parameter Input'!AB9</f>
        <v>4.7317346938775519E-2</v>
      </c>
      <c r="U363" s="62">
        <f>'Parameter Input'!AC9</f>
        <v>4.6817767106842746E-2</v>
      </c>
      <c r="V363" s="62">
        <f>'Parameter Input'!AD9</f>
        <v>4.6318187274909974E-2</v>
      </c>
      <c r="W363" s="62">
        <f>'Parameter Input'!AE9</f>
        <v>4.5818607442977201E-2</v>
      </c>
      <c r="X363" s="62">
        <f>'Parameter Input'!AF9</f>
        <v>4.5319027611044428E-2</v>
      </c>
      <c r="Y363" s="62">
        <f>'Parameter Input'!AG9</f>
        <v>4.4819447779111656E-2</v>
      </c>
      <c r="Z363" s="62">
        <f>'Parameter Input'!AH9</f>
        <v>4.4319867947178883E-2</v>
      </c>
      <c r="AA363" s="62">
        <f>'Parameter Input'!AI9</f>
        <v>4.382028811524611E-2</v>
      </c>
      <c r="AB363" s="62">
        <f>'Parameter Input'!AJ9</f>
        <v>4.3320708283313338E-2</v>
      </c>
      <c r="AC363" s="62">
        <f>'Parameter Input'!AK9</f>
        <v>4.2821128451380565E-2</v>
      </c>
    </row>
    <row r="364" spans="1:29" x14ac:dyDescent="0.25">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25">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25">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25">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25">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25">
      <c r="A369" s="30" t="s">
        <v>73</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25">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25">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25">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25">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25">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25">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25">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25">
      <c r="A380" s="30" t="str">
        <f>A363</f>
        <v>Fuel Cost</v>
      </c>
      <c r="B380" s="62">
        <f>B362*B363*B370</f>
        <v>5030474.3493577521</v>
      </c>
      <c r="C380" s="62">
        <f t="shared" ref="C380:AC380" si="276">C362*C363*C370</f>
        <v>4897172.180326472</v>
      </c>
      <c r="D380" s="62">
        <f t="shared" si="276"/>
        <v>4763746.4515667846</v>
      </c>
      <c r="E380" s="62">
        <f t="shared" si="276"/>
        <v>4630149.9344678698</v>
      </c>
      <c r="F380" s="62">
        <f t="shared" si="276"/>
        <v>4496318.0443188623</v>
      </c>
      <c r="G380" s="62">
        <f t="shared" si="276"/>
        <v>4362163.0532047693</v>
      </c>
      <c r="H380" s="62">
        <f t="shared" si="276"/>
        <v>4227566.9334378485</v>
      </c>
      <c r="I380" s="62">
        <f t="shared" si="276"/>
        <v>4092373.0949858506</v>
      </c>
      <c r="J380" s="62">
        <f t="shared" si="276"/>
        <v>4050314.4124354781</v>
      </c>
      <c r="K380" s="62">
        <f t="shared" si="276"/>
        <v>4006980.4239330562</v>
      </c>
      <c r="L380" s="62">
        <f t="shared" si="276"/>
        <v>3961936.8338015652</v>
      </c>
      <c r="M380" s="62">
        <f t="shared" si="276"/>
        <v>3914663.75605402</v>
      </c>
      <c r="N380" s="62">
        <f t="shared" si="276"/>
        <v>3864599.0759500815</v>
      </c>
      <c r="O380" s="62">
        <f t="shared" si="276"/>
        <v>3811242.9973808406</v>
      </c>
      <c r="P380" s="62">
        <f t="shared" si="276"/>
        <v>3754340.5707043787</v>
      </c>
      <c r="Q380" s="62">
        <f t="shared" si="276"/>
        <v>3694118.8466636306</v>
      </c>
      <c r="R380" s="62">
        <f t="shared" si="276"/>
        <v>3631479.206963005</v>
      </c>
      <c r="S380" s="62">
        <f t="shared" si="276"/>
        <v>3567984.2593302522</v>
      </c>
      <c r="T380" s="62">
        <f t="shared" si="276"/>
        <v>3505536.7182509466</v>
      </c>
      <c r="U380" s="62">
        <f t="shared" si="276"/>
        <v>3445854.0795768206</v>
      </c>
      <c r="V380" s="62">
        <f t="shared" si="276"/>
        <v>3390022.8193593128</v>
      </c>
      <c r="W380" s="62">
        <f t="shared" si="276"/>
        <v>3338358.4440373629</v>
      </c>
      <c r="X380" s="62">
        <f t="shared" si="276"/>
        <v>3290562.4165401473</v>
      </c>
      <c r="Y380" s="62">
        <f t="shared" si="276"/>
        <v>3246003.5213868194</v>
      </c>
      <c r="Z380" s="62">
        <f t="shared" si="276"/>
        <v>3203964.3413565001</v>
      </c>
      <c r="AA380" s="62">
        <f t="shared" si="276"/>
        <v>3163789.7559936079</v>
      </c>
      <c r="AB380" s="62">
        <f t="shared" si="276"/>
        <v>3124947.4212902333</v>
      </c>
      <c r="AC380" s="62">
        <f t="shared" si="276"/>
        <v>3087034.2712081457</v>
      </c>
    </row>
    <row r="381" spans="1:29" ht="15.75" thickBot="1" x14ac:dyDescent="0.3">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75" thickBot="1" x14ac:dyDescent="0.3">
      <c r="A382" s="31" t="s">
        <v>209</v>
      </c>
      <c r="B382" s="64">
        <f>B373+B374+B375+B376+B377+B378+B379+B380+B381</f>
        <v>7951075.2171062566</v>
      </c>
      <c r="C382" s="64">
        <f t="shared" ref="C382:AC382" si="278">C373+C374+C375+C376+C377+C378+C379+C380+C381</f>
        <v>7817828.7935461057</v>
      </c>
      <c r="D382" s="64">
        <f t="shared" si="278"/>
        <v>7684482.8631867114</v>
      </c>
      <c r="E382" s="64">
        <f t="shared" si="278"/>
        <v>7551000.5033110883</v>
      </c>
      <c r="F382" s="64">
        <f t="shared" si="278"/>
        <v>7417331.7690242082</v>
      </c>
      <c r="G382" s="64">
        <f t="shared" si="278"/>
        <v>7283409.6365848146</v>
      </c>
      <c r="H382" s="64">
        <f t="shared" si="278"/>
        <v>7149145.1646971516</v>
      </c>
      <c r="I382" s="64">
        <f t="shared" si="278"/>
        <v>7014422.2186913844</v>
      </c>
      <c r="J382" s="64">
        <f t="shared" si="278"/>
        <v>6973029.0973638827</v>
      </c>
      <c r="K382" s="64">
        <f t="shared" si="278"/>
        <v>6930629.5448106527</v>
      </c>
      <c r="L382" s="64">
        <f t="shared" si="278"/>
        <v>6886885.1598592922</v>
      </c>
      <c r="M382" s="64">
        <f t="shared" si="278"/>
        <v>6841393.2438103436</v>
      </c>
      <c r="N382" s="64">
        <f t="shared" si="278"/>
        <v>6793722.2541677468</v>
      </c>
      <c r="O382" s="64">
        <f t="shared" si="278"/>
        <v>6743495.1914584693</v>
      </c>
      <c r="P382" s="64">
        <f t="shared" si="278"/>
        <v>6690533.2313853055</v>
      </c>
      <c r="Q382" s="64">
        <f t="shared" si="278"/>
        <v>6635039.9541574046</v>
      </c>
      <c r="R382" s="64">
        <f t="shared" si="278"/>
        <v>6577747.1175371511</v>
      </c>
      <c r="S382" s="64">
        <f t="shared" si="278"/>
        <v>6519896.7679789662</v>
      </c>
      <c r="T382" s="64">
        <f t="shared" si="278"/>
        <v>6462982.7498420458</v>
      </c>
      <c r="U382" s="64">
        <f t="shared" si="278"/>
        <v>6408337.3910019444</v>
      </c>
      <c r="V382" s="64">
        <f t="shared" si="278"/>
        <v>6356787.1013209149</v>
      </c>
      <c r="W382" s="64">
        <f t="shared" si="278"/>
        <v>6308551.0167202987</v>
      </c>
      <c r="X382" s="64">
        <f t="shared" si="278"/>
        <v>6263370.9272018615</v>
      </c>
      <c r="Y382" s="64">
        <f t="shared" si="278"/>
        <v>6220734.9562614644</v>
      </c>
      <c r="Z382" s="64">
        <f t="shared" si="278"/>
        <v>6180070.6392250918</v>
      </c>
      <c r="AA382" s="64">
        <f t="shared" si="278"/>
        <v>6140859.629781669</v>
      </c>
      <c r="AB382" s="64">
        <f t="shared" si="278"/>
        <v>6102683.1852646535</v>
      </c>
      <c r="AC382" s="64">
        <f t="shared" si="278"/>
        <v>6065225.7370196711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25">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25">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25">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25">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25">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25">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25">
      <c r="A392" s="30" t="str">
        <f t="shared" si="279"/>
        <v>Fuel Cost</v>
      </c>
      <c r="B392" s="66">
        <f>B362*B363*B370/B370</f>
        <v>41.92061957798127</v>
      </c>
      <c r="C392" s="66">
        <f t="shared" ref="C392:AC392" si="287">C362*C363*C370/C370</f>
        <v>40.809768169387269</v>
      </c>
      <c r="D392" s="66">
        <f t="shared" si="287"/>
        <v>39.69788709638987</v>
      </c>
      <c r="E392" s="66">
        <f t="shared" si="287"/>
        <v>38.58458278723225</v>
      </c>
      <c r="F392" s="66">
        <f t="shared" si="287"/>
        <v>37.469317035990521</v>
      </c>
      <c r="G392" s="66">
        <f t="shared" si="287"/>
        <v>36.351358776706412</v>
      </c>
      <c r="H392" s="66">
        <f t="shared" si="287"/>
        <v>35.229724445315405</v>
      </c>
      <c r="I392" s="66">
        <f t="shared" si="287"/>
        <v>34.103109124882089</v>
      </c>
      <c r="J392" s="66">
        <f t="shared" si="287"/>
        <v>33.752620103628985</v>
      </c>
      <c r="K392" s="66">
        <f t="shared" si="287"/>
        <v>33.391503532775467</v>
      </c>
      <c r="L392" s="66">
        <f t="shared" si="287"/>
        <v>33.016140281679711</v>
      </c>
      <c r="M392" s="66">
        <f t="shared" si="287"/>
        <v>32.622197967116833</v>
      </c>
      <c r="N392" s="66">
        <f t="shared" si="287"/>
        <v>32.204992299584013</v>
      </c>
      <c r="O392" s="66">
        <f t="shared" si="287"/>
        <v>31.760358311507005</v>
      </c>
      <c r="P392" s="66">
        <f t="shared" si="287"/>
        <v>31.286171422536487</v>
      </c>
      <c r="Q392" s="66">
        <f t="shared" si="287"/>
        <v>30.78432372219692</v>
      </c>
      <c r="R392" s="66">
        <f t="shared" si="287"/>
        <v>30.262326724691707</v>
      </c>
      <c r="S392" s="66">
        <f t="shared" si="287"/>
        <v>29.733202161085433</v>
      </c>
      <c r="T392" s="66">
        <f t="shared" si="287"/>
        <v>29.212805985424556</v>
      </c>
      <c r="U392" s="66">
        <f t="shared" si="287"/>
        <v>28.715450663140171</v>
      </c>
      <c r="V392" s="66">
        <f t="shared" si="287"/>
        <v>28.250190161327605</v>
      </c>
      <c r="W392" s="66">
        <f t="shared" si="287"/>
        <v>27.819653700311356</v>
      </c>
      <c r="X392" s="66">
        <f t="shared" si="287"/>
        <v>27.421353471167894</v>
      </c>
      <c r="Y392" s="66">
        <f t="shared" si="287"/>
        <v>27.050029344890163</v>
      </c>
      <c r="Z392" s="66">
        <f t="shared" si="287"/>
        <v>26.6997028446375</v>
      </c>
      <c r="AA392" s="66">
        <f t="shared" si="287"/>
        <v>26.364914633280065</v>
      </c>
      <c r="AB392" s="66">
        <f t="shared" si="287"/>
        <v>26.041228510751942</v>
      </c>
      <c r="AC392" s="66">
        <f t="shared" si="287"/>
        <v>25.725285593401214</v>
      </c>
    </row>
    <row r="393" spans="1:29" ht="15.75" thickBot="1" x14ac:dyDescent="0.3">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75" thickBot="1" x14ac:dyDescent="0.3">
      <c r="A394" s="31" t="s">
        <v>63</v>
      </c>
      <c r="B394" s="76">
        <f>B385+B386+B387-B388+B389+B390+B391+B392+B393</f>
        <v>66.389338006239257</v>
      </c>
      <c r="C394" s="76">
        <f t="shared" ref="C394:AC394" si="289">C385+C386+C387-C388+C389+C390+C391+C392+C393</f>
        <v>65.278951143238004</v>
      </c>
      <c r="D394" s="76">
        <f t="shared" si="289"/>
        <v>64.167735056909706</v>
      </c>
      <c r="E394" s="76">
        <f t="shared" si="289"/>
        <v>63.055382057946197</v>
      </c>
      <c r="F394" s="76">
        <f t="shared" si="289"/>
        <v>61.941475938888857</v>
      </c>
      <c r="G394" s="76">
        <f t="shared" si="289"/>
        <v>60.82545816856058</v>
      </c>
      <c r="H394" s="76">
        <f t="shared" si="289"/>
        <v>59.706587569496726</v>
      </c>
      <c r="I394" s="76">
        <f t="shared" si="289"/>
        <v>58.583896352781991</v>
      </c>
      <c r="J394" s="76">
        <f t="shared" si="289"/>
        <v>58.238953675052812</v>
      </c>
      <c r="K394" s="76">
        <f t="shared" si="289"/>
        <v>57.88562407044256</v>
      </c>
      <c r="L394" s="76">
        <f t="shared" si="289"/>
        <v>57.521087529181223</v>
      </c>
      <c r="M394" s="76">
        <f t="shared" si="289"/>
        <v>57.141988228773315</v>
      </c>
      <c r="N394" s="76">
        <f t="shared" si="289"/>
        <v>56.744729981751682</v>
      </c>
      <c r="O394" s="76">
        <f t="shared" si="289"/>
        <v>56.326171125841029</v>
      </c>
      <c r="P394" s="76">
        <f t="shared" si="289"/>
        <v>55.884821458564673</v>
      </c>
      <c r="Q394" s="76">
        <f t="shared" si="289"/>
        <v>55.422377481665492</v>
      </c>
      <c r="R394" s="76">
        <f t="shared" si="289"/>
        <v>54.944937176496708</v>
      </c>
      <c r="S394" s="76">
        <f t="shared" si="289"/>
        <v>54.462850930178504</v>
      </c>
      <c r="T394" s="76">
        <f t="shared" si="289"/>
        <v>53.988567445704177</v>
      </c>
      <c r="U394" s="76">
        <f t="shared" si="289"/>
        <v>53.533189455369993</v>
      </c>
      <c r="V394" s="76">
        <f t="shared" si="289"/>
        <v>53.103603708028075</v>
      </c>
      <c r="W394" s="76">
        <f t="shared" si="289"/>
        <v>52.701636336356273</v>
      </c>
      <c r="X394" s="76">
        <f t="shared" si="289"/>
        <v>52.3251355903693</v>
      </c>
      <c r="Y394" s="76">
        <f t="shared" si="289"/>
        <v>51.969835832532659</v>
      </c>
      <c r="Z394" s="76">
        <f t="shared" si="289"/>
        <v>51.63096652389622</v>
      </c>
      <c r="AA394" s="76">
        <f t="shared" si="289"/>
        <v>51.304208111867702</v>
      </c>
      <c r="AB394" s="76">
        <f t="shared" si="289"/>
        <v>50.986071074225897</v>
      </c>
      <c r="AC394" s="76">
        <f t="shared" si="289"/>
        <v>50.673925672184382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25">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25">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25">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25">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25">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25">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25">
      <c r="A404" s="30" t="str">
        <f t="shared" si="290"/>
        <v>Fuel Cost</v>
      </c>
      <c r="B404" s="66">
        <f>B362*B363*B370/B370/(B367)</f>
        <v>4.4360443997863777E-3</v>
      </c>
      <c r="C404" s="66">
        <f t="shared" ref="C404:AC404" si="298">C362*C363*C370/C370/(C367)</f>
        <v>4.3184939861785473E-3</v>
      </c>
      <c r="D404" s="66">
        <f t="shared" si="298"/>
        <v>4.2008346133745895E-3</v>
      </c>
      <c r="E404" s="66">
        <f t="shared" si="298"/>
        <v>4.0830246335695503E-3</v>
      </c>
      <c r="F404" s="66">
        <f t="shared" si="298"/>
        <v>3.9650070937556105E-3</v>
      </c>
      <c r="G404" s="66">
        <f t="shared" si="298"/>
        <v>3.8467046324557048E-3</v>
      </c>
      <c r="H404" s="66">
        <f t="shared" si="298"/>
        <v>3.7280131688164448E-3</v>
      </c>
      <c r="I404" s="66">
        <f t="shared" si="298"/>
        <v>3.6087946163896388E-3</v>
      </c>
      <c r="J404" s="66">
        <f t="shared" si="298"/>
        <v>3.5717058310718503E-3</v>
      </c>
      <c r="K404" s="66">
        <f t="shared" si="298"/>
        <v>3.5334924373307372E-3</v>
      </c>
      <c r="L404" s="66">
        <f t="shared" si="298"/>
        <v>3.4937714583788055E-3</v>
      </c>
      <c r="M404" s="66">
        <f t="shared" si="298"/>
        <v>3.4520844409647441E-3</v>
      </c>
      <c r="N404" s="66">
        <f t="shared" si="298"/>
        <v>3.4079356930776733E-3</v>
      </c>
      <c r="O404" s="66">
        <f t="shared" si="298"/>
        <v>3.3608844774081488E-3</v>
      </c>
      <c r="P404" s="66">
        <f t="shared" si="298"/>
        <v>3.3107059706387817E-3</v>
      </c>
      <c r="Q404" s="66">
        <f t="shared" si="298"/>
        <v>3.2576003938832717E-3</v>
      </c>
      <c r="R404" s="66">
        <f t="shared" si="298"/>
        <v>3.202362616369493E-3</v>
      </c>
      <c r="S404" s="66">
        <f t="shared" si="298"/>
        <v>3.1463705990566596E-3</v>
      </c>
      <c r="T404" s="66">
        <f t="shared" si="298"/>
        <v>3.091302220679847E-3</v>
      </c>
      <c r="U404" s="66">
        <f t="shared" si="298"/>
        <v>3.0386720278455207E-3</v>
      </c>
      <c r="V404" s="66">
        <f t="shared" si="298"/>
        <v>2.9894381123097996E-3</v>
      </c>
      <c r="W404" s="66">
        <f t="shared" si="298"/>
        <v>2.943878698445646E-3</v>
      </c>
      <c r="X404" s="66">
        <f t="shared" si="298"/>
        <v>2.9017305260495125E-3</v>
      </c>
      <c r="Y404" s="66">
        <f t="shared" si="298"/>
        <v>2.8624369677132449E-3</v>
      </c>
      <c r="Z404" s="66">
        <f t="shared" si="298"/>
        <v>2.8253653803849204E-3</v>
      </c>
      <c r="AA404" s="66">
        <f t="shared" si="298"/>
        <v>2.789938056431753E-3</v>
      </c>
      <c r="AB404" s="66">
        <f t="shared" si="298"/>
        <v>2.7556855566933272E-3</v>
      </c>
      <c r="AC404" s="66">
        <f t="shared" si="298"/>
        <v>2.7222524437461601E-3</v>
      </c>
    </row>
    <row r="405" spans="1:29" x14ac:dyDescent="0.25">
      <c r="A405" s="59" t="str">
        <f>A368</f>
        <v>Market failure (av. utilization)</v>
      </c>
      <c r="B405" s="66">
        <f t="shared" ref="B405:AC405" si="299">B394/B368-B394/B367</f>
        <v>3.3060361285397683E-3</v>
      </c>
      <c r="C405" s="66">
        <f t="shared" si="299"/>
        <v>3.2507414201425697E-3</v>
      </c>
      <c r="D405" s="66">
        <f t="shared" si="299"/>
        <v>3.1954054183335042E-3</v>
      </c>
      <c r="E405" s="66">
        <f t="shared" si="299"/>
        <v>3.140012800893678E-3</v>
      </c>
      <c r="F405" s="66">
        <f t="shared" si="299"/>
        <v>3.0845428416502382E-3</v>
      </c>
      <c r="G405" s="66">
        <f t="shared" si="299"/>
        <v>3.0289677270369398E-3</v>
      </c>
      <c r="H405" s="66">
        <f t="shared" si="299"/>
        <v>2.9732505481230853E-3</v>
      </c>
      <c r="I405" s="66">
        <f t="shared" si="299"/>
        <v>2.917343111249646E-3</v>
      </c>
      <c r="J405" s="66">
        <f t="shared" si="299"/>
        <v>2.9001657603512122E-3</v>
      </c>
      <c r="K405" s="66">
        <f t="shared" si="299"/>
        <v>2.882570759810397E-3</v>
      </c>
      <c r="L405" s="66">
        <f t="shared" si="299"/>
        <v>2.8644176796355407E-3</v>
      </c>
      <c r="M405" s="66">
        <f t="shared" si="299"/>
        <v>2.8455394075953084E-3</v>
      </c>
      <c r="N405" s="66">
        <f t="shared" si="299"/>
        <v>2.8257568618363718E-3</v>
      </c>
      <c r="O405" s="66">
        <f t="shared" si="299"/>
        <v>2.8049135948131215E-3</v>
      </c>
      <c r="P405" s="66">
        <f t="shared" si="299"/>
        <v>2.7829353978743683E-3</v>
      </c>
      <c r="Q405" s="66">
        <f t="shared" si="299"/>
        <v>2.7599067528996189E-3</v>
      </c>
      <c r="R405" s="66">
        <f t="shared" si="299"/>
        <v>2.7361313253157389E-3</v>
      </c>
      <c r="S405" s="66">
        <f t="shared" si="299"/>
        <v>2.7121245405628868E-3</v>
      </c>
      <c r="T405" s="66">
        <f t="shared" si="299"/>
        <v>2.6885063153789801E-3</v>
      </c>
      <c r="U405" s="66">
        <f t="shared" si="299"/>
        <v>2.6658295402611871E-3</v>
      </c>
      <c r="V405" s="66">
        <f t="shared" si="299"/>
        <v>2.6444371594411733E-3</v>
      </c>
      <c r="W405" s="66">
        <f t="shared" si="299"/>
        <v>2.6244201101204481E-3</v>
      </c>
      <c r="X405" s="66">
        <f t="shared" si="299"/>
        <v>2.6056712401055357E-3</v>
      </c>
      <c r="Y405" s="66">
        <f t="shared" si="299"/>
        <v>2.5879781304715905E-3</v>
      </c>
      <c r="Z405" s="66">
        <f t="shared" si="299"/>
        <v>2.5711032193661354E-3</v>
      </c>
      <c r="AA405" s="66">
        <f t="shared" si="299"/>
        <v>2.5548314030186207E-3</v>
      </c>
      <c r="AB405" s="66">
        <f t="shared" si="299"/>
        <v>2.5389889112593022E-3</v>
      </c>
      <c r="AC405" s="66">
        <f t="shared" si="299"/>
        <v>2.5234447891532832E-3</v>
      </c>
    </row>
    <row r="406" spans="1:29" x14ac:dyDescent="0.25">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75" thickBot="1" x14ac:dyDescent="0.3">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75" thickBot="1" x14ac:dyDescent="0.3">
      <c r="A408" s="31" t="s">
        <v>210</v>
      </c>
      <c r="B408" s="76">
        <f>B397+B398+B399+B400+B401+B402+B403+B404+B405+B406+B407</f>
        <v>1.0317566302354808E-2</v>
      </c>
      <c r="C408" s="67">
        <f t="shared" ref="C408:AC408" si="302">C397+C398+C399+C400+C401+C402+C403+C404+C405+C406+C407</f>
        <v>1.0144770338613562E-2</v>
      </c>
      <c r="D408" s="67">
        <f t="shared" si="302"/>
        <v>9.9718453329602323E-3</v>
      </c>
      <c r="E408" s="67">
        <f t="shared" si="302"/>
        <v>9.7987434034607756E-3</v>
      </c>
      <c r="F408" s="67">
        <f t="shared" si="302"/>
        <v>9.6253997808250259E-3</v>
      </c>
      <c r="G408" s="67">
        <f t="shared" si="302"/>
        <v>9.451727547658469E-3</v>
      </c>
      <c r="H408" s="67">
        <f t="shared" si="302"/>
        <v>9.2776113635526722E-3</v>
      </c>
      <c r="I408" s="67">
        <f t="shared" si="302"/>
        <v>9.1029006233231766E-3</v>
      </c>
      <c r="J408" s="67">
        <f t="shared" si="302"/>
        <v>9.0492214017655719E-3</v>
      </c>
      <c r="K408" s="67">
        <f t="shared" si="302"/>
        <v>8.9942370250755237E-3</v>
      </c>
      <c r="L408" s="67">
        <f t="shared" si="302"/>
        <v>8.9375086495290974E-3</v>
      </c>
      <c r="M408" s="67">
        <f t="shared" si="302"/>
        <v>8.8785140494033708E-3</v>
      </c>
      <c r="N408" s="67">
        <f t="shared" si="302"/>
        <v>8.8166935939066951E-3</v>
      </c>
      <c r="O408" s="67">
        <f t="shared" si="302"/>
        <v>8.7515583844590371E-3</v>
      </c>
      <c r="P408" s="67">
        <f t="shared" si="302"/>
        <v>8.6828765190254311E-3</v>
      </c>
      <c r="Q408" s="67">
        <f t="shared" si="302"/>
        <v>8.6109120034793402E-3</v>
      </c>
      <c r="R408" s="67">
        <f t="shared" si="302"/>
        <v>8.536613792279716E-3</v>
      </c>
      <c r="S408" s="67">
        <f t="shared" si="302"/>
        <v>8.4615925899270555E-3</v>
      </c>
      <c r="T408" s="67">
        <f t="shared" si="302"/>
        <v>8.3877856362273451E-3</v>
      </c>
      <c r="U408" s="67">
        <f t="shared" si="302"/>
        <v>8.3169207139842417E-3</v>
      </c>
      <c r="V408" s="67">
        <f t="shared" si="302"/>
        <v>8.2500695239216982E-3</v>
      </c>
      <c r="W408" s="67">
        <f t="shared" si="302"/>
        <v>8.1875162447944318E-3</v>
      </c>
      <c r="X408" s="67">
        <f t="shared" si="302"/>
        <v>8.1289260259978305E-3</v>
      </c>
      <c r="Y408" s="67">
        <f t="shared" si="302"/>
        <v>8.0736350583917524E-3</v>
      </c>
      <c r="Z408" s="67">
        <f t="shared" si="302"/>
        <v>8.0209009611872037E-3</v>
      </c>
      <c r="AA408" s="67">
        <f t="shared" si="302"/>
        <v>7.9700515351012226E-3</v>
      </c>
      <c r="AB408" s="67">
        <f t="shared" si="302"/>
        <v>7.9205437483533536E-3</v>
      </c>
      <c r="AC408" s="67">
        <f t="shared" si="302"/>
        <v>7.8719683667720398E-3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Input'!$L$237</f>
        <v>30000000</v>
      </c>
      <c r="C11" s="42">
        <f>'Parameter Input'!$M$237</f>
        <v>19500000</v>
      </c>
      <c r="D11" s="1" t="s">
        <v>15</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Input'!$L$238</f>
        <v>-1500000</v>
      </c>
      <c r="C12" s="61">
        <f>'Parameter Input'!$M$238</f>
        <v>-1950000</v>
      </c>
      <c r="D12" s="1" t="s">
        <v>15</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Input'!$L$244</f>
        <v>0.06</v>
      </c>
      <c r="C15" s="91">
        <f>'Parameter Input'!$M$244</f>
        <v>0.06</v>
      </c>
      <c r="D15" s="1" t="s">
        <v>57</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Input'!$L$240</f>
        <v>338823.5294117647</v>
      </c>
      <c r="C17" s="61">
        <f>'Parameter Input'!$M$240</f>
        <v>338823.5294117647</v>
      </c>
      <c r="D17" s="1" t="s">
        <v>38</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Input'!$L$241</f>
        <v>589</v>
      </c>
      <c r="C19" s="61">
        <f>'Parameter Input'!$M$241</f>
        <v>519</v>
      </c>
      <c r="D19" s="1" t="s">
        <v>60</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Input'!$L$242</f>
        <v>0.2544561408768215</v>
      </c>
      <c r="C20" s="61">
        <f>'Parameter Input'!$M$242</f>
        <v>0.10949010032952979</v>
      </c>
      <c r="D20" s="1" t="s">
        <v>68</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Input'!$L$245</f>
        <v>0</v>
      </c>
      <c r="C21" s="116">
        <f>'Parameter Input'!$M$245</f>
        <v>0</v>
      </c>
      <c r="D21" s="1" t="s">
        <v>76</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Input'!$L$239</f>
        <v>25</v>
      </c>
      <c r="C22" s="61">
        <f>'Parameter Input'!$M$239</f>
        <v>25</v>
      </c>
      <c r="D22" s="1" t="s">
        <v>42</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Input'!$L$243</f>
        <v>0.1</v>
      </c>
      <c r="C26" s="46">
        <f>'Parameter Input'!$M$243</f>
        <v>0.08</v>
      </c>
      <c r="D26" s="1" t="s">
        <v>57</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25">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12472299.894931514</v>
      </c>
      <c r="C57" s="62">
        <f t="shared" ref="C57:AC57" si="49">C39*C40*C47</f>
        <v>12110872.348256061</v>
      </c>
      <c r="D57" s="62">
        <f t="shared" si="49"/>
        <v>11748953.388157712</v>
      </c>
      <c r="E57" s="62">
        <f t="shared" si="49"/>
        <v>11498892.282875093</v>
      </c>
      <c r="F57" s="62">
        <f t="shared" si="49"/>
        <v>11247828.033854185</v>
      </c>
      <c r="G57" s="62">
        <f t="shared" si="49"/>
        <v>10995372.481108731</v>
      </c>
      <c r="H57" s="62">
        <f t="shared" si="49"/>
        <v>10740996.203802552</v>
      </c>
      <c r="I57" s="62">
        <f t="shared" si="49"/>
        <v>10483985.902279541</v>
      </c>
      <c r="J57" s="62">
        <f t="shared" si="49"/>
        <v>10490368.064924525</v>
      </c>
      <c r="K57" s="62">
        <f t="shared" si="49"/>
        <v>10490943.642778551</v>
      </c>
      <c r="L57" s="62">
        <f t="shared" si="49"/>
        <v>10483623.811486064</v>
      </c>
      <c r="M57" s="62">
        <f t="shared" si="49"/>
        <v>10465846.489763714</v>
      </c>
      <c r="N57" s="62">
        <f t="shared" si="49"/>
        <v>10434742.015750067</v>
      </c>
      <c r="O57" s="62">
        <f t="shared" si="49"/>
        <v>10131722.871018343</v>
      </c>
      <c r="P57" s="62">
        <f t="shared" si="49"/>
        <v>9815100.6995524112</v>
      </c>
      <c r="Q57" s="62">
        <f t="shared" si="49"/>
        <v>9486536.7053746637</v>
      </c>
      <c r="R57" s="62">
        <f t="shared" si="49"/>
        <v>9150504.607398171</v>
      </c>
      <c r="S57" s="62">
        <f t="shared" si="49"/>
        <v>8814024.4288624842</v>
      </c>
      <c r="T57" s="62">
        <f t="shared" si="49"/>
        <v>8502191.139200503</v>
      </c>
      <c r="U57" s="62">
        <f t="shared" si="49"/>
        <v>8204371.8422408579</v>
      </c>
      <c r="V57" s="62">
        <f t="shared" si="49"/>
        <v>7924500.6322701462</v>
      </c>
      <c r="W57" s="62">
        <f t="shared" si="49"/>
        <v>7663216.0021006558</v>
      </c>
      <c r="X57" s="62">
        <f t="shared" si="49"/>
        <v>7418684.4341573743</v>
      </c>
      <c r="Y57" s="62">
        <f t="shared" si="49"/>
        <v>7224307.2561223088</v>
      </c>
      <c r="Z57" s="62">
        <f t="shared" si="49"/>
        <v>7040156.9951071367</v>
      </c>
      <c r="AA57" s="62">
        <f t="shared" si="49"/>
        <v>6863479.4526634626</v>
      </c>
      <c r="AB57" s="62">
        <f t="shared" si="49"/>
        <v>6692077.5458746096</v>
      </c>
      <c r="AC57" s="62">
        <f t="shared" si="49"/>
        <v>6524312.4439360145</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16418839.184028864</v>
      </c>
      <c r="C59" s="64">
        <f t="shared" ref="C59:AC59" si="51">C50+C51+C52+C53+C54+C55+C56+C57+C58</f>
        <v>16056597.753474912</v>
      </c>
      <c r="D59" s="64">
        <f t="shared" si="51"/>
        <v>15693513.736732293</v>
      </c>
      <c r="E59" s="64">
        <f t="shared" si="51"/>
        <v>15441785.935989602</v>
      </c>
      <c r="F59" s="64">
        <f t="shared" si="51"/>
        <v>15188339.611381635</v>
      </c>
      <c r="G59" s="64">
        <f t="shared" si="51"/>
        <v>14932484.321985569</v>
      </c>
      <c r="H59" s="64">
        <f t="shared" si="51"/>
        <v>14673265.985642221</v>
      </c>
      <c r="I59" s="64">
        <f t="shared" si="51"/>
        <v>14409380.654404253</v>
      </c>
      <c r="J59" s="64">
        <f t="shared" si="51"/>
        <v>14406045.623195317</v>
      </c>
      <c r="K59" s="64">
        <f t="shared" si="51"/>
        <v>14392978.436191142</v>
      </c>
      <c r="L59" s="64">
        <f t="shared" si="51"/>
        <v>14366690.209268749</v>
      </c>
      <c r="M59" s="64">
        <f t="shared" si="51"/>
        <v>14322907.926746894</v>
      </c>
      <c r="N59" s="64">
        <f t="shared" si="51"/>
        <v>14256855.571997654</v>
      </c>
      <c r="O59" s="64">
        <f t="shared" si="51"/>
        <v>13908152.795710474</v>
      </c>
      <c r="P59" s="64">
        <f t="shared" si="51"/>
        <v>13533999.811836381</v>
      </c>
      <c r="Q59" s="64">
        <f t="shared" si="51"/>
        <v>13136400.494191071</v>
      </c>
      <c r="R59" s="64">
        <f t="shared" si="51"/>
        <v>12722305.07124114</v>
      </c>
      <c r="S59" s="64">
        <f t="shared" si="51"/>
        <v>12303413.760816757</v>
      </c>
      <c r="T59" s="64">
        <f t="shared" si="51"/>
        <v>11910791.036195949</v>
      </c>
      <c r="U59" s="64">
        <f t="shared" si="51"/>
        <v>11539427.453659549</v>
      </c>
      <c r="V59" s="64">
        <f t="shared" si="51"/>
        <v>11197054.073856261</v>
      </c>
      <c r="W59" s="64">
        <f t="shared" si="51"/>
        <v>10885716.399155296</v>
      </c>
      <c r="X59" s="64">
        <f t="shared" si="51"/>
        <v>10602992.136721855</v>
      </c>
      <c r="Y59" s="64">
        <f t="shared" si="51"/>
        <v>10380540.265177995</v>
      </c>
      <c r="Z59" s="64">
        <f t="shared" si="51"/>
        <v>10176317.004451204</v>
      </c>
      <c r="AA59" s="64">
        <f t="shared" si="51"/>
        <v>9985571.2535832673</v>
      </c>
      <c r="AB59" s="64">
        <f t="shared" si="51"/>
        <v>9804447.3500735797</v>
      </c>
      <c r="AC59" s="64">
        <f t="shared" si="51"/>
        <v>9630029.0013132393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25">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103.93583245776261</v>
      </c>
      <c r="C69" s="66">
        <f t="shared" ref="C69:AC69" si="60">C39*C40*C47/C47</f>
        <v>100.92393623546717</v>
      </c>
      <c r="D69" s="66">
        <f t="shared" si="60"/>
        <v>97.907944901314266</v>
      </c>
      <c r="E69" s="66">
        <f t="shared" si="60"/>
        <v>95.824102357292446</v>
      </c>
      <c r="F69" s="66">
        <f t="shared" si="60"/>
        <v>93.731900282118204</v>
      </c>
      <c r="G69" s="66">
        <f t="shared" si="60"/>
        <v>91.628104009239422</v>
      </c>
      <c r="H69" s="66">
        <f t="shared" si="60"/>
        <v>89.5083016983546</v>
      </c>
      <c r="I69" s="66">
        <f t="shared" si="60"/>
        <v>87.366549185662848</v>
      </c>
      <c r="J69" s="66">
        <f t="shared" si="60"/>
        <v>87.419733874371047</v>
      </c>
      <c r="K69" s="66">
        <f t="shared" si="60"/>
        <v>87.424530356487921</v>
      </c>
      <c r="L69" s="66">
        <f t="shared" si="60"/>
        <v>87.363531762383857</v>
      </c>
      <c r="M69" s="66">
        <f t="shared" si="60"/>
        <v>87.215387414697616</v>
      </c>
      <c r="N69" s="66">
        <f t="shared" si="60"/>
        <v>86.956183464583887</v>
      </c>
      <c r="O69" s="66">
        <f t="shared" si="60"/>
        <v>84.431023925152857</v>
      </c>
      <c r="P69" s="66">
        <f t="shared" si="60"/>
        <v>81.792505829603428</v>
      </c>
      <c r="Q69" s="66">
        <f t="shared" si="60"/>
        <v>79.054472544788865</v>
      </c>
      <c r="R69" s="66">
        <f t="shared" si="60"/>
        <v>76.254205061651419</v>
      </c>
      <c r="S69" s="66">
        <f t="shared" si="60"/>
        <v>73.45020357385404</v>
      </c>
      <c r="T69" s="66">
        <f t="shared" si="60"/>
        <v>70.851592826670853</v>
      </c>
      <c r="U69" s="66">
        <f t="shared" si="60"/>
        <v>68.36976535200715</v>
      </c>
      <c r="V69" s="66">
        <f t="shared" si="60"/>
        <v>66.037505268917883</v>
      </c>
      <c r="W69" s="66">
        <f t="shared" si="60"/>
        <v>63.860133350838801</v>
      </c>
      <c r="X69" s="66">
        <f t="shared" si="60"/>
        <v>61.822370284644784</v>
      </c>
      <c r="Y69" s="66">
        <f t="shared" si="60"/>
        <v>60.202560467685906</v>
      </c>
      <c r="Z69" s="66">
        <f t="shared" si="60"/>
        <v>58.667974959226136</v>
      </c>
      <c r="AA69" s="66">
        <f t="shared" si="60"/>
        <v>57.195662105528854</v>
      </c>
      <c r="AB69" s="66">
        <f t="shared" si="60"/>
        <v>55.767312882288415</v>
      </c>
      <c r="AC69" s="66">
        <f t="shared" si="60"/>
        <v>54.369270366133456</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136.95403773059431</v>
      </c>
      <c r="C71" s="76">
        <f t="shared" ref="C71:AC71" si="63">C62+C63+C64-C65+C66+C67+C68+C69+C70</f>
        <v>133.9353591426447</v>
      </c>
      <c r="D71" s="76">
        <f t="shared" si="63"/>
        <v>130.9096590031229</v>
      </c>
      <c r="E71" s="76">
        <f t="shared" si="63"/>
        <v>128.81192733026714</v>
      </c>
      <c r="F71" s="76">
        <f t="shared" si="63"/>
        <v>126.69987462520075</v>
      </c>
      <c r="G71" s="76">
        <f t="shared" si="63"/>
        <v>124.56774721356686</v>
      </c>
      <c r="H71" s="76">
        <f t="shared" si="63"/>
        <v>122.40759441070563</v>
      </c>
      <c r="I71" s="76">
        <f t="shared" si="63"/>
        <v>120.20854998372256</v>
      </c>
      <c r="J71" s="76">
        <f t="shared" si="63"/>
        <v>120.18075805698143</v>
      </c>
      <c r="K71" s="76">
        <f t="shared" si="63"/>
        <v>120.07186483194661</v>
      </c>
      <c r="L71" s="76">
        <f t="shared" si="63"/>
        <v>119.85279627426002</v>
      </c>
      <c r="M71" s="76">
        <f t="shared" si="63"/>
        <v>119.48794391991123</v>
      </c>
      <c r="N71" s="76">
        <f t="shared" si="63"/>
        <v>118.93750763033422</v>
      </c>
      <c r="O71" s="76">
        <f t="shared" si="63"/>
        <v>116.0316511612744</v>
      </c>
      <c r="P71" s="76">
        <f t="shared" si="63"/>
        <v>112.9137096289903</v>
      </c>
      <c r="Q71" s="76">
        <f t="shared" si="63"/>
        <v>109.60038198194604</v>
      </c>
      <c r="R71" s="76">
        <f t="shared" si="63"/>
        <v>106.1495867906966</v>
      </c>
      <c r="S71" s="76">
        <f t="shared" si="63"/>
        <v>102.65882587049343</v>
      </c>
      <c r="T71" s="76">
        <f t="shared" si="63"/>
        <v>99.386969831986704</v>
      </c>
      <c r="U71" s="76">
        <f t="shared" si="63"/>
        <v>96.292273310850035</v>
      </c>
      <c r="V71" s="76">
        <f t="shared" si="63"/>
        <v>93.439161812489289</v>
      </c>
      <c r="W71" s="76">
        <f t="shared" si="63"/>
        <v>90.844681189981273</v>
      </c>
      <c r="X71" s="76">
        <f t="shared" si="63"/>
        <v>88.488645669702578</v>
      </c>
      <c r="Y71" s="76">
        <f t="shared" si="63"/>
        <v>86.634880073503751</v>
      </c>
      <c r="Z71" s="76">
        <f t="shared" si="63"/>
        <v>84.933019567447147</v>
      </c>
      <c r="AA71" s="76">
        <f t="shared" si="63"/>
        <v>83.343471643547673</v>
      </c>
      <c r="AB71" s="76">
        <f t="shared" si="63"/>
        <v>81.834105780966951</v>
      </c>
      <c r="AC71" s="76">
        <f t="shared" si="63"/>
        <v>80.380619541297449</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25">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1.0998500789181229E-2</v>
      </c>
      <c r="C81" s="66">
        <f t="shared" ref="C81:AC81" si="72">C39*C40*C47/C47/(C44)</f>
        <v>1.0679781612218747E-2</v>
      </c>
      <c r="D81" s="66">
        <f t="shared" si="72"/>
        <v>1.0360629090086166E-2</v>
      </c>
      <c r="E81" s="66">
        <f t="shared" si="72"/>
        <v>1.0140116651565338E-2</v>
      </c>
      <c r="F81" s="66">
        <f t="shared" si="72"/>
        <v>9.9187196065733552E-3</v>
      </c>
      <c r="G81" s="66">
        <f t="shared" si="72"/>
        <v>9.6960956623533788E-3</v>
      </c>
      <c r="H81" s="66">
        <f t="shared" si="72"/>
        <v>9.4717779574978421E-3</v>
      </c>
      <c r="I81" s="66">
        <f t="shared" si="72"/>
        <v>9.2451374799643223E-3</v>
      </c>
      <c r="J81" s="66">
        <f t="shared" si="72"/>
        <v>9.2507654893514337E-3</v>
      </c>
      <c r="K81" s="66">
        <f t="shared" si="72"/>
        <v>9.2512730535966054E-3</v>
      </c>
      <c r="L81" s="66">
        <f t="shared" si="72"/>
        <v>9.2448181759136362E-3</v>
      </c>
      <c r="M81" s="66">
        <f t="shared" si="72"/>
        <v>9.2291415253648278E-3</v>
      </c>
      <c r="N81" s="66">
        <f t="shared" si="72"/>
        <v>9.2017125359348025E-3</v>
      </c>
      <c r="O81" s="66">
        <f t="shared" si="72"/>
        <v>8.9344998862595608E-3</v>
      </c>
      <c r="P81" s="66">
        <f t="shared" si="72"/>
        <v>8.6552916221802577E-3</v>
      </c>
      <c r="Q81" s="66">
        <f t="shared" si="72"/>
        <v>8.3655526502422074E-3</v>
      </c>
      <c r="R81" s="66">
        <f t="shared" si="72"/>
        <v>8.0692280488520018E-3</v>
      </c>
      <c r="S81" s="66">
        <f t="shared" si="72"/>
        <v>7.772508314693549E-3</v>
      </c>
      <c r="T81" s="66">
        <f t="shared" si="72"/>
        <v>7.4975230504413602E-3</v>
      </c>
      <c r="U81" s="66">
        <f t="shared" si="72"/>
        <v>7.2348958044452013E-3</v>
      </c>
      <c r="V81" s="66">
        <f t="shared" si="72"/>
        <v>6.9880957956526858E-3</v>
      </c>
      <c r="W81" s="66">
        <f t="shared" si="72"/>
        <v>6.7576860688718307E-3</v>
      </c>
      <c r="X81" s="66">
        <f t="shared" si="72"/>
        <v>6.542049765570877E-3</v>
      </c>
      <c r="Y81" s="66">
        <f t="shared" si="72"/>
        <v>6.370641319331842E-3</v>
      </c>
      <c r="Z81" s="66">
        <f t="shared" si="72"/>
        <v>6.2082513184366283E-3</v>
      </c>
      <c r="AA81" s="66">
        <f t="shared" si="72"/>
        <v>6.05245101645808E-3</v>
      </c>
      <c r="AB81" s="66">
        <f t="shared" si="72"/>
        <v>5.9013029505067104E-3</v>
      </c>
      <c r="AC81" s="66">
        <f t="shared" si="72"/>
        <v>5.7533619435061857E-3</v>
      </c>
    </row>
    <row r="82" spans="1:29" x14ac:dyDescent="0.25">
      <c r="A82" s="59" t="str">
        <f>A45</f>
        <v>Market failure (av. utilization)</v>
      </c>
      <c r="B82" s="66">
        <f t="shared" ref="B82:AC82" si="73">B71/B45-B71/B44</f>
        <v>6.8199956541845873E-3</v>
      </c>
      <c r="C82" s="66">
        <f t="shared" si="73"/>
        <v>6.6696724129546043E-3</v>
      </c>
      <c r="D82" s="66">
        <f t="shared" si="73"/>
        <v>6.5189995146279663E-3</v>
      </c>
      <c r="E82" s="66">
        <f t="shared" si="73"/>
        <v>6.4145373086967727E-3</v>
      </c>
      <c r="F82" s="66">
        <f t="shared" si="73"/>
        <v>6.3093619483448847E-3</v>
      </c>
      <c r="G82" s="66">
        <f t="shared" si="73"/>
        <v>6.2031869138408618E-3</v>
      </c>
      <c r="H82" s="66">
        <f t="shared" si="73"/>
        <v>6.0956162794002147E-3</v>
      </c>
      <c r="I82" s="66">
        <f t="shared" si="73"/>
        <v>5.9861089316512912E-3</v>
      </c>
      <c r="J82" s="66">
        <f t="shared" si="73"/>
        <v>5.9847249577083782E-3</v>
      </c>
      <c r="K82" s="66">
        <f t="shared" si="73"/>
        <v>5.9793023258983662E-3</v>
      </c>
      <c r="L82" s="66">
        <f t="shared" si="73"/>
        <v>5.9683932162718934E-3</v>
      </c>
      <c r="M82" s="66">
        <f t="shared" si="73"/>
        <v>5.9502244093326464E-3</v>
      </c>
      <c r="N82" s="66">
        <f t="shared" si="73"/>
        <v>5.9228139498454617E-3</v>
      </c>
      <c r="O82" s="66">
        <f t="shared" si="73"/>
        <v>5.7781089902906625E-3</v>
      </c>
      <c r="P82" s="66">
        <f t="shared" si="73"/>
        <v>5.6228426830496215E-3</v>
      </c>
      <c r="Q82" s="66">
        <f t="shared" si="73"/>
        <v>5.4578465972957846E-3</v>
      </c>
      <c r="R82" s="66">
        <f t="shared" si="73"/>
        <v>5.286004944448008E-3</v>
      </c>
      <c r="S82" s="66">
        <f t="shared" si="73"/>
        <v>5.1121730903451422E-3</v>
      </c>
      <c r="T82" s="66">
        <f t="shared" si="73"/>
        <v>4.9492421951814088E-3</v>
      </c>
      <c r="U82" s="66">
        <f t="shared" si="73"/>
        <v>4.7951334359589166E-3</v>
      </c>
      <c r="V82" s="66">
        <f t="shared" si="73"/>
        <v>4.6530550544656955E-3</v>
      </c>
      <c r="W82" s="66">
        <f t="shared" si="73"/>
        <v>4.5238558949259253E-3</v>
      </c>
      <c r="X82" s="66">
        <f t="shared" si="73"/>
        <v>4.4065307523038933E-3</v>
      </c>
      <c r="Y82" s="66">
        <f t="shared" si="73"/>
        <v>4.3142174951013371E-3</v>
      </c>
      <c r="Z82" s="66">
        <f t="shared" si="73"/>
        <v>4.2294687615286441E-3</v>
      </c>
      <c r="AA82" s="66">
        <f t="shared" si="73"/>
        <v>4.1503129358753874E-3</v>
      </c>
      <c r="AB82" s="66">
        <f t="shared" si="73"/>
        <v>4.0751499922050127E-3</v>
      </c>
      <c r="AC82" s="66">
        <f t="shared" si="73"/>
        <v>4.0027697250568268E-3</v>
      </c>
    </row>
    <row r="83" spans="1:29" x14ac:dyDescent="0.25">
      <c r="A83" s="59" t="str">
        <f>A46</f>
        <v>Payload loss (fuel)</v>
      </c>
      <c r="B83" s="66">
        <f>B71/(B44-B46)-B71/B44</f>
        <v>1.6094908838890122E-3</v>
      </c>
      <c r="C83" s="66">
        <f t="shared" ref="C83:AC83" si="74">C71/(C44-C46)-C71/C44</f>
        <v>1.5736827499487401E-3</v>
      </c>
      <c r="D83" s="66">
        <f t="shared" si="74"/>
        <v>1.5376669317557316E-3</v>
      </c>
      <c r="E83" s="66">
        <f t="shared" si="74"/>
        <v>1.5123722299239147E-3</v>
      </c>
      <c r="F83" s="66">
        <f t="shared" si="74"/>
        <v>1.4866544711329057E-3</v>
      </c>
      <c r="G83" s="66">
        <f t="shared" si="74"/>
        <v>1.4603456376252461E-3</v>
      </c>
      <c r="H83" s="66">
        <f t="shared" si="74"/>
        <v>1.4332148624756538E-3</v>
      </c>
      <c r="I83" s="66">
        <f t="shared" si="74"/>
        <v>1.4049489214730919E-3</v>
      </c>
      <c r="J83" s="66">
        <f t="shared" si="74"/>
        <v>1.4010670370009828E-3</v>
      </c>
      <c r="K83" s="66">
        <f t="shared" si="74"/>
        <v>1.3948110519301921E-3</v>
      </c>
      <c r="L83" s="66">
        <f t="shared" si="74"/>
        <v>1.3853516866819578E-3</v>
      </c>
      <c r="M83" s="66">
        <f t="shared" si="74"/>
        <v>1.3716946917484568E-3</v>
      </c>
      <c r="N83" s="66">
        <f t="shared" si="74"/>
        <v>1.3527681395179222E-3</v>
      </c>
      <c r="O83" s="66">
        <f t="shared" si="74"/>
        <v>1.3036730671212114E-3</v>
      </c>
      <c r="P83" s="66">
        <f t="shared" si="74"/>
        <v>1.2490313717292388E-3</v>
      </c>
      <c r="Q83" s="66">
        <f t="shared" si="74"/>
        <v>1.1896133284125567E-3</v>
      </c>
      <c r="R83" s="66">
        <f t="shared" si="74"/>
        <v>1.12731896512769E-3</v>
      </c>
      <c r="S83" s="66">
        <f t="shared" si="74"/>
        <v>1.0649908873216259E-3</v>
      </c>
      <c r="T83" s="66">
        <f t="shared" si="74"/>
        <v>1.0071786999467751E-3</v>
      </c>
      <c r="U83" s="66">
        <f t="shared" si="74"/>
        <v>9.5484781782620431E-4</v>
      </c>
      <c r="V83" s="66">
        <f t="shared" si="74"/>
        <v>9.0932288525305723E-4</v>
      </c>
      <c r="W83" s="66">
        <f t="shared" si="74"/>
        <v>8.7069519341936331E-4</v>
      </c>
      <c r="X83" s="66">
        <f t="shared" si="74"/>
        <v>8.3819226344209949E-4</v>
      </c>
      <c r="Y83" s="66">
        <f t="shared" si="74"/>
        <v>8.135044168287725E-4</v>
      </c>
      <c r="Z83" s="66">
        <f t="shared" si="74"/>
        <v>7.9253342189466829E-4</v>
      </c>
      <c r="AA83" s="66">
        <f t="shared" si="74"/>
        <v>7.7427176535235266E-4</v>
      </c>
      <c r="AB83" s="66">
        <f t="shared" si="74"/>
        <v>7.5792412999092437E-4</v>
      </c>
      <c r="AC83" s="66">
        <f t="shared" si="74"/>
        <v>7.4289986388594367E-4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2.2908180703883885E-2</v>
      </c>
      <c r="C85" s="67">
        <f t="shared" ref="C85:AC85" si="76">C74+C75+C76+C77+C78+C79+C80+C81+C82+C83+C84</f>
        <v>2.2402612441099916E-2</v>
      </c>
      <c r="D85" s="67">
        <f t="shared" si="76"/>
        <v>2.1895743815636162E-2</v>
      </c>
      <c r="E85" s="67">
        <f t="shared" si="76"/>
        <v>2.1544004720269367E-2</v>
      </c>
      <c r="F85" s="67">
        <f t="shared" si="76"/>
        <v>2.1189613960378703E-2</v>
      </c>
      <c r="G85" s="67">
        <f t="shared" si="76"/>
        <v>2.0831508144045975E-2</v>
      </c>
      <c r="H85" s="67">
        <f t="shared" si="76"/>
        <v>2.0468219136269367E-2</v>
      </c>
      <c r="I85" s="67">
        <f t="shared" si="76"/>
        <v>2.0097742733551412E-2</v>
      </c>
      <c r="J85" s="67">
        <f t="shared" si="76"/>
        <v>2.0089535930507704E-2</v>
      </c>
      <c r="K85" s="67">
        <f t="shared" si="76"/>
        <v>2.0066334221030623E-2</v>
      </c>
      <c r="L85" s="67">
        <f t="shared" si="76"/>
        <v>2.0022783888199662E-2</v>
      </c>
      <c r="M85" s="67">
        <f t="shared" si="76"/>
        <v>1.995234937158101E-2</v>
      </c>
      <c r="N85" s="67">
        <f t="shared" si="76"/>
        <v>1.9847765133453023E-2</v>
      </c>
      <c r="O85" s="67">
        <f t="shared" si="76"/>
        <v>1.934646706244756E-2</v>
      </c>
      <c r="P85" s="67">
        <f t="shared" si="76"/>
        <v>1.8806618156927347E-2</v>
      </c>
      <c r="Q85" s="67">
        <f t="shared" si="76"/>
        <v>1.8231587345629918E-2</v>
      </c>
      <c r="R85" s="67">
        <f t="shared" si="76"/>
        <v>1.7632287817195745E-2</v>
      </c>
      <c r="S85" s="67">
        <f t="shared" si="76"/>
        <v>1.7026735195318228E-2</v>
      </c>
      <c r="T85" s="67">
        <f t="shared" si="76"/>
        <v>1.6459763960556709E-2</v>
      </c>
      <c r="U85" s="67">
        <f t="shared" si="76"/>
        <v>1.5925843205865854E-2</v>
      </c>
      <c r="V85" s="67">
        <f t="shared" si="76"/>
        <v>1.543632333112639E-2</v>
      </c>
      <c r="W85" s="67">
        <f t="shared" si="76"/>
        <v>1.4993948265730911E-2</v>
      </c>
      <c r="X85" s="67">
        <f t="shared" si="76"/>
        <v>1.4594804265059798E-2</v>
      </c>
      <c r="Y85" s="67">
        <f t="shared" si="76"/>
        <v>1.4281637489688484E-2</v>
      </c>
      <c r="Z85" s="67">
        <f t="shared" si="76"/>
        <v>1.3995826702339717E-2</v>
      </c>
      <c r="AA85" s="67">
        <f t="shared" si="76"/>
        <v>1.3730203090630973E-2</v>
      </c>
      <c r="AB85" s="67">
        <f t="shared" si="76"/>
        <v>1.3478971256299623E-2</v>
      </c>
      <c r="AC85" s="67">
        <f t="shared" si="76"/>
        <v>1.3237758655356561E-2</v>
      </c>
    </row>
    <row r="87" spans="1:29" x14ac:dyDescent="0.25">
      <c r="B87" s="40"/>
    </row>
    <row r="107" spans="1:2" s="3" customFormat="1" ht="21" x14ac:dyDescent="0.35">
      <c r="A107" s="2" t="str">
        <f>'Parameter Input'!A223</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Input'!$L$237</f>
        <v>30000000</v>
      </c>
      <c r="C117" s="42">
        <f>'Parameter Input'!$M$237</f>
        <v>19500000</v>
      </c>
      <c r="D117" s="1" t="s">
        <v>15</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Input'!$L$238</f>
        <v>-1500000</v>
      </c>
      <c r="C118" s="61">
        <f>'Parameter Input'!$M$238</f>
        <v>-1950000</v>
      </c>
      <c r="D118" s="1" t="s">
        <v>15</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Input'!$L$244</f>
        <v>0.06</v>
      </c>
      <c r="C121" s="91">
        <f>'Parameter Input'!$M$244</f>
        <v>0.06</v>
      </c>
      <c r="D121" s="1" t="s">
        <v>57</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Input'!$L$240</f>
        <v>338823.5294117647</v>
      </c>
      <c r="C123" s="61">
        <f>'Parameter Input'!$M$240</f>
        <v>338823.5294117647</v>
      </c>
      <c r="D123" s="1" t="s">
        <v>38</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Input'!$L$241</f>
        <v>589</v>
      </c>
      <c r="C125" s="61">
        <f>'Parameter Input'!$M$241</f>
        <v>519</v>
      </c>
      <c r="D125" s="1" t="s">
        <v>60</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Input'!$L$242</f>
        <v>0.2544561408768215</v>
      </c>
      <c r="C126" s="61">
        <f>'Parameter Input'!$M$242</f>
        <v>0.10949010032952979</v>
      </c>
      <c r="D126" s="1" t="s">
        <v>68</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Input'!$L$245</f>
        <v>0</v>
      </c>
      <c r="C127" s="116">
        <f>'Parameter Input'!$M$245</f>
        <v>0</v>
      </c>
      <c r="D127" s="1" t="s">
        <v>76</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Input'!$L$239</f>
        <v>25</v>
      </c>
      <c r="C128" s="61">
        <f>'Parameter Input'!$M$239</f>
        <v>25</v>
      </c>
      <c r="D128" s="1" t="s">
        <v>42</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Input'!$L$243</f>
        <v>0.1</v>
      </c>
      <c r="C132" s="46">
        <f>'Parameter Input'!$M$243</f>
        <v>0.08</v>
      </c>
      <c r="D132" s="1" t="s">
        <v>57</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25">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25">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12472299.894931514</v>
      </c>
      <c r="C163" s="62">
        <f t="shared" ref="C163:AC163" si="127">C145*C146*C153</f>
        <v>12110872.348256061</v>
      </c>
      <c r="D163" s="62">
        <f t="shared" si="127"/>
        <v>11748953.388157712</v>
      </c>
      <c r="E163" s="62">
        <f t="shared" si="127"/>
        <v>11498892.282875093</v>
      </c>
      <c r="F163" s="62">
        <f t="shared" si="127"/>
        <v>11247828.033854185</v>
      </c>
      <c r="G163" s="62">
        <f t="shared" si="127"/>
        <v>10995372.481108731</v>
      </c>
      <c r="H163" s="62">
        <f t="shared" si="127"/>
        <v>10740996.203802552</v>
      </c>
      <c r="I163" s="62">
        <f t="shared" si="127"/>
        <v>10483985.902279541</v>
      </c>
      <c r="J163" s="62">
        <f t="shared" si="127"/>
        <v>10490368.064924525</v>
      </c>
      <c r="K163" s="62">
        <f t="shared" si="127"/>
        <v>10490943.642778551</v>
      </c>
      <c r="L163" s="62">
        <f t="shared" si="127"/>
        <v>10483623.811486064</v>
      </c>
      <c r="M163" s="62">
        <f t="shared" si="127"/>
        <v>10465846.489763714</v>
      </c>
      <c r="N163" s="62">
        <f t="shared" si="127"/>
        <v>10434742.015750067</v>
      </c>
      <c r="O163" s="62">
        <f t="shared" si="127"/>
        <v>10131722.871018343</v>
      </c>
      <c r="P163" s="62">
        <f t="shared" si="127"/>
        <v>9815100.6995524112</v>
      </c>
      <c r="Q163" s="62">
        <f t="shared" si="127"/>
        <v>9486536.7053746637</v>
      </c>
      <c r="R163" s="62">
        <f t="shared" si="127"/>
        <v>9150504.607398171</v>
      </c>
      <c r="S163" s="62">
        <f t="shared" si="127"/>
        <v>8814024.4288624842</v>
      </c>
      <c r="T163" s="62">
        <f t="shared" si="127"/>
        <v>8502191.139200503</v>
      </c>
      <c r="U163" s="62">
        <f t="shared" si="127"/>
        <v>8204371.8422408579</v>
      </c>
      <c r="V163" s="62">
        <f t="shared" si="127"/>
        <v>7924500.6322701462</v>
      </c>
      <c r="W163" s="62">
        <f t="shared" si="127"/>
        <v>7663216.0021006558</v>
      </c>
      <c r="X163" s="62">
        <f t="shared" si="127"/>
        <v>7418684.4341573743</v>
      </c>
      <c r="Y163" s="62">
        <f t="shared" si="127"/>
        <v>7224307.2561223088</v>
      </c>
      <c r="Z163" s="62">
        <f t="shared" si="127"/>
        <v>7040156.9951071367</v>
      </c>
      <c r="AA163" s="62">
        <f t="shared" si="127"/>
        <v>6863479.4526634626</v>
      </c>
      <c r="AB163" s="62">
        <f t="shared" si="127"/>
        <v>6692077.5458746096</v>
      </c>
      <c r="AC163" s="62">
        <f t="shared" si="127"/>
        <v>6524312.4439360145</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16801601.833669968</v>
      </c>
      <c r="C165" s="64">
        <f t="shared" ref="C165:AC165" si="129">C156+C157+C158+C159+C160+C161+C162+C163+C164</f>
        <v>16439360.403116018</v>
      </c>
      <c r="D165" s="64">
        <f t="shared" si="129"/>
        <v>16076276.386373401</v>
      </c>
      <c r="E165" s="64">
        <f t="shared" si="129"/>
        <v>15824548.585630707</v>
      </c>
      <c r="F165" s="64">
        <f t="shared" si="129"/>
        <v>15571102.261022741</v>
      </c>
      <c r="G165" s="64">
        <f t="shared" si="129"/>
        <v>15315246.971626675</v>
      </c>
      <c r="H165" s="64">
        <f t="shared" si="129"/>
        <v>15056028.635283329</v>
      </c>
      <c r="I165" s="64">
        <f t="shared" si="129"/>
        <v>14792143.304045357</v>
      </c>
      <c r="J165" s="64">
        <f t="shared" si="129"/>
        <v>14788808.272836424</v>
      </c>
      <c r="K165" s="64">
        <f t="shared" si="129"/>
        <v>14775741.085832246</v>
      </c>
      <c r="L165" s="64">
        <f t="shared" si="129"/>
        <v>14749452.858909855</v>
      </c>
      <c r="M165" s="64">
        <f t="shared" si="129"/>
        <v>14705670.576388001</v>
      </c>
      <c r="N165" s="64">
        <f t="shared" si="129"/>
        <v>14639618.221638758</v>
      </c>
      <c r="O165" s="64">
        <f t="shared" si="129"/>
        <v>14290915.445351578</v>
      </c>
      <c r="P165" s="64">
        <f t="shared" si="129"/>
        <v>13916762.461477488</v>
      </c>
      <c r="Q165" s="64">
        <f t="shared" si="129"/>
        <v>13519163.143832177</v>
      </c>
      <c r="R165" s="64">
        <f t="shared" si="129"/>
        <v>13105067.720882244</v>
      </c>
      <c r="S165" s="64">
        <f t="shared" si="129"/>
        <v>12686176.410457861</v>
      </c>
      <c r="T165" s="64">
        <f t="shared" si="129"/>
        <v>12293553.685837056</v>
      </c>
      <c r="U165" s="64">
        <f t="shared" si="129"/>
        <v>11922190.103300657</v>
      </c>
      <c r="V165" s="64">
        <f t="shared" si="129"/>
        <v>11579816.723497367</v>
      </c>
      <c r="W165" s="64">
        <f t="shared" si="129"/>
        <v>11268479.048796404</v>
      </c>
      <c r="X165" s="64">
        <f t="shared" si="129"/>
        <v>10985754.786362961</v>
      </c>
      <c r="Y165" s="64">
        <f t="shared" si="129"/>
        <v>10763302.914819103</v>
      </c>
      <c r="Z165" s="64">
        <f t="shared" si="129"/>
        <v>10559079.654092308</v>
      </c>
      <c r="AA165" s="64">
        <f t="shared" si="129"/>
        <v>10368333.903224371</v>
      </c>
      <c r="AB165" s="64">
        <f t="shared" si="129"/>
        <v>10187209.999714686</v>
      </c>
      <c r="AC165" s="64">
        <f t="shared" si="129"/>
        <v>10012791.650954345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25">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103.93583245776261</v>
      </c>
      <c r="C175" s="66">
        <f t="shared" ref="C175:AC175" si="138">C145*C146*C153/C153</f>
        <v>100.92393623546717</v>
      </c>
      <c r="D175" s="66">
        <f t="shared" si="138"/>
        <v>97.907944901314266</v>
      </c>
      <c r="E175" s="66">
        <f t="shared" si="138"/>
        <v>95.824102357292446</v>
      </c>
      <c r="F175" s="66">
        <f t="shared" si="138"/>
        <v>93.731900282118204</v>
      </c>
      <c r="G175" s="66">
        <f t="shared" si="138"/>
        <v>91.628104009239422</v>
      </c>
      <c r="H175" s="66">
        <f t="shared" si="138"/>
        <v>89.5083016983546</v>
      </c>
      <c r="I175" s="66">
        <f t="shared" si="138"/>
        <v>87.366549185662848</v>
      </c>
      <c r="J175" s="66">
        <f t="shared" si="138"/>
        <v>87.419733874371047</v>
      </c>
      <c r="K175" s="66">
        <f t="shared" si="138"/>
        <v>87.424530356487921</v>
      </c>
      <c r="L175" s="66">
        <f t="shared" si="138"/>
        <v>87.363531762383857</v>
      </c>
      <c r="M175" s="66">
        <f t="shared" si="138"/>
        <v>87.215387414697616</v>
      </c>
      <c r="N175" s="66">
        <f t="shared" si="138"/>
        <v>86.956183464583887</v>
      </c>
      <c r="O175" s="66">
        <f t="shared" si="138"/>
        <v>84.431023925152857</v>
      </c>
      <c r="P175" s="66">
        <f t="shared" si="138"/>
        <v>81.792505829603428</v>
      </c>
      <c r="Q175" s="66">
        <f t="shared" si="138"/>
        <v>79.054472544788865</v>
      </c>
      <c r="R175" s="66">
        <f t="shared" si="138"/>
        <v>76.254205061651419</v>
      </c>
      <c r="S175" s="66">
        <f t="shared" si="138"/>
        <v>73.45020357385404</v>
      </c>
      <c r="T175" s="66">
        <f t="shared" si="138"/>
        <v>70.851592826670853</v>
      </c>
      <c r="U175" s="66">
        <f t="shared" si="138"/>
        <v>68.36976535200715</v>
      </c>
      <c r="V175" s="66">
        <f t="shared" si="138"/>
        <v>66.037505268917883</v>
      </c>
      <c r="W175" s="66">
        <f t="shared" si="138"/>
        <v>63.860133350838801</v>
      </c>
      <c r="X175" s="66">
        <f t="shared" si="138"/>
        <v>61.822370284644784</v>
      </c>
      <c r="Y175" s="66">
        <f t="shared" si="138"/>
        <v>60.202560467685906</v>
      </c>
      <c r="Z175" s="66">
        <f t="shared" si="138"/>
        <v>58.667974959226136</v>
      </c>
      <c r="AA175" s="66">
        <f t="shared" si="138"/>
        <v>57.195662105528854</v>
      </c>
      <c r="AB175" s="66">
        <f t="shared" si="138"/>
        <v>55.767312882288415</v>
      </c>
      <c r="AC175" s="66">
        <f t="shared" si="138"/>
        <v>54.369270366133456</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140.665237932352</v>
      </c>
      <c r="C177" s="76">
        <f t="shared" ref="C177:AC177" si="141">C168+C169+C170-C171+C172+C173+C174+C175+C176</f>
        <v>137.64655934440242</v>
      </c>
      <c r="D177" s="76">
        <f t="shared" si="141"/>
        <v>134.62085920488062</v>
      </c>
      <c r="E177" s="76">
        <f t="shared" si="141"/>
        <v>132.52312753202483</v>
      </c>
      <c r="F177" s="76">
        <f t="shared" si="141"/>
        <v>130.41107482695844</v>
      </c>
      <c r="G177" s="76">
        <f t="shared" si="141"/>
        <v>128.27894741532458</v>
      </c>
      <c r="H177" s="76">
        <f t="shared" si="141"/>
        <v>126.11879461246335</v>
      </c>
      <c r="I177" s="76">
        <f t="shared" si="141"/>
        <v>123.91975018548027</v>
      </c>
      <c r="J177" s="76">
        <f t="shared" si="141"/>
        <v>123.89195825873915</v>
      </c>
      <c r="K177" s="76">
        <f t="shared" si="141"/>
        <v>123.78306503370433</v>
      </c>
      <c r="L177" s="76">
        <f t="shared" si="141"/>
        <v>123.56399647601773</v>
      </c>
      <c r="M177" s="76">
        <f t="shared" si="141"/>
        <v>123.19914412166895</v>
      </c>
      <c r="N177" s="76">
        <f t="shared" si="141"/>
        <v>122.64870783209193</v>
      </c>
      <c r="O177" s="76">
        <f t="shared" si="141"/>
        <v>119.7428513630321</v>
      </c>
      <c r="P177" s="76">
        <f t="shared" si="141"/>
        <v>116.62490983074801</v>
      </c>
      <c r="Q177" s="76">
        <f t="shared" si="141"/>
        <v>113.31158218370373</v>
      </c>
      <c r="R177" s="76">
        <f t="shared" si="141"/>
        <v>109.86078699245431</v>
      </c>
      <c r="S177" s="76">
        <f t="shared" si="141"/>
        <v>106.37002607225114</v>
      </c>
      <c r="T177" s="76">
        <f t="shared" si="141"/>
        <v>103.0981700337444</v>
      </c>
      <c r="U177" s="76">
        <f t="shared" si="141"/>
        <v>100.00347351260774</v>
      </c>
      <c r="V177" s="76">
        <f t="shared" si="141"/>
        <v>97.150362014247008</v>
      </c>
      <c r="W177" s="76">
        <f t="shared" si="141"/>
        <v>94.555881391738978</v>
      </c>
      <c r="X177" s="76">
        <f t="shared" si="141"/>
        <v>92.199845871460298</v>
      </c>
      <c r="Y177" s="76">
        <f t="shared" si="141"/>
        <v>90.346080275261471</v>
      </c>
      <c r="Z177" s="76">
        <f t="shared" si="141"/>
        <v>88.644219769204852</v>
      </c>
      <c r="AA177" s="76">
        <f t="shared" si="141"/>
        <v>87.054671845305393</v>
      </c>
      <c r="AB177" s="76">
        <f t="shared" si="141"/>
        <v>85.54530598272467</v>
      </c>
      <c r="AC177" s="76">
        <f t="shared" si="141"/>
        <v>84.091819743055169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25">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1.0998500789181229E-2</v>
      </c>
      <c r="C187" s="66">
        <f t="shared" ref="C187:AC187" si="150">C145*C146*C153/C153/(C150)</f>
        <v>1.0679781612218747E-2</v>
      </c>
      <c r="D187" s="66">
        <f t="shared" si="150"/>
        <v>1.0360629090086166E-2</v>
      </c>
      <c r="E187" s="66">
        <f t="shared" si="150"/>
        <v>1.0140116651565338E-2</v>
      </c>
      <c r="F187" s="66">
        <f t="shared" si="150"/>
        <v>9.9187196065733552E-3</v>
      </c>
      <c r="G187" s="66">
        <f t="shared" si="150"/>
        <v>9.6960956623533788E-3</v>
      </c>
      <c r="H187" s="66">
        <f t="shared" si="150"/>
        <v>9.4717779574978421E-3</v>
      </c>
      <c r="I187" s="66">
        <f t="shared" si="150"/>
        <v>9.2451374799643223E-3</v>
      </c>
      <c r="J187" s="66">
        <f t="shared" si="150"/>
        <v>9.2507654893514337E-3</v>
      </c>
      <c r="K187" s="66">
        <f t="shared" si="150"/>
        <v>9.2512730535966054E-3</v>
      </c>
      <c r="L187" s="66">
        <f t="shared" si="150"/>
        <v>9.2448181759136362E-3</v>
      </c>
      <c r="M187" s="66">
        <f t="shared" si="150"/>
        <v>9.2291415253648278E-3</v>
      </c>
      <c r="N187" s="66">
        <f t="shared" si="150"/>
        <v>9.2017125359348025E-3</v>
      </c>
      <c r="O187" s="66">
        <f t="shared" si="150"/>
        <v>8.9344998862595608E-3</v>
      </c>
      <c r="P187" s="66">
        <f t="shared" si="150"/>
        <v>8.6552916221802577E-3</v>
      </c>
      <c r="Q187" s="66">
        <f t="shared" si="150"/>
        <v>8.3655526502422074E-3</v>
      </c>
      <c r="R187" s="66">
        <f t="shared" si="150"/>
        <v>8.0692280488520018E-3</v>
      </c>
      <c r="S187" s="66">
        <f t="shared" si="150"/>
        <v>7.772508314693549E-3</v>
      </c>
      <c r="T187" s="66">
        <f t="shared" si="150"/>
        <v>7.4975230504413602E-3</v>
      </c>
      <c r="U187" s="66">
        <f t="shared" si="150"/>
        <v>7.2348958044452013E-3</v>
      </c>
      <c r="V187" s="66">
        <f t="shared" si="150"/>
        <v>6.9880957956526858E-3</v>
      </c>
      <c r="W187" s="66">
        <f t="shared" si="150"/>
        <v>6.7576860688718307E-3</v>
      </c>
      <c r="X187" s="66">
        <f t="shared" si="150"/>
        <v>6.542049765570877E-3</v>
      </c>
      <c r="Y187" s="66">
        <f t="shared" si="150"/>
        <v>6.370641319331842E-3</v>
      </c>
      <c r="Z187" s="66">
        <f t="shared" si="150"/>
        <v>6.2082513184366283E-3</v>
      </c>
      <c r="AA187" s="66">
        <f t="shared" si="150"/>
        <v>6.05245101645808E-3</v>
      </c>
      <c r="AB187" s="66">
        <f t="shared" si="150"/>
        <v>5.9013029505067104E-3</v>
      </c>
      <c r="AC187" s="66">
        <f t="shared" si="150"/>
        <v>5.7533619435061857E-3</v>
      </c>
    </row>
    <row r="188" spans="1:29" x14ac:dyDescent="0.25">
      <c r="A188" s="59" t="str">
        <f>A151</f>
        <v>Market failure (av. utilization)</v>
      </c>
      <c r="B188" s="66">
        <f t="shared" ref="B188:AC188" si="151">B177/B151-B177/B150</f>
        <v>1.1077365851692542E-2</v>
      </c>
      <c r="C188" s="66">
        <f t="shared" si="151"/>
        <v>1.0839645377189315E-2</v>
      </c>
      <c r="D188" s="66">
        <f t="shared" si="151"/>
        <v>1.0601371956579744E-2</v>
      </c>
      <c r="E188" s="66">
        <f t="shared" si="151"/>
        <v>1.0436175909990882E-2</v>
      </c>
      <c r="F188" s="66">
        <f t="shared" si="151"/>
        <v>1.0269852084318125E-2</v>
      </c>
      <c r="G188" s="66">
        <f t="shared" si="151"/>
        <v>1.0101947378590838E-2</v>
      </c>
      <c r="H188" s="66">
        <f t="shared" si="151"/>
        <v>9.9318356776149311E-3</v>
      </c>
      <c r="I188" s="66">
        <f t="shared" si="151"/>
        <v>9.7586612672212851E-3</v>
      </c>
      <c r="J188" s="66">
        <f t="shared" si="151"/>
        <v>9.7564726572650484E-3</v>
      </c>
      <c r="K188" s="66">
        <f t="shared" si="151"/>
        <v>9.7478973325422404E-3</v>
      </c>
      <c r="L188" s="66">
        <f t="shared" si="151"/>
        <v>9.7306457173189816E-3</v>
      </c>
      <c r="M188" s="66">
        <f t="shared" si="151"/>
        <v>9.7019136505313314E-3</v>
      </c>
      <c r="N188" s="66">
        <f t="shared" si="151"/>
        <v>9.6585668773888078E-3</v>
      </c>
      <c r="O188" s="66">
        <f t="shared" si="151"/>
        <v>9.4297311273951693E-3</v>
      </c>
      <c r="P188" s="66">
        <f t="shared" si="151"/>
        <v>9.1841937112930629E-3</v>
      </c>
      <c r="Q188" s="66">
        <f t="shared" si="151"/>
        <v>8.9232696687055989E-3</v>
      </c>
      <c r="R188" s="66">
        <f t="shared" si="151"/>
        <v>8.6515200781556237E-3</v>
      </c>
      <c r="S188" s="66">
        <f t="shared" si="151"/>
        <v>8.376623192597606E-3</v>
      </c>
      <c r="T188" s="66">
        <f t="shared" si="151"/>
        <v>8.1189650328037898E-3</v>
      </c>
      <c r="U188" s="66">
        <f t="shared" si="151"/>
        <v>7.875258157754271E-3</v>
      </c>
      <c r="V188" s="66">
        <f t="shared" si="151"/>
        <v>7.6505760660905732E-3</v>
      </c>
      <c r="W188" s="66">
        <f t="shared" si="151"/>
        <v>7.4462611161207008E-3</v>
      </c>
      <c r="X188" s="66">
        <f t="shared" si="151"/>
        <v>7.2607236812765596E-3</v>
      </c>
      <c r="Y188" s="66">
        <f t="shared" si="151"/>
        <v>7.1147399257004244E-3</v>
      </c>
      <c r="Z188" s="66">
        <f t="shared" si="151"/>
        <v>6.9807186726087225E-3</v>
      </c>
      <c r="AA188" s="66">
        <f t="shared" si="151"/>
        <v>6.8555420180872947E-3</v>
      </c>
      <c r="AB188" s="66">
        <f t="shared" si="151"/>
        <v>6.73667968856205E-3</v>
      </c>
      <c r="AC188" s="66">
        <f t="shared" si="151"/>
        <v>6.622217870746315E-3</v>
      </c>
    </row>
    <row r="189" spans="1:29" x14ac:dyDescent="0.25">
      <c r="A189" s="59" t="str">
        <f>A152</f>
        <v>Payload loss (fuel)</v>
      </c>
      <c r="B189" s="66">
        <f>B177/(B150-B152)-B177/B150</f>
        <v>1.6531050992271978E-3</v>
      </c>
      <c r="C189" s="66">
        <f t="shared" ref="C189:AC189" si="152">C177/(C150-C152)-C177/C150</f>
        <v>1.6172877529628624E-3</v>
      </c>
      <c r="D189" s="66">
        <f t="shared" si="152"/>
        <v>1.5812587482101001E-3</v>
      </c>
      <c r="E189" s="66">
        <f t="shared" si="152"/>
        <v>1.5559451834628799E-3</v>
      </c>
      <c r="F189" s="66">
        <f t="shared" si="152"/>
        <v>1.5302004682345872E-3</v>
      </c>
      <c r="G189" s="66">
        <f t="shared" si="152"/>
        <v>1.5038531678344819E-3</v>
      </c>
      <c r="H189" s="66">
        <f t="shared" si="152"/>
        <v>1.4766676181023636E-3</v>
      </c>
      <c r="I189" s="66">
        <f t="shared" si="152"/>
        <v>1.4483239286713027E-3</v>
      </c>
      <c r="J189" s="66">
        <f t="shared" si="152"/>
        <v>1.444332201528644E-3</v>
      </c>
      <c r="K189" s="66">
        <f t="shared" si="152"/>
        <v>1.4379220926771848E-3</v>
      </c>
      <c r="L189" s="66">
        <f t="shared" si="152"/>
        <v>1.4282486204118539E-3</v>
      </c>
      <c r="M189" s="66">
        <f t="shared" si="152"/>
        <v>1.4142984344338184E-3</v>
      </c>
      <c r="N189" s="66">
        <f t="shared" si="152"/>
        <v>1.3949784858782489E-3</v>
      </c>
      <c r="O189" s="66">
        <f t="shared" si="152"/>
        <v>1.3453702394126028E-3</v>
      </c>
      <c r="P189" s="66">
        <f t="shared" si="152"/>
        <v>1.2900840082425043E-3</v>
      </c>
      <c r="Q189" s="66">
        <f t="shared" si="152"/>
        <v>1.2298950605067523E-3</v>
      </c>
      <c r="R189" s="66">
        <f t="shared" si="152"/>
        <v>1.1667322732461342E-3</v>
      </c>
      <c r="S189" s="66">
        <f t="shared" si="152"/>
        <v>1.1034911756542063E-3</v>
      </c>
      <c r="T189" s="66">
        <f t="shared" si="152"/>
        <v>1.0447876722372816E-3</v>
      </c>
      <c r="U189" s="66">
        <f t="shared" si="152"/>
        <v>9.9164860455937254E-4</v>
      </c>
      <c r="V189" s="66">
        <f t="shared" si="152"/>
        <v>9.4543921174564984E-4</v>
      </c>
      <c r="W189" s="66">
        <f t="shared" si="152"/>
        <v>9.0626496079770566E-4</v>
      </c>
      <c r="X189" s="66">
        <f t="shared" si="152"/>
        <v>8.7334591816983984E-4</v>
      </c>
      <c r="Y189" s="66">
        <f t="shared" si="152"/>
        <v>8.4835271064881597E-4</v>
      </c>
      <c r="Z189" s="66">
        <f t="shared" si="152"/>
        <v>8.2716365416728166E-4</v>
      </c>
      <c r="AA189" s="66">
        <f t="shared" si="152"/>
        <v>8.087493012063976E-4</v>
      </c>
      <c r="AB189" s="66">
        <f t="shared" si="152"/>
        <v>7.922962069788226E-4</v>
      </c>
      <c r="AC189" s="66">
        <f t="shared" si="152"/>
        <v>7.7719980012023494E-4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2.7546698317471741E-2</v>
      </c>
      <c r="C191" s="67">
        <f t="shared" ref="C191:AC191" si="154">C180+C181+C182+C183+C184+C185+C186+C187+C188+C189+C190</f>
        <v>2.6953723609090464E-2</v>
      </c>
      <c r="D191" s="67">
        <f t="shared" si="154"/>
        <v>2.6359241274784024E-2</v>
      </c>
      <c r="E191" s="67">
        <f t="shared" si="154"/>
        <v>2.5946749475844154E-2</v>
      </c>
      <c r="F191" s="67">
        <f t="shared" si="154"/>
        <v>2.5531183294195341E-2</v>
      </c>
      <c r="G191" s="67">
        <f t="shared" si="154"/>
        <v>2.5111309339746903E-2</v>
      </c>
      <c r="H191" s="67">
        <f t="shared" si="154"/>
        <v>2.4685424490852502E-2</v>
      </c>
      <c r="I191" s="67">
        <f t="shared" si="154"/>
        <v>2.4251203277061331E-2</v>
      </c>
      <c r="J191" s="67">
        <f t="shared" si="154"/>
        <v>2.4242081995333748E-2</v>
      </c>
      <c r="K191" s="67">
        <f t="shared" si="154"/>
        <v>2.4215573469163205E-2</v>
      </c>
      <c r="L191" s="67">
        <f t="shared" si="154"/>
        <v>2.4165466523718364E-2</v>
      </c>
      <c r="M191" s="67">
        <f t="shared" si="154"/>
        <v>2.4084175556206774E-2</v>
      </c>
      <c r="N191" s="67">
        <f t="shared" si="154"/>
        <v>2.3963261608098411E-2</v>
      </c>
      <c r="O191" s="67">
        <f t="shared" si="154"/>
        <v>2.3377319572585178E-2</v>
      </c>
      <c r="P191" s="67">
        <f t="shared" si="154"/>
        <v>2.2746555022425768E-2</v>
      </c>
      <c r="Q191" s="67">
        <f t="shared" si="154"/>
        <v>2.2074825349875649E-2</v>
      </c>
      <c r="R191" s="67">
        <f t="shared" si="154"/>
        <v>2.1374749459763524E-2</v>
      </c>
      <c r="S191" s="67">
        <f t="shared" si="154"/>
        <v>2.0667218786644986E-2</v>
      </c>
      <c r="T191" s="67">
        <f t="shared" si="154"/>
        <v>2.0004628971211313E-2</v>
      </c>
      <c r="U191" s="67">
        <f t="shared" si="154"/>
        <v>1.9380301915136091E-2</v>
      </c>
      <c r="V191" s="67">
        <f t="shared" si="154"/>
        <v>1.8807493869985578E-2</v>
      </c>
      <c r="W191" s="67">
        <f t="shared" si="154"/>
        <v>1.8289456455045743E-2</v>
      </c>
      <c r="X191" s="67">
        <f t="shared" si="154"/>
        <v>1.7821684049501921E-2</v>
      </c>
      <c r="Y191" s="67">
        <f t="shared" si="154"/>
        <v>1.7454541414849326E-2</v>
      </c>
      <c r="Z191" s="67">
        <f t="shared" si="154"/>
        <v>1.7119240046434125E-2</v>
      </c>
      <c r="AA191" s="67">
        <f t="shared" si="154"/>
        <v>1.6807442909438641E-2</v>
      </c>
      <c r="AB191" s="67">
        <f t="shared" si="154"/>
        <v>1.6512406230386273E-2</v>
      </c>
      <c r="AC191" s="67">
        <f t="shared" si="154"/>
        <v>1.6229039938022057E-2</v>
      </c>
    </row>
    <row r="193" spans="2:2" x14ac:dyDescent="0.25">
      <c r="B193" s="40"/>
    </row>
    <row r="215" spans="1:44" s="3" customFormat="1" ht="21" x14ac:dyDescent="0.35">
      <c r="A215" s="2" t="str">
        <f>'Parameter Input'!A235</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Input'!$L$237</f>
        <v>30000000</v>
      </c>
      <c r="C225" s="42">
        <f>'Parameter Input'!$M$237</f>
        <v>19500000</v>
      </c>
      <c r="D225" s="1" t="s">
        <v>15</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Input'!$L$238</f>
        <v>-1500000</v>
      </c>
      <c r="C226" s="61">
        <f>'Parameter Input'!$M$238</f>
        <v>-1950000</v>
      </c>
      <c r="D226" s="1" t="s">
        <v>15</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Input'!$L$244</f>
        <v>0.06</v>
      </c>
      <c r="C229" s="91">
        <f>'Parameter Input'!$M$244</f>
        <v>0.06</v>
      </c>
      <c r="D229" s="1" t="s">
        <v>57</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Input'!$L$240</f>
        <v>338823.5294117647</v>
      </c>
      <c r="C231" s="61">
        <f>'Parameter Input'!$M$240</f>
        <v>338823.5294117647</v>
      </c>
      <c r="D231" s="1" t="s">
        <v>38</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Input'!$L$241</f>
        <v>589</v>
      </c>
      <c r="C233" s="61">
        <f>'Parameter Input'!$M$241</f>
        <v>519</v>
      </c>
      <c r="D233" s="1" t="s">
        <v>60</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Input'!$L$242</f>
        <v>0.2544561408768215</v>
      </c>
      <c r="C234" s="61">
        <f>'Parameter Input'!$M$242</f>
        <v>0.10949010032952979</v>
      </c>
      <c r="D234" s="1" t="s">
        <v>68</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Input'!$L$245</f>
        <v>0</v>
      </c>
      <c r="C235" s="116">
        <f>'Parameter Input'!$M$245</f>
        <v>0</v>
      </c>
      <c r="D235" s="1" t="s">
        <v>76</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Input'!$L$239</f>
        <v>25</v>
      </c>
      <c r="C236" s="61">
        <f>'Parameter Input'!$M$239</f>
        <v>25</v>
      </c>
      <c r="D236" s="1" t="s">
        <v>42</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Input'!$L$243</f>
        <v>0.1</v>
      </c>
      <c r="C240" s="46">
        <f>'Parameter Input'!$M$243</f>
        <v>0.08</v>
      </c>
      <c r="D240" s="1" t="s">
        <v>57</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25">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25">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12472299.894931514</v>
      </c>
      <c r="C271" s="62">
        <f t="shared" ref="C271:AC271" si="205">C253*C254*C261</f>
        <v>12110872.348256061</v>
      </c>
      <c r="D271" s="62">
        <f t="shared" si="205"/>
        <v>11748953.388157712</v>
      </c>
      <c r="E271" s="62">
        <f t="shared" si="205"/>
        <v>11498892.282875093</v>
      </c>
      <c r="F271" s="62">
        <f t="shared" si="205"/>
        <v>11247828.033854185</v>
      </c>
      <c r="G271" s="62">
        <f t="shared" si="205"/>
        <v>10995372.481108731</v>
      </c>
      <c r="H271" s="62">
        <f t="shared" si="205"/>
        <v>10740996.203802552</v>
      </c>
      <c r="I271" s="62">
        <f t="shared" si="205"/>
        <v>10483985.902279541</v>
      </c>
      <c r="J271" s="62">
        <f t="shared" si="205"/>
        <v>10490368.064924525</v>
      </c>
      <c r="K271" s="62">
        <f t="shared" si="205"/>
        <v>10490943.642778551</v>
      </c>
      <c r="L271" s="62">
        <f t="shared" si="205"/>
        <v>10483623.811486064</v>
      </c>
      <c r="M271" s="62">
        <f t="shared" si="205"/>
        <v>10465846.489763714</v>
      </c>
      <c r="N271" s="62">
        <f t="shared" si="205"/>
        <v>10434742.015750067</v>
      </c>
      <c r="O271" s="62">
        <f t="shared" si="205"/>
        <v>10131722.871018343</v>
      </c>
      <c r="P271" s="62">
        <f t="shared" si="205"/>
        <v>9815100.6995524112</v>
      </c>
      <c r="Q271" s="62">
        <f t="shared" si="205"/>
        <v>9486536.7053746637</v>
      </c>
      <c r="R271" s="62">
        <f t="shared" si="205"/>
        <v>9150504.607398171</v>
      </c>
      <c r="S271" s="62">
        <f t="shared" si="205"/>
        <v>8814024.4288624842</v>
      </c>
      <c r="T271" s="62">
        <f t="shared" si="205"/>
        <v>8502191.139200503</v>
      </c>
      <c r="U271" s="62">
        <f t="shared" si="205"/>
        <v>8204371.8422408579</v>
      </c>
      <c r="V271" s="62">
        <f t="shared" si="205"/>
        <v>7924500.6322701462</v>
      </c>
      <c r="W271" s="62">
        <f t="shared" si="205"/>
        <v>7663216.0021006558</v>
      </c>
      <c r="X271" s="62">
        <f t="shared" si="205"/>
        <v>7418684.4341573743</v>
      </c>
      <c r="Y271" s="62">
        <f t="shared" si="205"/>
        <v>7224307.2561223088</v>
      </c>
      <c r="Z271" s="62">
        <f t="shared" si="205"/>
        <v>7040156.9951071367</v>
      </c>
      <c r="AA271" s="62">
        <f t="shared" si="205"/>
        <v>6863479.4526634626</v>
      </c>
      <c r="AB271" s="62">
        <f t="shared" si="205"/>
        <v>6692077.5458746096</v>
      </c>
      <c r="AC271" s="62">
        <f t="shared" si="205"/>
        <v>6524312.4439360145</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16414879.643450398</v>
      </c>
      <c r="C273" s="64">
        <f t="shared" ref="C273:AC273" si="207">C264+C265+C266+C267+C268+C269+C270+C271+C272</f>
        <v>16052638.212896446</v>
      </c>
      <c r="D273" s="64">
        <f t="shared" si="207"/>
        <v>15689554.196153827</v>
      </c>
      <c r="E273" s="64">
        <f t="shared" si="207"/>
        <v>15437826.395411136</v>
      </c>
      <c r="F273" s="64">
        <f t="shared" si="207"/>
        <v>15184380.070803169</v>
      </c>
      <c r="G273" s="64">
        <f t="shared" si="207"/>
        <v>14928524.781407103</v>
      </c>
      <c r="H273" s="64">
        <f t="shared" si="207"/>
        <v>14669306.445063755</v>
      </c>
      <c r="I273" s="64">
        <f t="shared" si="207"/>
        <v>14405421.113825785</v>
      </c>
      <c r="J273" s="64">
        <f t="shared" si="207"/>
        <v>14402086.082616851</v>
      </c>
      <c r="K273" s="64">
        <f t="shared" si="207"/>
        <v>14389018.895612674</v>
      </c>
      <c r="L273" s="64">
        <f t="shared" si="207"/>
        <v>14362730.668690283</v>
      </c>
      <c r="M273" s="64">
        <f t="shared" si="207"/>
        <v>14318948.386168428</v>
      </c>
      <c r="N273" s="64">
        <f t="shared" si="207"/>
        <v>14252896.031419186</v>
      </c>
      <c r="O273" s="64">
        <f t="shared" si="207"/>
        <v>13904193.255132006</v>
      </c>
      <c r="P273" s="64">
        <f t="shared" si="207"/>
        <v>13530040.271257915</v>
      </c>
      <c r="Q273" s="64">
        <f t="shared" si="207"/>
        <v>13132440.953612603</v>
      </c>
      <c r="R273" s="64">
        <f t="shared" si="207"/>
        <v>12718345.530662673</v>
      </c>
      <c r="S273" s="64">
        <f t="shared" si="207"/>
        <v>12299454.220238291</v>
      </c>
      <c r="T273" s="64">
        <f t="shared" si="207"/>
        <v>11906831.495617483</v>
      </c>
      <c r="U273" s="64">
        <f t="shared" si="207"/>
        <v>11535467.913081083</v>
      </c>
      <c r="V273" s="64">
        <f t="shared" si="207"/>
        <v>11193094.533277795</v>
      </c>
      <c r="W273" s="64">
        <f t="shared" si="207"/>
        <v>10881756.85857683</v>
      </c>
      <c r="X273" s="64">
        <f t="shared" si="207"/>
        <v>10599032.596143389</v>
      </c>
      <c r="Y273" s="64">
        <f t="shared" si="207"/>
        <v>10376580.724599529</v>
      </c>
      <c r="Z273" s="64">
        <f t="shared" si="207"/>
        <v>10172357.463872738</v>
      </c>
      <c r="AA273" s="64">
        <f t="shared" si="207"/>
        <v>9981611.7130047996</v>
      </c>
      <c r="AB273" s="64">
        <f t="shared" si="207"/>
        <v>9800487.8094951138</v>
      </c>
      <c r="AC273" s="64">
        <f t="shared" si="207"/>
        <v>9626069.4607347734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25">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103.93583245776261</v>
      </c>
      <c r="C283" s="66">
        <f t="shared" ref="C283:AC283" si="216">C253*C254*C261/C261</f>
        <v>100.92393623546717</v>
      </c>
      <c r="D283" s="66">
        <f t="shared" si="216"/>
        <v>97.907944901314266</v>
      </c>
      <c r="E283" s="66">
        <f t="shared" si="216"/>
        <v>95.824102357292446</v>
      </c>
      <c r="F283" s="66">
        <f t="shared" si="216"/>
        <v>93.731900282118204</v>
      </c>
      <c r="G283" s="66">
        <f t="shared" si="216"/>
        <v>91.628104009239422</v>
      </c>
      <c r="H283" s="66">
        <f t="shared" si="216"/>
        <v>89.5083016983546</v>
      </c>
      <c r="I283" s="66">
        <f t="shared" si="216"/>
        <v>87.366549185662848</v>
      </c>
      <c r="J283" s="66">
        <f t="shared" si="216"/>
        <v>87.419733874371047</v>
      </c>
      <c r="K283" s="66">
        <f t="shared" si="216"/>
        <v>87.424530356487921</v>
      </c>
      <c r="L283" s="66">
        <f t="shared" si="216"/>
        <v>87.363531762383857</v>
      </c>
      <c r="M283" s="66">
        <f t="shared" si="216"/>
        <v>87.215387414697616</v>
      </c>
      <c r="N283" s="66">
        <f t="shared" si="216"/>
        <v>86.956183464583887</v>
      </c>
      <c r="O283" s="66">
        <f t="shared" si="216"/>
        <v>84.431023925152857</v>
      </c>
      <c r="P283" s="66">
        <f t="shared" si="216"/>
        <v>81.792505829603428</v>
      </c>
      <c r="Q283" s="66">
        <f t="shared" si="216"/>
        <v>79.054472544788865</v>
      </c>
      <c r="R283" s="66">
        <f t="shared" si="216"/>
        <v>76.254205061651419</v>
      </c>
      <c r="S283" s="66">
        <f t="shared" si="216"/>
        <v>73.45020357385404</v>
      </c>
      <c r="T283" s="66">
        <f t="shared" si="216"/>
        <v>70.851592826670853</v>
      </c>
      <c r="U283" s="66">
        <f t="shared" si="216"/>
        <v>68.36976535200715</v>
      </c>
      <c r="V283" s="66">
        <f t="shared" si="216"/>
        <v>66.037505268917883</v>
      </c>
      <c r="W283" s="66">
        <f t="shared" si="216"/>
        <v>63.860133350838801</v>
      </c>
      <c r="X283" s="66">
        <f t="shared" si="216"/>
        <v>61.822370284644784</v>
      </c>
      <c r="Y283" s="66">
        <f t="shared" si="216"/>
        <v>60.202560467685906</v>
      </c>
      <c r="Z283" s="66">
        <f t="shared" si="216"/>
        <v>58.667974959226136</v>
      </c>
      <c r="AA283" s="66">
        <f t="shared" si="216"/>
        <v>57.195662105528854</v>
      </c>
      <c r="AB283" s="66">
        <f t="shared" si="216"/>
        <v>55.767312882288415</v>
      </c>
      <c r="AC283" s="66">
        <f t="shared" si="216"/>
        <v>54.369270366133456</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136.9210415591071</v>
      </c>
      <c r="C285" s="76">
        <f t="shared" ref="C285:AC285" si="219">C276+C277+C278-C279+C280+C281+C282+C283+C284</f>
        <v>133.90236297115749</v>
      </c>
      <c r="D285" s="76">
        <f t="shared" si="219"/>
        <v>130.87666283163568</v>
      </c>
      <c r="E285" s="76">
        <f t="shared" si="219"/>
        <v>128.77893115877993</v>
      </c>
      <c r="F285" s="76">
        <f t="shared" si="219"/>
        <v>126.66687845371352</v>
      </c>
      <c r="G285" s="76">
        <f t="shared" si="219"/>
        <v>124.53475104207965</v>
      </c>
      <c r="H285" s="76">
        <f t="shared" si="219"/>
        <v>122.37459823921841</v>
      </c>
      <c r="I285" s="76">
        <f t="shared" si="219"/>
        <v>120.17555381223535</v>
      </c>
      <c r="J285" s="76">
        <f t="shared" si="219"/>
        <v>120.14776188549422</v>
      </c>
      <c r="K285" s="76">
        <f t="shared" si="219"/>
        <v>120.0388686604594</v>
      </c>
      <c r="L285" s="76">
        <f t="shared" si="219"/>
        <v>119.8198001027728</v>
      </c>
      <c r="M285" s="76">
        <f t="shared" si="219"/>
        <v>119.45494774842402</v>
      </c>
      <c r="N285" s="76">
        <f t="shared" si="219"/>
        <v>118.904511458847</v>
      </c>
      <c r="O285" s="76">
        <f t="shared" si="219"/>
        <v>115.99865498978718</v>
      </c>
      <c r="P285" s="76">
        <f t="shared" si="219"/>
        <v>112.88071345750308</v>
      </c>
      <c r="Q285" s="76">
        <f t="shared" si="219"/>
        <v>109.56738581045882</v>
      </c>
      <c r="R285" s="76">
        <f t="shared" si="219"/>
        <v>106.11659061920939</v>
      </c>
      <c r="S285" s="76">
        <f t="shared" si="219"/>
        <v>102.6258296990062</v>
      </c>
      <c r="T285" s="76">
        <f t="shared" si="219"/>
        <v>99.353973660499477</v>
      </c>
      <c r="U285" s="76">
        <f t="shared" si="219"/>
        <v>96.259277139362823</v>
      </c>
      <c r="V285" s="76">
        <f t="shared" si="219"/>
        <v>93.406165641002076</v>
      </c>
      <c r="W285" s="76">
        <f t="shared" si="219"/>
        <v>90.811685018494046</v>
      </c>
      <c r="X285" s="76">
        <f t="shared" si="219"/>
        <v>88.455649498215365</v>
      </c>
      <c r="Y285" s="76">
        <f t="shared" si="219"/>
        <v>86.601883902016539</v>
      </c>
      <c r="Z285" s="76">
        <f t="shared" si="219"/>
        <v>84.900023395959934</v>
      </c>
      <c r="AA285" s="76">
        <f t="shared" si="219"/>
        <v>83.31047547206046</v>
      </c>
      <c r="AB285" s="76">
        <f t="shared" si="219"/>
        <v>81.801109609479738</v>
      </c>
      <c r="AC285" s="76">
        <f t="shared" si="219"/>
        <v>80.347623369810236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25">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1.0998500789181229E-2</v>
      </c>
      <c r="C295" s="66">
        <f t="shared" ref="C295:AC295" si="228">C253*C254*C261/C261/(C258)</f>
        <v>1.0679781612218747E-2</v>
      </c>
      <c r="D295" s="66">
        <f t="shared" si="228"/>
        <v>1.0360629090086166E-2</v>
      </c>
      <c r="E295" s="66">
        <f t="shared" si="228"/>
        <v>1.0140116651565338E-2</v>
      </c>
      <c r="F295" s="66">
        <f t="shared" si="228"/>
        <v>9.9187196065733552E-3</v>
      </c>
      <c r="G295" s="66">
        <f t="shared" si="228"/>
        <v>9.6960956623533788E-3</v>
      </c>
      <c r="H295" s="66">
        <f t="shared" si="228"/>
        <v>9.4717779574978421E-3</v>
      </c>
      <c r="I295" s="66">
        <f t="shared" si="228"/>
        <v>9.2451374799643223E-3</v>
      </c>
      <c r="J295" s="66">
        <f t="shared" si="228"/>
        <v>9.2507654893514337E-3</v>
      </c>
      <c r="K295" s="66">
        <f t="shared" si="228"/>
        <v>9.2512730535966054E-3</v>
      </c>
      <c r="L295" s="66">
        <f t="shared" si="228"/>
        <v>9.2448181759136362E-3</v>
      </c>
      <c r="M295" s="66">
        <f t="shared" si="228"/>
        <v>9.2291415253648278E-3</v>
      </c>
      <c r="N295" s="66">
        <f t="shared" si="228"/>
        <v>9.2017125359348025E-3</v>
      </c>
      <c r="O295" s="66">
        <f t="shared" si="228"/>
        <v>8.9344998862595608E-3</v>
      </c>
      <c r="P295" s="66">
        <f t="shared" si="228"/>
        <v>8.6552916221802577E-3</v>
      </c>
      <c r="Q295" s="66">
        <f t="shared" si="228"/>
        <v>8.3655526502422074E-3</v>
      </c>
      <c r="R295" s="66">
        <f t="shared" si="228"/>
        <v>8.0692280488520018E-3</v>
      </c>
      <c r="S295" s="66">
        <f t="shared" si="228"/>
        <v>7.772508314693549E-3</v>
      </c>
      <c r="T295" s="66">
        <f t="shared" si="228"/>
        <v>7.4975230504413602E-3</v>
      </c>
      <c r="U295" s="66">
        <f t="shared" si="228"/>
        <v>7.2348958044452013E-3</v>
      </c>
      <c r="V295" s="66">
        <f t="shared" si="228"/>
        <v>6.9880957956526858E-3</v>
      </c>
      <c r="W295" s="66">
        <f t="shared" si="228"/>
        <v>6.7576860688718307E-3</v>
      </c>
      <c r="X295" s="66">
        <f t="shared" si="228"/>
        <v>6.542049765570877E-3</v>
      </c>
      <c r="Y295" s="66">
        <f t="shared" si="228"/>
        <v>6.370641319331842E-3</v>
      </c>
      <c r="Z295" s="66">
        <f t="shared" si="228"/>
        <v>6.2082513184366283E-3</v>
      </c>
      <c r="AA295" s="66">
        <f t="shared" si="228"/>
        <v>6.05245101645808E-3</v>
      </c>
      <c r="AB295" s="66">
        <f t="shared" si="228"/>
        <v>5.9013029505067104E-3</v>
      </c>
      <c r="AC295" s="66">
        <f t="shared" si="228"/>
        <v>5.7533619435061857E-3</v>
      </c>
    </row>
    <row r="296" spans="1:29" x14ac:dyDescent="0.25">
      <c r="A296" s="59" t="str">
        <f>A259</f>
        <v>Market failure (av. utilization)</v>
      </c>
      <c r="B296" s="66">
        <f t="shared" ref="B296:AC296" si="229">B285/B259-B285/B258</f>
        <v>1.3374460713954293E-2</v>
      </c>
      <c r="C296" s="66">
        <f t="shared" si="229"/>
        <v>1.3079595894618557E-2</v>
      </c>
      <c r="D296" s="66">
        <f t="shared" si="229"/>
        <v>1.2784045209439383E-2</v>
      </c>
      <c r="E296" s="66">
        <f t="shared" si="229"/>
        <v>1.2579138574728197E-2</v>
      </c>
      <c r="F296" s="66">
        <f t="shared" si="229"/>
        <v>1.2372833060191797E-2</v>
      </c>
      <c r="G296" s="66">
        <f t="shared" si="229"/>
        <v>1.2164566646356985E-2</v>
      </c>
      <c r="H296" s="66">
        <f t="shared" si="229"/>
        <v>1.1953562709569565E-2</v>
      </c>
      <c r="I296" s="66">
        <f t="shared" si="229"/>
        <v>1.1738759835138985E-2</v>
      </c>
      <c r="J296" s="66">
        <f t="shared" si="229"/>
        <v>1.1736045117020194E-2</v>
      </c>
      <c r="K296" s="66">
        <f t="shared" si="229"/>
        <v>1.1725408416162091E-2</v>
      </c>
      <c r="L296" s="66">
        <f t="shared" si="229"/>
        <v>1.1704009778048627E-2</v>
      </c>
      <c r="M296" s="66">
        <f t="shared" si="229"/>
        <v>1.1668370964437022E-2</v>
      </c>
      <c r="N296" s="66">
        <f t="shared" si="229"/>
        <v>1.1614604293904469E-2</v>
      </c>
      <c r="O296" s="66">
        <f t="shared" si="229"/>
        <v>1.1330759950162361E-2</v>
      </c>
      <c r="P296" s="66">
        <f t="shared" si="229"/>
        <v>1.1026199116728017E-2</v>
      </c>
      <c r="Q296" s="66">
        <f t="shared" si="229"/>
        <v>1.0702552948518565E-2</v>
      </c>
      <c r="R296" s="66">
        <f t="shared" si="229"/>
        <v>1.0365478937163311E-2</v>
      </c>
      <c r="S296" s="66">
        <f t="shared" si="229"/>
        <v>1.0024501069499996E-2</v>
      </c>
      <c r="T296" s="66">
        <f t="shared" si="229"/>
        <v>9.7049058520634422E-3</v>
      </c>
      <c r="U296" s="66">
        <f t="shared" si="229"/>
        <v>9.4026155935885546E-3</v>
      </c>
      <c r="V296" s="66">
        <f t="shared" si="229"/>
        <v>9.1239233837364653E-3</v>
      </c>
      <c r="W296" s="66">
        <f t="shared" si="229"/>
        <v>8.8704942631007613E-3</v>
      </c>
      <c r="X296" s="66">
        <f t="shared" si="229"/>
        <v>8.6403564833421598E-3</v>
      </c>
      <c r="Y296" s="66">
        <f t="shared" si="229"/>
        <v>8.4592804788294548E-3</v>
      </c>
      <c r="Z296" s="66">
        <f t="shared" si="229"/>
        <v>8.2930425783599455E-3</v>
      </c>
      <c r="AA296" s="66">
        <f t="shared" si="229"/>
        <v>8.1377753818862482E-3</v>
      </c>
      <c r="AB296" s="66">
        <f t="shared" si="229"/>
        <v>7.9903403769943579E-3</v>
      </c>
      <c r="AC296" s="66">
        <f t="shared" si="229"/>
        <v>7.848363699126764E-3</v>
      </c>
    </row>
    <row r="297" spans="1:29" x14ac:dyDescent="0.25">
      <c r="A297" s="59" t="str">
        <f>A260</f>
        <v>Payload loss (fuel)</v>
      </c>
      <c r="B297" s="66">
        <f>B285/(B258-B260)-B285/B258</f>
        <v>1.609103111187369E-3</v>
      </c>
      <c r="C297" s="66">
        <f t="shared" ref="C297:AC297" si="230">C285/(C258-C260)-C285/C258</f>
        <v>1.5732950591535958E-3</v>
      </c>
      <c r="D297" s="66">
        <f t="shared" si="230"/>
        <v>1.5372793582019029E-3</v>
      </c>
      <c r="E297" s="66">
        <f t="shared" si="230"/>
        <v>1.5119848240797082E-3</v>
      </c>
      <c r="F297" s="66">
        <f t="shared" si="230"/>
        <v>1.4862673049575881E-3</v>
      </c>
      <c r="G297" s="66">
        <f t="shared" si="230"/>
        <v>1.4599588134579355E-3</v>
      </c>
      <c r="H297" s="66">
        <f t="shared" si="230"/>
        <v>1.4328285253075394E-3</v>
      </c>
      <c r="I297" s="66">
        <f t="shared" si="230"/>
        <v>1.4045632755639633E-3</v>
      </c>
      <c r="J297" s="66">
        <f t="shared" si="230"/>
        <v>1.4006823676997963E-3</v>
      </c>
      <c r="K297" s="66">
        <f t="shared" si="230"/>
        <v>1.3944277529389908E-3</v>
      </c>
      <c r="L297" s="66">
        <f t="shared" si="230"/>
        <v>1.3849702913099303E-3</v>
      </c>
      <c r="M297" s="66">
        <f t="shared" si="230"/>
        <v>1.3713159031293522E-3</v>
      </c>
      <c r="N297" s="66">
        <f t="shared" si="230"/>
        <v>1.3523928485739359E-3</v>
      </c>
      <c r="O297" s="66">
        <f t="shared" si="230"/>
        <v>1.3033023387927292E-3</v>
      </c>
      <c r="P297" s="66">
        <f t="shared" si="230"/>
        <v>1.2486663739493427E-3</v>
      </c>
      <c r="Q297" s="66">
        <f t="shared" si="230"/>
        <v>1.1892551847211014E-3</v>
      </c>
      <c r="R297" s="66">
        <f t="shared" si="230"/>
        <v>1.1269685425681804E-3</v>
      </c>
      <c r="S297" s="66">
        <f t="shared" si="230"/>
        <v>1.0646485823940927E-3</v>
      </c>
      <c r="T297" s="66">
        <f t="shared" si="230"/>
        <v>1.0068443196838712E-3</v>
      </c>
      <c r="U297" s="66">
        <f t="shared" si="230"/>
        <v>9.5452062311724394E-4</v>
      </c>
      <c r="V297" s="66">
        <f t="shared" si="230"/>
        <v>9.0900177605989819E-4</v>
      </c>
      <c r="W297" s="66">
        <f t="shared" si="230"/>
        <v>8.7037894366716155E-4</v>
      </c>
      <c r="X297" s="66">
        <f t="shared" si="230"/>
        <v>8.3787971333519617E-4</v>
      </c>
      <c r="Y297" s="66">
        <f t="shared" si="230"/>
        <v>8.1319458167668918E-4</v>
      </c>
      <c r="Z297" s="66">
        <f t="shared" si="230"/>
        <v>7.9222552552136831E-4</v>
      </c>
      <c r="AA297" s="66">
        <f t="shared" si="230"/>
        <v>7.7396522659840643E-4</v>
      </c>
      <c r="AB297" s="66">
        <f t="shared" si="230"/>
        <v>7.5761852886864316E-4</v>
      </c>
      <c r="AC297" s="66">
        <f t="shared" si="230"/>
        <v>7.4259490416497473E-4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2.9458766332593509E-2</v>
      </c>
      <c r="C299" s="67">
        <f t="shared" ref="C299:AC299" si="232">C288+C289+C290+C291+C292+C293+C294+C295+C296+C297+C298</f>
        <v>2.8808656573610286E-2</v>
      </c>
      <c r="D299" s="67">
        <f t="shared" si="232"/>
        <v>2.8156910278535313E-2</v>
      </c>
      <c r="E299" s="67">
        <f t="shared" si="232"/>
        <v>2.7704726922098147E-2</v>
      </c>
      <c r="F299" s="67">
        <f t="shared" si="232"/>
        <v>2.7249206247691865E-2</v>
      </c>
      <c r="G299" s="67">
        <f t="shared" si="232"/>
        <v>2.6789009394036355E-2</v>
      </c>
      <c r="H299" s="67">
        <f t="shared" si="232"/>
        <v>2.6322287570912165E-2</v>
      </c>
      <c r="I299" s="67">
        <f t="shared" si="232"/>
        <v>2.5846516332771546E-2</v>
      </c>
      <c r="J299" s="67">
        <f t="shared" si="232"/>
        <v>2.5836979762159894E-2</v>
      </c>
      <c r="K299" s="67">
        <f t="shared" si="232"/>
        <v>2.5808565353944712E-2</v>
      </c>
      <c r="L299" s="67">
        <f t="shared" si="232"/>
        <v>2.5754527396245931E-2</v>
      </c>
      <c r="M299" s="67">
        <f t="shared" si="232"/>
        <v>2.5666625479707848E-2</v>
      </c>
      <c r="N299" s="67">
        <f t="shared" si="232"/>
        <v>2.5535688528209609E-2</v>
      </c>
      <c r="O299" s="67">
        <f t="shared" si="232"/>
        <v>2.4895255635632343E-2</v>
      </c>
      <c r="P299" s="67">
        <f t="shared" si="232"/>
        <v>2.4206117934467409E-2</v>
      </c>
      <c r="Q299" s="67">
        <f t="shared" si="232"/>
        <v>2.3472443894802804E-2</v>
      </c>
      <c r="R299" s="67">
        <f t="shared" si="232"/>
        <v>2.2707919728993105E-2</v>
      </c>
      <c r="S299" s="67">
        <f t="shared" si="232"/>
        <v>2.1935229211187113E-2</v>
      </c>
      <c r="T299" s="67">
        <f t="shared" si="232"/>
        <v>2.12116015788174E-2</v>
      </c>
      <c r="U299" s="67">
        <f t="shared" si="232"/>
        <v>2.0529506510428099E-2</v>
      </c>
      <c r="V299" s="67">
        <f t="shared" si="232"/>
        <v>1.9903378892845561E-2</v>
      </c>
      <c r="W299" s="67">
        <f t="shared" si="232"/>
        <v>1.933677872579511E-2</v>
      </c>
      <c r="X299" s="67">
        <f t="shared" si="232"/>
        <v>1.8824825787632726E-2</v>
      </c>
      <c r="Y299" s="67">
        <f t="shared" si="232"/>
        <v>1.842289897990608E-2</v>
      </c>
      <c r="Z299" s="67">
        <f t="shared" si="232"/>
        <v>1.8055600964439283E-2</v>
      </c>
      <c r="AA299" s="67">
        <f t="shared" si="232"/>
        <v>1.7713867339529454E-2</v>
      </c>
      <c r="AB299" s="67">
        <f t="shared" si="232"/>
        <v>1.739036438160825E-2</v>
      </c>
      <c r="AC299" s="67">
        <f t="shared" si="232"/>
        <v>1.7079556011347096E-2</v>
      </c>
    </row>
    <row r="301" spans="1:29" x14ac:dyDescent="0.25">
      <c r="B301" s="40"/>
    </row>
    <row r="324" spans="1:44" s="3" customFormat="1" ht="21" x14ac:dyDescent="0.35">
      <c r="A324" s="2" t="str">
        <f>'Parameter Input'!A248</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Input'!$L$237</f>
        <v>30000000</v>
      </c>
      <c r="C334" s="42">
        <f>'Parameter Input'!$M$237</f>
        <v>19500000</v>
      </c>
      <c r="D334" s="1" t="s">
        <v>15</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Input'!$L$238</f>
        <v>-1500000</v>
      </c>
      <c r="C335" s="61">
        <f>'Parameter Input'!$M$238</f>
        <v>-1950000</v>
      </c>
      <c r="D335" s="1" t="s">
        <v>15</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Input'!$L$244</f>
        <v>0.06</v>
      </c>
      <c r="C338" s="91">
        <f>'Parameter Input'!$M$244</f>
        <v>0.06</v>
      </c>
      <c r="D338" s="1" t="s">
        <v>57</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Input'!$L$240</f>
        <v>338823.5294117647</v>
      </c>
      <c r="C340" s="61">
        <f>'Parameter Input'!$M$240</f>
        <v>338823.5294117647</v>
      </c>
      <c r="D340" s="1" t="s">
        <v>38</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Input'!$L$241</f>
        <v>589</v>
      </c>
      <c r="C342" s="61">
        <f>'Parameter Input'!$M$241</f>
        <v>519</v>
      </c>
      <c r="D342" s="1" t="s">
        <v>60</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Input'!$L$242</f>
        <v>0.2544561408768215</v>
      </c>
      <c r="C343" s="61">
        <f>'Parameter Input'!$M$242</f>
        <v>0.10949010032952979</v>
      </c>
      <c r="D343" s="1" t="s">
        <v>68</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Input'!$L$245</f>
        <v>0</v>
      </c>
      <c r="C344" s="116">
        <f>'Parameter Input'!$M$245</f>
        <v>0</v>
      </c>
      <c r="D344" s="1" t="s">
        <v>76</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Input'!$L$239</f>
        <v>25</v>
      </c>
      <c r="C345" s="61">
        <f>'Parameter Input'!$M$239</f>
        <v>25</v>
      </c>
      <c r="D345" s="1" t="s">
        <v>42</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Input'!$L$243</f>
        <v>0.1</v>
      </c>
      <c r="C349" s="46">
        <f>'Parameter Input'!$M$243</f>
        <v>0.08</v>
      </c>
      <c r="D349" s="1" t="s">
        <v>57</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25">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25">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12472299.894931514</v>
      </c>
      <c r="C380" s="62">
        <f t="shared" ref="C380:AC380" si="283">C362*C363*C370</f>
        <v>12110872.348256061</v>
      </c>
      <c r="D380" s="62">
        <f t="shared" si="283"/>
        <v>11748953.388157712</v>
      </c>
      <c r="E380" s="62">
        <f t="shared" si="283"/>
        <v>11498892.282875093</v>
      </c>
      <c r="F380" s="62">
        <f t="shared" si="283"/>
        <v>11247828.033854185</v>
      </c>
      <c r="G380" s="62">
        <f t="shared" si="283"/>
        <v>10995372.481108731</v>
      </c>
      <c r="H380" s="62">
        <f t="shared" si="283"/>
        <v>10740996.203802552</v>
      </c>
      <c r="I380" s="62">
        <f t="shared" si="283"/>
        <v>10483985.902279541</v>
      </c>
      <c r="J380" s="62">
        <f t="shared" si="283"/>
        <v>10490368.064924525</v>
      </c>
      <c r="K380" s="62">
        <f t="shared" si="283"/>
        <v>10490943.642778551</v>
      </c>
      <c r="L380" s="62">
        <f t="shared" si="283"/>
        <v>10483623.811486064</v>
      </c>
      <c r="M380" s="62">
        <f t="shared" si="283"/>
        <v>10465846.489763714</v>
      </c>
      <c r="N380" s="62">
        <f t="shared" si="283"/>
        <v>10434742.015750067</v>
      </c>
      <c r="O380" s="62">
        <f t="shared" si="283"/>
        <v>10131722.871018343</v>
      </c>
      <c r="P380" s="62">
        <f t="shared" si="283"/>
        <v>9815100.6995524112</v>
      </c>
      <c r="Q380" s="62">
        <f t="shared" si="283"/>
        <v>9486536.7053746637</v>
      </c>
      <c r="R380" s="62">
        <f t="shared" si="283"/>
        <v>9150504.607398171</v>
      </c>
      <c r="S380" s="62">
        <f t="shared" si="283"/>
        <v>8814024.4288624842</v>
      </c>
      <c r="T380" s="62">
        <f t="shared" si="283"/>
        <v>8502191.139200503</v>
      </c>
      <c r="U380" s="62">
        <f t="shared" si="283"/>
        <v>8204371.8422408579</v>
      </c>
      <c r="V380" s="62">
        <f t="shared" si="283"/>
        <v>7924500.6322701462</v>
      </c>
      <c r="W380" s="62">
        <f t="shared" si="283"/>
        <v>7663216.0021006558</v>
      </c>
      <c r="X380" s="62">
        <f t="shared" si="283"/>
        <v>7418684.4341573743</v>
      </c>
      <c r="Y380" s="62">
        <f t="shared" si="283"/>
        <v>7224307.2561223088</v>
      </c>
      <c r="Z380" s="62">
        <f t="shared" si="283"/>
        <v>7040156.9951071367</v>
      </c>
      <c r="AA380" s="62">
        <f t="shared" si="283"/>
        <v>6863479.4526634626</v>
      </c>
      <c r="AB380" s="62">
        <f t="shared" si="283"/>
        <v>6692077.5458746096</v>
      </c>
      <c r="AC380" s="62">
        <f t="shared" si="283"/>
        <v>6524312.4439360145</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16414879.643450398</v>
      </c>
      <c r="C382" s="64">
        <f t="shared" ref="C382:AC382" si="285">C373+C374+C375+C376+C377+C378+C379+C380+C381</f>
        <v>16052638.212896446</v>
      </c>
      <c r="D382" s="64">
        <f t="shared" si="285"/>
        <v>15689554.196153827</v>
      </c>
      <c r="E382" s="64">
        <f t="shared" si="285"/>
        <v>15437826.395411136</v>
      </c>
      <c r="F382" s="64">
        <f t="shared" si="285"/>
        <v>15184380.070803169</v>
      </c>
      <c r="G382" s="64">
        <f t="shared" si="285"/>
        <v>14928524.781407103</v>
      </c>
      <c r="H382" s="64">
        <f t="shared" si="285"/>
        <v>14669306.445063755</v>
      </c>
      <c r="I382" s="64">
        <f t="shared" si="285"/>
        <v>14405421.113825785</v>
      </c>
      <c r="J382" s="64">
        <f t="shared" si="285"/>
        <v>14402086.082616851</v>
      </c>
      <c r="K382" s="64">
        <f t="shared" si="285"/>
        <v>14389018.895612674</v>
      </c>
      <c r="L382" s="64">
        <f t="shared" si="285"/>
        <v>14362730.668690283</v>
      </c>
      <c r="M382" s="64">
        <f t="shared" si="285"/>
        <v>14318948.386168428</v>
      </c>
      <c r="N382" s="64">
        <f t="shared" si="285"/>
        <v>14252896.031419186</v>
      </c>
      <c r="O382" s="64">
        <f t="shared" si="285"/>
        <v>13904193.255132006</v>
      </c>
      <c r="P382" s="64">
        <f t="shared" si="285"/>
        <v>13530040.271257915</v>
      </c>
      <c r="Q382" s="64">
        <f t="shared" si="285"/>
        <v>13132440.953612603</v>
      </c>
      <c r="R382" s="64">
        <f t="shared" si="285"/>
        <v>12718345.530662673</v>
      </c>
      <c r="S382" s="64">
        <f t="shared" si="285"/>
        <v>12299454.220238291</v>
      </c>
      <c r="T382" s="64">
        <f t="shared" si="285"/>
        <v>11906831.495617483</v>
      </c>
      <c r="U382" s="64">
        <f t="shared" si="285"/>
        <v>11535467.913081083</v>
      </c>
      <c r="V382" s="64">
        <f t="shared" si="285"/>
        <v>11193094.533277795</v>
      </c>
      <c r="W382" s="64">
        <f t="shared" si="285"/>
        <v>10881756.85857683</v>
      </c>
      <c r="X382" s="64">
        <f t="shared" si="285"/>
        <v>10599032.596143389</v>
      </c>
      <c r="Y382" s="64">
        <f t="shared" si="285"/>
        <v>10376580.724599529</v>
      </c>
      <c r="Z382" s="64">
        <f t="shared" si="285"/>
        <v>10172357.463872738</v>
      </c>
      <c r="AA382" s="64">
        <f t="shared" si="285"/>
        <v>9981611.7130047996</v>
      </c>
      <c r="AB382" s="64">
        <f t="shared" si="285"/>
        <v>9800487.8094951138</v>
      </c>
      <c r="AC382" s="64">
        <f t="shared" si="285"/>
        <v>9626069.4607347734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25">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103.93583245776261</v>
      </c>
      <c r="C392" s="66">
        <f t="shared" ref="C392:AC392" si="294">C362*C363*C370/C370</f>
        <v>100.92393623546717</v>
      </c>
      <c r="D392" s="66">
        <f t="shared" si="294"/>
        <v>97.907944901314266</v>
      </c>
      <c r="E392" s="66">
        <f t="shared" si="294"/>
        <v>95.824102357292446</v>
      </c>
      <c r="F392" s="66">
        <f t="shared" si="294"/>
        <v>93.731900282118204</v>
      </c>
      <c r="G392" s="66">
        <f t="shared" si="294"/>
        <v>91.628104009239422</v>
      </c>
      <c r="H392" s="66">
        <f t="shared" si="294"/>
        <v>89.5083016983546</v>
      </c>
      <c r="I392" s="66">
        <f t="shared" si="294"/>
        <v>87.366549185662848</v>
      </c>
      <c r="J392" s="66">
        <f t="shared" si="294"/>
        <v>87.419733874371047</v>
      </c>
      <c r="K392" s="66">
        <f t="shared" si="294"/>
        <v>87.424530356487921</v>
      </c>
      <c r="L392" s="66">
        <f t="shared" si="294"/>
        <v>87.363531762383857</v>
      </c>
      <c r="M392" s="66">
        <f t="shared" si="294"/>
        <v>87.215387414697616</v>
      </c>
      <c r="N392" s="66">
        <f t="shared" si="294"/>
        <v>86.956183464583887</v>
      </c>
      <c r="O392" s="66">
        <f t="shared" si="294"/>
        <v>84.431023925152857</v>
      </c>
      <c r="P392" s="66">
        <f t="shared" si="294"/>
        <v>81.792505829603428</v>
      </c>
      <c r="Q392" s="66">
        <f t="shared" si="294"/>
        <v>79.054472544788865</v>
      </c>
      <c r="R392" s="66">
        <f t="shared" si="294"/>
        <v>76.254205061651419</v>
      </c>
      <c r="S392" s="66">
        <f t="shared" si="294"/>
        <v>73.45020357385404</v>
      </c>
      <c r="T392" s="66">
        <f t="shared" si="294"/>
        <v>70.851592826670853</v>
      </c>
      <c r="U392" s="66">
        <f t="shared" si="294"/>
        <v>68.36976535200715</v>
      </c>
      <c r="V392" s="66">
        <f t="shared" si="294"/>
        <v>66.037505268917883</v>
      </c>
      <c r="W392" s="66">
        <f t="shared" si="294"/>
        <v>63.860133350838801</v>
      </c>
      <c r="X392" s="66">
        <f t="shared" si="294"/>
        <v>61.822370284644784</v>
      </c>
      <c r="Y392" s="66">
        <f t="shared" si="294"/>
        <v>60.202560467685906</v>
      </c>
      <c r="Z392" s="66">
        <f t="shared" si="294"/>
        <v>58.667974959226136</v>
      </c>
      <c r="AA392" s="66">
        <f t="shared" si="294"/>
        <v>57.195662105528854</v>
      </c>
      <c r="AB392" s="66">
        <f t="shared" si="294"/>
        <v>55.767312882288415</v>
      </c>
      <c r="AC392" s="66">
        <f t="shared" si="294"/>
        <v>54.369270366133456</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136.9210415591071</v>
      </c>
      <c r="C394" s="76">
        <f t="shared" ref="C394:AC394" si="297">C385+C386+C387-C388+C389+C390+C391+C392+C393</f>
        <v>133.90236297115749</v>
      </c>
      <c r="D394" s="76">
        <f t="shared" si="297"/>
        <v>130.87666283163568</v>
      </c>
      <c r="E394" s="76">
        <f t="shared" si="297"/>
        <v>128.77893115877993</v>
      </c>
      <c r="F394" s="76">
        <f t="shared" si="297"/>
        <v>126.66687845371352</v>
      </c>
      <c r="G394" s="76">
        <f t="shared" si="297"/>
        <v>124.53475104207965</v>
      </c>
      <c r="H394" s="76">
        <f t="shared" si="297"/>
        <v>122.37459823921841</v>
      </c>
      <c r="I394" s="76">
        <f t="shared" si="297"/>
        <v>120.17555381223535</v>
      </c>
      <c r="J394" s="76">
        <f t="shared" si="297"/>
        <v>120.14776188549422</v>
      </c>
      <c r="K394" s="76">
        <f t="shared" si="297"/>
        <v>120.0388686604594</v>
      </c>
      <c r="L394" s="76">
        <f t="shared" si="297"/>
        <v>119.8198001027728</v>
      </c>
      <c r="M394" s="76">
        <f t="shared" si="297"/>
        <v>119.45494774842402</v>
      </c>
      <c r="N394" s="76">
        <f t="shared" si="297"/>
        <v>118.904511458847</v>
      </c>
      <c r="O394" s="76">
        <f t="shared" si="297"/>
        <v>115.99865498978718</v>
      </c>
      <c r="P394" s="76">
        <f t="shared" si="297"/>
        <v>112.88071345750308</v>
      </c>
      <c r="Q394" s="76">
        <f t="shared" si="297"/>
        <v>109.56738581045882</v>
      </c>
      <c r="R394" s="76">
        <f t="shared" si="297"/>
        <v>106.11659061920939</v>
      </c>
      <c r="S394" s="76">
        <f t="shared" si="297"/>
        <v>102.6258296990062</v>
      </c>
      <c r="T394" s="76">
        <f t="shared" si="297"/>
        <v>99.353973660499477</v>
      </c>
      <c r="U394" s="76">
        <f t="shared" si="297"/>
        <v>96.259277139362823</v>
      </c>
      <c r="V394" s="76">
        <f t="shared" si="297"/>
        <v>93.406165641002076</v>
      </c>
      <c r="W394" s="76">
        <f t="shared" si="297"/>
        <v>90.811685018494046</v>
      </c>
      <c r="X394" s="76">
        <f t="shared" si="297"/>
        <v>88.455649498215365</v>
      </c>
      <c r="Y394" s="76">
        <f t="shared" si="297"/>
        <v>86.601883902016539</v>
      </c>
      <c r="Z394" s="76">
        <f t="shared" si="297"/>
        <v>84.900023395959934</v>
      </c>
      <c r="AA394" s="76">
        <f t="shared" si="297"/>
        <v>83.31047547206046</v>
      </c>
      <c r="AB394" s="76">
        <f t="shared" si="297"/>
        <v>81.801109609479738</v>
      </c>
      <c r="AC394" s="76">
        <f t="shared" si="297"/>
        <v>80.347623369810236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25">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1.0998500789181229E-2</v>
      </c>
      <c r="C404" s="66">
        <f t="shared" ref="C404:AC404" si="306">C362*C363*C370/C370/(C367)</f>
        <v>1.0679781612218747E-2</v>
      </c>
      <c r="D404" s="66">
        <f t="shared" si="306"/>
        <v>1.0360629090086166E-2</v>
      </c>
      <c r="E404" s="66">
        <f t="shared" si="306"/>
        <v>1.0140116651565338E-2</v>
      </c>
      <c r="F404" s="66">
        <f t="shared" si="306"/>
        <v>9.9187196065733552E-3</v>
      </c>
      <c r="G404" s="66">
        <f t="shared" si="306"/>
        <v>9.6960956623533788E-3</v>
      </c>
      <c r="H404" s="66">
        <f t="shared" si="306"/>
        <v>9.4717779574978421E-3</v>
      </c>
      <c r="I404" s="66">
        <f t="shared" si="306"/>
        <v>9.2451374799643223E-3</v>
      </c>
      <c r="J404" s="66">
        <f t="shared" si="306"/>
        <v>9.2507654893514337E-3</v>
      </c>
      <c r="K404" s="66">
        <f t="shared" si="306"/>
        <v>9.2512730535966054E-3</v>
      </c>
      <c r="L404" s="66">
        <f t="shared" si="306"/>
        <v>9.2448181759136362E-3</v>
      </c>
      <c r="M404" s="66">
        <f t="shared" si="306"/>
        <v>9.2291415253648278E-3</v>
      </c>
      <c r="N404" s="66">
        <f t="shared" si="306"/>
        <v>9.2017125359348025E-3</v>
      </c>
      <c r="O404" s="66">
        <f t="shared" si="306"/>
        <v>8.9344998862595608E-3</v>
      </c>
      <c r="P404" s="66">
        <f t="shared" si="306"/>
        <v>8.6552916221802577E-3</v>
      </c>
      <c r="Q404" s="66">
        <f t="shared" si="306"/>
        <v>8.3655526502422074E-3</v>
      </c>
      <c r="R404" s="66">
        <f t="shared" si="306"/>
        <v>8.0692280488520018E-3</v>
      </c>
      <c r="S404" s="66">
        <f t="shared" si="306"/>
        <v>7.772508314693549E-3</v>
      </c>
      <c r="T404" s="66">
        <f t="shared" si="306"/>
        <v>7.4975230504413602E-3</v>
      </c>
      <c r="U404" s="66">
        <f t="shared" si="306"/>
        <v>7.2348958044452013E-3</v>
      </c>
      <c r="V404" s="66">
        <f t="shared" si="306"/>
        <v>6.9880957956526858E-3</v>
      </c>
      <c r="W404" s="66">
        <f t="shared" si="306"/>
        <v>6.7576860688718307E-3</v>
      </c>
      <c r="X404" s="66">
        <f t="shared" si="306"/>
        <v>6.542049765570877E-3</v>
      </c>
      <c r="Y404" s="66">
        <f t="shared" si="306"/>
        <v>6.370641319331842E-3</v>
      </c>
      <c r="Z404" s="66">
        <f t="shared" si="306"/>
        <v>6.2082513184366283E-3</v>
      </c>
      <c r="AA404" s="66">
        <f t="shared" si="306"/>
        <v>6.05245101645808E-3</v>
      </c>
      <c r="AB404" s="66">
        <f t="shared" si="306"/>
        <v>5.9013029505067104E-3</v>
      </c>
      <c r="AC404" s="66">
        <f t="shared" si="306"/>
        <v>5.7533619435061857E-3</v>
      </c>
    </row>
    <row r="405" spans="1:29" x14ac:dyDescent="0.25">
      <c r="A405" s="59" t="str">
        <f>A368</f>
        <v>Market failure (av. utilization)</v>
      </c>
      <c r="B405" s="66">
        <f t="shared" ref="B405:AC405" si="307">B394/B368-B394/B367</f>
        <v>6.8183525208394408E-3</v>
      </c>
      <c r="C405" s="66">
        <f t="shared" si="307"/>
        <v>6.6680292796094578E-3</v>
      </c>
      <c r="D405" s="66">
        <f t="shared" si="307"/>
        <v>6.5173563812828197E-3</v>
      </c>
      <c r="E405" s="66">
        <f t="shared" si="307"/>
        <v>6.4128941753516262E-3</v>
      </c>
      <c r="F405" s="66">
        <f t="shared" si="307"/>
        <v>6.3077188149997365E-3</v>
      </c>
      <c r="G405" s="66">
        <f t="shared" si="307"/>
        <v>6.2015437804957153E-3</v>
      </c>
      <c r="H405" s="66">
        <f t="shared" si="307"/>
        <v>6.0939731460550716E-3</v>
      </c>
      <c r="I405" s="66">
        <f t="shared" si="307"/>
        <v>5.9844657983061465E-3</v>
      </c>
      <c r="J405" s="66">
        <f t="shared" si="307"/>
        <v>5.9830818243632334E-3</v>
      </c>
      <c r="K405" s="66">
        <f t="shared" si="307"/>
        <v>5.9776591925532196E-3</v>
      </c>
      <c r="L405" s="66">
        <f t="shared" si="307"/>
        <v>5.9667500829267486E-3</v>
      </c>
      <c r="M405" s="66">
        <f t="shared" si="307"/>
        <v>5.9485812759874999E-3</v>
      </c>
      <c r="N405" s="66">
        <f t="shared" si="307"/>
        <v>5.9211708165003134E-3</v>
      </c>
      <c r="O405" s="66">
        <f t="shared" si="307"/>
        <v>5.776465856945516E-3</v>
      </c>
      <c r="P405" s="66">
        <f t="shared" si="307"/>
        <v>5.6211995497044767E-3</v>
      </c>
      <c r="Q405" s="66">
        <f t="shared" si="307"/>
        <v>5.4562034639506398E-3</v>
      </c>
      <c r="R405" s="66">
        <f t="shared" si="307"/>
        <v>5.2843618111028615E-3</v>
      </c>
      <c r="S405" s="66">
        <f t="shared" si="307"/>
        <v>5.1105299569999974E-3</v>
      </c>
      <c r="T405" s="66">
        <f t="shared" si="307"/>
        <v>4.9475990618362605E-3</v>
      </c>
      <c r="U405" s="66">
        <f t="shared" si="307"/>
        <v>4.7934903026137701E-3</v>
      </c>
      <c r="V405" s="66">
        <f t="shared" si="307"/>
        <v>4.651411921120549E-3</v>
      </c>
      <c r="W405" s="66">
        <f t="shared" si="307"/>
        <v>4.5222127615807788E-3</v>
      </c>
      <c r="X405" s="66">
        <f t="shared" si="307"/>
        <v>4.4048876189587468E-3</v>
      </c>
      <c r="Y405" s="66">
        <f t="shared" si="307"/>
        <v>4.3125743617561905E-3</v>
      </c>
      <c r="Z405" s="66">
        <f t="shared" si="307"/>
        <v>4.2278256281834993E-3</v>
      </c>
      <c r="AA405" s="66">
        <f t="shared" si="307"/>
        <v>4.1486698025302426E-3</v>
      </c>
      <c r="AB405" s="66">
        <f t="shared" si="307"/>
        <v>4.0735068588598679E-3</v>
      </c>
      <c r="AC405" s="66">
        <f t="shared" si="307"/>
        <v>4.0011265917116803E-3</v>
      </c>
    </row>
    <row r="406" spans="1:29" x14ac:dyDescent="0.25">
      <c r="A406" s="59" t="str">
        <f>A369</f>
        <v>Payload loss (fuel)</v>
      </c>
      <c r="B406" s="66">
        <f>B394/(B367-B369)-B394/B367</f>
        <v>1.609103111187369E-3</v>
      </c>
      <c r="C406" s="66">
        <f t="shared" ref="C406:AC406" si="308">C394/(C367-C369)-C394/C367</f>
        <v>1.5732950591535958E-3</v>
      </c>
      <c r="D406" s="66">
        <f t="shared" si="308"/>
        <v>1.5372793582019029E-3</v>
      </c>
      <c r="E406" s="66">
        <f t="shared" si="308"/>
        <v>1.5119848240797082E-3</v>
      </c>
      <c r="F406" s="66">
        <f t="shared" si="308"/>
        <v>1.4862673049575881E-3</v>
      </c>
      <c r="G406" s="66">
        <f t="shared" si="308"/>
        <v>1.4599588134579355E-3</v>
      </c>
      <c r="H406" s="66">
        <f t="shared" si="308"/>
        <v>1.4328285253075394E-3</v>
      </c>
      <c r="I406" s="66">
        <f t="shared" si="308"/>
        <v>1.4045632755639633E-3</v>
      </c>
      <c r="J406" s="66">
        <f t="shared" si="308"/>
        <v>1.4006823676997963E-3</v>
      </c>
      <c r="K406" s="66">
        <f t="shared" si="308"/>
        <v>1.3944277529389908E-3</v>
      </c>
      <c r="L406" s="66">
        <f t="shared" si="308"/>
        <v>1.3849702913099303E-3</v>
      </c>
      <c r="M406" s="66">
        <f t="shared" si="308"/>
        <v>1.3713159031293522E-3</v>
      </c>
      <c r="N406" s="66">
        <f t="shared" si="308"/>
        <v>1.3523928485739359E-3</v>
      </c>
      <c r="O406" s="66">
        <f t="shared" si="308"/>
        <v>1.3033023387927292E-3</v>
      </c>
      <c r="P406" s="66">
        <f t="shared" si="308"/>
        <v>1.2486663739493427E-3</v>
      </c>
      <c r="Q406" s="66">
        <f t="shared" si="308"/>
        <v>1.1892551847211014E-3</v>
      </c>
      <c r="R406" s="66">
        <f t="shared" si="308"/>
        <v>1.1269685425681804E-3</v>
      </c>
      <c r="S406" s="66">
        <f t="shared" si="308"/>
        <v>1.0646485823940927E-3</v>
      </c>
      <c r="T406" s="66">
        <f t="shared" si="308"/>
        <v>1.0068443196838712E-3</v>
      </c>
      <c r="U406" s="66">
        <f t="shared" si="308"/>
        <v>9.5452062311724394E-4</v>
      </c>
      <c r="V406" s="66">
        <f t="shared" si="308"/>
        <v>9.0900177605989819E-4</v>
      </c>
      <c r="W406" s="66">
        <f t="shared" si="308"/>
        <v>8.7037894366716155E-4</v>
      </c>
      <c r="X406" s="66">
        <f t="shared" si="308"/>
        <v>8.3787971333519617E-4</v>
      </c>
      <c r="Y406" s="66">
        <f t="shared" si="308"/>
        <v>8.1319458167668918E-4</v>
      </c>
      <c r="Z406" s="66">
        <f t="shared" si="308"/>
        <v>7.9222552552136831E-4</v>
      </c>
      <c r="AA406" s="66">
        <f t="shared" si="308"/>
        <v>7.7396522659840643E-4</v>
      </c>
      <c r="AB406" s="66">
        <f t="shared" si="308"/>
        <v>7.5761852886864316E-4</v>
      </c>
      <c r="AC406" s="66">
        <f t="shared" si="308"/>
        <v>7.4259490416497473E-4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2.2902658139478661E-2</v>
      </c>
      <c r="C408" s="67">
        <f t="shared" ref="C408:AC408" si="310">C397+C398+C399+C400+C401+C402+C403+C404+C405+C406+C407</f>
        <v>2.2397089958601187E-2</v>
      </c>
      <c r="D408" s="67">
        <f t="shared" si="310"/>
        <v>2.189022145037875E-2</v>
      </c>
      <c r="E408" s="67">
        <f t="shared" si="310"/>
        <v>2.1538482522721579E-2</v>
      </c>
      <c r="F408" s="67">
        <f t="shared" si="310"/>
        <v>2.1184092002499801E-2</v>
      </c>
      <c r="G408" s="67">
        <f t="shared" si="310"/>
        <v>2.0825986528175085E-2</v>
      </c>
      <c r="H408" s="67">
        <f t="shared" si="310"/>
        <v>2.0462698007397667E-2</v>
      </c>
      <c r="I408" s="67">
        <f t="shared" si="310"/>
        <v>2.0092222295938704E-2</v>
      </c>
      <c r="J408" s="67">
        <f t="shared" si="310"/>
        <v>2.0084016469502933E-2</v>
      </c>
      <c r="K408" s="67">
        <f t="shared" si="310"/>
        <v>2.0060816130335841E-2</v>
      </c>
      <c r="L408" s="67">
        <f t="shared" si="310"/>
        <v>2.0017267701124053E-2</v>
      </c>
      <c r="M408" s="67">
        <f t="shared" si="310"/>
        <v>1.9946835791258326E-2</v>
      </c>
      <c r="N408" s="67">
        <f t="shared" si="310"/>
        <v>1.9842255050805453E-2</v>
      </c>
      <c r="O408" s="67">
        <f t="shared" si="310"/>
        <v>1.9340961542415498E-2</v>
      </c>
      <c r="P408" s="67">
        <f t="shared" si="310"/>
        <v>1.8801118367443869E-2</v>
      </c>
      <c r="Q408" s="67">
        <f t="shared" si="310"/>
        <v>1.8226094410234879E-2</v>
      </c>
      <c r="R408" s="67">
        <f t="shared" si="310"/>
        <v>1.7626802602932656E-2</v>
      </c>
      <c r="S408" s="67">
        <f t="shared" si="310"/>
        <v>1.7021258098687115E-2</v>
      </c>
      <c r="T408" s="67">
        <f t="shared" si="310"/>
        <v>1.6454294788590222E-2</v>
      </c>
      <c r="U408" s="67">
        <f t="shared" si="310"/>
        <v>1.5920381219453311E-2</v>
      </c>
      <c r="V408" s="67">
        <f t="shared" si="310"/>
        <v>1.5430867430229648E-2</v>
      </c>
      <c r="W408" s="67">
        <f t="shared" si="310"/>
        <v>1.4988497224275128E-2</v>
      </c>
      <c r="X408" s="67">
        <f t="shared" si="310"/>
        <v>1.4589356923249312E-2</v>
      </c>
      <c r="Y408" s="67">
        <f t="shared" si="310"/>
        <v>1.4276192862832817E-2</v>
      </c>
      <c r="Z408" s="67">
        <f t="shared" si="310"/>
        <v>1.3990384014262837E-2</v>
      </c>
      <c r="AA408" s="67">
        <f t="shared" si="310"/>
        <v>1.3724761760173447E-2</v>
      </c>
      <c r="AB408" s="67">
        <f t="shared" si="310"/>
        <v>1.3473530863473762E-2</v>
      </c>
      <c r="AC408" s="67">
        <f t="shared" si="310"/>
        <v>1.3232318903932011E-2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Input'!$L$249</f>
        <v>30000000</v>
      </c>
      <c r="C11" s="42">
        <f>'Parameter Input'!$M$249</f>
        <v>18000000</v>
      </c>
      <c r="D11" s="1" t="s">
        <v>15</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Input'!$L$250</f>
        <v>-1500000</v>
      </c>
      <c r="C12" s="61">
        <f>'Parameter Input'!$M$250</f>
        <v>-1800000</v>
      </c>
      <c r="D12" s="1" t="s">
        <v>15</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Input'!$L$256</f>
        <v>0.06</v>
      </c>
      <c r="C15" s="91">
        <f>'Parameter Input'!$M$256</f>
        <v>0.06</v>
      </c>
      <c r="D15" s="1" t="s">
        <v>57</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Input'!$L$252</f>
        <v>338823.5294117647</v>
      </c>
      <c r="C17" s="61">
        <f>'Parameter Input'!$M$252</f>
        <v>338823.5294117647</v>
      </c>
      <c r="D17" s="1" t="s">
        <v>38</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Input'!$L$253</f>
        <v>589</v>
      </c>
      <c r="C19" s="61">
        <f>'Parameter Input'!$M$253</f>
        <v>519</v>
      </c>
      <c r="D19" s="1" t="s">
        <v>60</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Input'!$L$254</f>
        <v>0.23976160758395154</v>
      </c>
      <c r="C20" s="61">
        <f>'Parameter Input'!$M$254</f>
        <v>0.11428118371505049</v>
      </c>
      <c r="D20" s="1" t="s">
        <v>68</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Input'!$L$257</f>
        <v>0</v>
      </c>
      <c r="C21" s="116">
        <f>'Parameter Input'!$M$257</f>
        <v>0</v>
      </c>
      <c r="D21" s="1" t="s">
        <v>76</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Input'!$L$251</f>
        <v>25</v>
      </c>
      <c r="C22" s="61">
        <f>'Parameter Input'!$M$251</f>
        <v>25</v>
      </c>
      <c r="D22" s="1" t="s">
        <v>42</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Input'!$L$255</f>
        <v>0.08</v>
      </c>
      <c r="C26" s="46">
        <f>'Parameter Input'!$M$255</f>
        <v>7.0000000000000007E-2</v>
      </c>
      <c r="D26" s="1" t="s">
        <v>57</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Input'!J6</f>
        <v>0.15796068463848831</v>
      </c>
      <c r="C40" s="62">
        <f>'Parameter Input'!K6</f>
        <v>0.15426708731267802</v>
      </c>
      <c r="D40" s="62">
        <f>'Parameter Input'!L6</f>
        <v>0.1505734899868677</v>
      </c>
      <c r="E40" s="62">
        <f>'Parameter Input'!M6</f>
        <v>0.14821852539008218</v>
      </c>
      <c r="F40" s="62">
        <f>'Parameter Input'!N6</f>
        <v>0.14586356079329663</v>
      </c>
      <c r="G40" s="62">
        <f>'Parameter Input'!O6</f>
        <v>0.1435085961965111</v>
      </c>
      <c r="H40" s="62">
        <f>'Parameter Input'!P6</f>
        <v>0.14115363159972555</v>
      </c>
      <c r="I40" s="62">
        <f>'Parameter Input'!Q6</f>
        <v>0.13879866700293997</v>
      </c>
      <c r="J40" s="62">
        <f>'Parameter Input'!R6</f>
        <v>0.1405953284523826</v>
      </c>
      <c r="K40" s="62">
        <f>'Parameter Input'!S6</f>
        <v>0.14239198990182525</v>
      </c>
      <c r="L40" s="62">
        <f>'Parameter Input'!T6</f>
        <v>0.14418865135126788</v>
      </c>
      <c r="M40" s="62">
        <f>'Parameter Input'!U6</f>
        <v>0.14598531280071053</v>
      </c>
      <c r="N40" s="62">
        <f>'Parameter Input'!V6</f>
        <v>0.14778197425015313</v>
      </c>
      <c r="O40" s="62">
        <f>'Parameter Input'!W6</f>
        <v>0.14497239428752798</v>
      </c>
      <c r="P40" s="62">
        <f>'Parameter Input'!X6</f>
        <v>0.14216281432490285</v>
      </c>
      <c r="Q40" s="62">
        <f>'Parameter Input'!Y6</f>
        <v>0.1393532343622777</v>
      </c>
      <c r="R40" s="62">
        <f>'Parameter Input'!Z6</f>
        <v>0.13654365439965255</v>
      </c>
      <c r="S40" s="62">
        <f>'Parameter Input'!AA6</f>
        <v>0.13373407443702739</v>
      </c>
      <c r="T40" s="62">
        <f>'Parameter Input'!AB6</f>
        <v>0.13116562897048312</v>
      </c>
      <c r="U40" s="62">
        <f>'Parameter Input'!AC6</f>
        <v>0.12859718350393887</v>
      </c>
      <c r="V40" s="62">
        <f>'Parameter Input'!AD6</f>
        <v>0.12602873803739459</v>
      </c>
      <c r="W40" s="62">
        <f>'Parameter Input'!AE6</f>
        <v>0.1234602925708503</v>
      </c>
      <c r="X40" s="62">
        <f>'Parameter Input'!AF6</f>
        <v>0.12089184710430603</v>
      </c>
      <c r="Y40" s="62">
        <f>'Parameter Input'!AG6</f>
        <v>0.11844996886324041</v>
      </c>
      <c r="Z40" s="62">
        <f>'Parameter Input'!AH6</f>
        <v>0.11600809062217481</v>
      </c>
      <c r="AA40" s="62">
        <f>'Parameter Input'!AI6</f>
        <v>0.1135662123811092</v>
      </c>
      <c r="AB40" s="62">
        <f>'Parameter Input'!AJ6</f>
        <v>0.11112433414004359</v>
      </c>
      <c r="AC40" s="62">
        <f>'Parameter Input'!AK6</f>
        <v>0.10868245589897794</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25">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11161747.046500357</v>
      </c>
      <c r="C57" s="62">
        <f t="shared" ref="C57:AC57" si="49">C39*C40*C47</f>
        <v>10899520.480293304</v>
      </c>
      <c r="D57" s="62">
        <f t="shared" si="49"/>
        <v>10636834.336767219</v>
      </c>
      <c r="E57" s="62">
        <f t="shared" si="49"/>
        <v>10468052.057925956</v>
      </c>
      <c r="F57" s="62">
        <f t="shared" si="49"/>
        <v>10298323.481338289</v>
      </c>
      <c r="G57" s="62">
        <f t="shared" si="49"/>
        <v>10127272.768211031</v>
      </c>
      <c r="H57" s="62">
        <f t="shared" si="49"/>
        <v>9954382.6027458571</v>
      </c>
      <c r="I57" s="62">
        <f t="shared" si="49"/>
        <v>9778948.9696036708</v>
      </c>
      <c r="J57" s="62">
        <f t="shared" si="49"/>
        <v>9892133.873949917</v>
      </c>
      <c r="K57" s="62">
        <f t="shared" si="49"/>
        <v>9999494.8799168412</v>
      </c>
      <c r="L57" s="62">
        <f t="shared" si="49"/>
        <v>10098844.849166866</v>
      </c>
      <c r="M57" s="62">
        <f t="shared" si="49"/>
        <v>10187452.92828415</v>
      </c>
      <c r="N57" s="62">
        <f t="shared" si="49"/>
        <v>10262184.48013326</v>
      </c>
      <c r="O57" s="62">
        <f t="shared" si="49"/>
        <v>10002136.83028272</v>
      </c>
      <c r="P57" s="62">
        <f t="shared" si="49"/>
        <v>9728090.285293093</v>
      </c>
      <c r="Q57" s="62">
        <f t="shared" si="49"/>
        <v>9441492.3590761051</v>
      </c>
      <c r="R57" s="62">
        <f t="shared" si="49"/>
        <v>9146610.0187601466</v>
      </c>
      <c r="S57" s="62">
        <f t="shared" si="49"/>
        <v>8850327.3267315663</v>
      </c>
      <c r="T57" s="62">
        <f t="shared" si="49"/>
        <v>8576434.7875365056</v>
      </c>
      <c r="U57" s="62">
        <f t="shared" si="49"/>
        <v>8315748.6617828012</v>
      </c>
      <c r="V57" s="62">
        <f t="shared" si="49"/>
        <v>8072414.1246113116</v>
      </c>
      <c r="W57" s="62">
        <f t="shared" si="49"/>
        <v>7847300.2847692817</v>
      </c>
      <c r="X57" s="62">
        <f t="shared" si="49"/>
        <v>7638768.4633888537</v>
      </c>
      <c r="Y57" s="62">
        <f t="shared" si="49"/>
        <v>7451863.3082755739</v>
      </c>
      <c r="Z57" s="62">
        <f t="shared" si="49"/>
        <v>7275405.6200270019</v>
      </c>
      <c r="AA57" s="62">
        <f t="shared" si="49"/>
        <v>7106596.6674064519</v>
      </c>
      <c r="AB57" s="62">
        <f t="shared" si="49"/>
        <v>6943197.6718781879</v>
      </c>
      <c r="AC57" s="62">
        <f t="shared" si="49"/>
        <v>6783534.9102047402</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15108054.397785263</v>
      </c>
      <c r="C59" s="64">
        <f t="shared" ref="C59:AC59" si="51">C50+C51+C52+C53+C54+C55+C56+C57+C58</f>
        <v>14844913.605851676</v>
      </c>
      <c r="D59" s="64">
        <f t="shared" si="51"/>
        <v>14580918.768560797</v>
      </c>
      <c r="E59" s="64">
        <f t="shared" si="51"/>
        <v>14410264.311257534</v>
      </c>
      <c r="F59" s="64">
        <f t="shared" si="51"/>
        <v>14237859.978530981</v>
      </c>
      <c r="G59" s="64">
        <f t="shared" si="51"/>
        <v>14062990.383138651</v>
      </c>
      <c r="H59" s="64">
        <f t="shared" si="51"/>
        <v>13884661.192453643</v>
      </c>
      <c r="I59" s="64">
        <f t="shared" si="51"/>
        <v>13701504.923193283</v>
      </c>
      <c r="J59" s="64">
        <f t="shared" si="51"/>
        <v>13803774.623484444</v>
      </c>
      <c r="K59" s="64">
        <f t="shared" si="51"/>
        <v>13895810.879884619</v>
      </c>
      <c r="L59" s="64">
        <f t="shared" si="51"/>
        <v>13973853.884180507</v>
      </c>
      <c r="M59" s="64">
        <f t="shared" si="51"/>
        <v>14033250.91144081</v>
      </c>
      <c r="N59" s="64">
        <f t="shared" si="51"/>
        <v>14068725.939723909</v>
      </c>
      <c r="O59" s="64">
        <f t="shared" si="51"/>
        <v>13757362.429769982</v>
      </c>
      <c r="P59" s="64">
        <f t="shared" si="51"/>
        <v>13418692.232486257</v>
      </c>
      <c r="Q59" s="64">
        <f t="shared" si="51"/>
        <v>13054547.778538581</v>
      </c>
      <c r="R59" s="64">
        <f t="shared" si="51"/>
        <v>12671977.867704514</v>
      </c>
      <c r="S59" s="64">
        <f t="shared" si="51"/>
        <v>12283123.767253015</v>
      </c>
      <c r="T59" s="64">
        <f t="shared" si="51"/>
        <v>11918481.451802835</v>
      </c>
      <c r="U59" s="64">
        <f t="shared" si="51"/>
        <v>11575183.936771132</v>
      </c>
      <c r="V59" s="64">
        <f t="shared" si="51"/>
        <v>11261641.482801404</v>
      </c>
      <c r="W59" s="64">
        <f t="shared" si="51"/>
        <v>10980303.675129501</v>
      </c>
      <c r="X59" s="64">
        <f t="shared" si="51"/>
        <v>10728870.470897112</v>
      </c>
      <c r="Y59" s="64">
        <f t="shared" si="51"/>
        <v>10510429.358691763</v>
      </c>
      <c r="Z59" s="64">
        <f t="shared" si="51"/>
        <v>10311423.917342467</v>
      </c>
      <c r="AA59" s="64">
        <f t="shared" si="51"/>
        <v>10126812.319642607</v>
      </c>
      <c r="AB59" s="64">
        <f t="shared" si="51"/>
        <v>9952492.7250580639</v>
      </c>
      <c r="AC59" s="64">
        <f t="shared" si="51"/>
        <v>9785356.4532560818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25">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93.014558720836305</v>
      </c>
      <c r="C69" s="66">
        <f t="shared" ref="C69:AC69" si="60">C39*C40*C47/C47</f>
        <v>90.829337335777538</v>
      </c>
      <c r="D69" s="66">
        <f t="shared" si="60"/>
        <v>88.640286139726825</v>
      </c>
      <c r="E69" s="66">
        <f t="shared" si="60"/>
        <v>87.23376714938297</v>
      </c>
      <c r="F69" s="66">
        <f t="shared" si="60"/>
        <v>85.819362344485739</v>
      </c>
      <c r="G69" s="66">
        <f t="shared" si="60"/>
        <v>84.393939735091934</v>
      </c>
      <c r="H69" s="66">
        <f t="shared" si="60"/>
        <v>82.953188356215477</v>
      </c>
      <c r="I69" s="66">
        <f t="shared" si="60"/>
        <v>81.491241413363923</v>
      </c>
      <c r="J69" s="66">
        <f t="shared" si="60"/>
        <v>82.434448949582645</v>
      </c>
      <c r="K69" s="66">
        <f t="shared" si="60"/>
        <v>83.329123999307015</v>
      </c>
      <c r="L69" s="66">
        <f t="shared" si="60"/>
        <v>84.157040409723891</v>
      </c>
      <c r="M69" s="66">
        <f t="shared" si="60"/>
        <v>84.895441069034575</v>
      </c>
      <c r="N69" s="66">
        <f t="shared" si="60"/>
        <v>85.51820400111049</v>
      </c>
      <c r="O69" s="66">
        <f t="shared" si="60"/>
        <v>83.351140252356004</v>
      </c>
      <c r="P69" s="66">
        <f t="shared" si="60"/>
        <v>81.067419044109101</v>
      </c>
      <c r="Q69" s="66">
        <f t="shared" si="60"/>
        <v>78.679102992300869</v>
      </c>
      <c r="R69" s="66">
        <f t="shared" si="60"/>
        <v>76.221750156334551</v>
      </c>
      <c r="S69" s="66">
        <f t="shared" si="60"/>
        <v>73.752727722763055</v>
      </c>
      <c r="T69" s="66">
        <f t="shared" si="60"/>
        <v>71.470289896137544</v>
      </c>
      <c r="U69" s="66">
        <f t="shared" si="60"/>
        <v>69.29790551485668</v>
      </c>
      <c r="V69" s="66">
        <f t="shared" si="60"/>
        <v>67.270117705094265</v>
      </c>
      <c r="W69" s="66">
        <f t="shared" si="60"/>
        <v>65.394169039744014</v>
      </c>
      <c r="X69" s="66">
        <f t="shared" si="60"/>
        <v>63.656403861573779</v>
      </c>
      <c r="Y69" s="66">
        <f t="shared" si="60"/>
        <v>62.098860902296451</v>
      </c>
      <c r="Z69" s="66">
        <f t="shared" si="60"/>
        <v>60.628380166891681</v>
      </c>
      <c r="AA69" s="66">
        <f t="shared" si="60"/>
        <v>59.221638895053765</v>
      </c>
      <c r="AB69" s="66">
        <f t="shared" si="60"/>
        <v>57.859980598984897</v>
      </c>
      <c r="AC69" s="66">
        <f t="shared" si="60"/>
        <v>56.529457585039502</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126.03083117856431</v>
      </c>
      <c r="C71" s="76">
        <f t="shared" ref="C71:AC71" si="63">C62+C63+C64-C65+C66+C67+C68+C69+C70</f>
        <v>123.83799124578442</v>
      </c>
      <c r="D71" s="76">
        <f t="shared" si="63"/>
        <v>121.63803426836041</v>
      </c>
      <c r="E71" s="76">
        <f t="shared" si="63"/>
        <v>120.21591379083323</v>
      </c>
      <c r="F71" s="76">
        <f t="shared" si="63"/>
        <v>118.77921101811195</v>
      </c>
      <c r="G71" s="76">
        <f t="shared" si="63"/>
        <v>117.32196438984255</v>
      </c>
      <c r="H71" s="76">
        <f t="shared" si="63"/>
        <v>115.8358878008008</v>
      </c>
      <c r="I71" s="76">
        <f t="shared" si="63"/>
        <v>114.30958555696449</v>
      </c>
      <c r="J71" s="76">
        <f t="shared" si="63"/>
        <v>115.16183305939083</v>
      </c>
      <c r="K71" s="76">
        <f t="shared" si="63"/>
        <v>115.92880186272562</v>
      </c>
      <c r="L71" s="76">
        <f t="shared" si="63"/>
        <v>116.579160231858</v>
      </c>
      <c r="M71" s="76">
        <f t="shared" si="63"/>
        <v>117.07413545902719</v>
      </c>
      <c r="N71" s="76">
        <f t="shared" si="63"/>
        <v>117.3697606947197</v>
      </c>
      <c r="O71" s="76">
        <f t="shared" si="63"/>
        <v>114.77506477843698</v>
      </c>
      <c r="P71" s="76">
        <f t="shared" si="63"/>
        <v>111.95281313440593</v>
      </c>
      <c r="Q71" s="76">
        <f t="shared" si="63"/>
        <v>108.91827601817529</v>
      </c>
      <c r="R71" s="76">
        <f t="shared" si="63"/>
        <v>105.73019342789141</v>
      </c>
      <c r="S71" s="76">
        <f t="shared" si="63"/>
        <v>102.48974259079559</v>
      </c>
      <c r="T71" s="76">
        <f t="shared" si="63"/>
        <v>99.451056628710745</v>
      </c>
      <c r="U71" s="76">
        <f t="shared" si="63"/>
        <v>96.590244003446571</v>
      </c>
      <c r="V71" s="76">
        <f t="shared" si="63"/>
        <v>93.977390220365493</v>
      </c>
      <c r="W71" s="76">
        <f t="shared" si="63"/>
        <v>91.632908489766294</v>
      </c>
      <c r="X71" s="76">
        <f t="shared" si="63"/>
        <v>89.537631787829724</v>
      </c>
      <c r="Y71" s="76">
        <f t="shared" si="63"/>
        <v>87.717289186118478</v>
      </c>
      <c r="Z71" s="76">
        <f t="shared" si="63"/>
        <v>86.058910508207674</v>
      </c>
      <c r="AA71" s="76">
        <f t="shared" si="63"/>
        <v>84.520480527375511</v>
      </c>
      <c r="AB71" s="76">
        <f t="shared" si="63"/>
        <v>83.067817239170992</v>
      </c>
      <c r="AC71" s="76">
        <f t="shared" si="63"/>
        <v>81.675014974154465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25">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9.8428104466493447E-3</v>
      </c>
      <c r="C81" s="66">
        <f t="shared" ref="C81:AC81" si="72">C39*C40*C47/C47/(C44)</f>
        <v>9.6115700884420677E-3</v>
      </c>
      <c r="D81" s="66">
        <f t="shared" si="72"/>
        <v>9.3799244592303512E-3</v>
      </c>
      <c r="E81" s="66">
        <f t="shared" si="72"/>
        <v>9.2310864708341767E-3</v>
      </c>
      <c r="F81" s="66">
        <f t="shared" si="72"/>
        <v>9.0814140047074856E-3</v>
      </c>
      <c r="G81" s="66">
        <f t="shared" si="72"/>
        <v>8.9305756333430616E-3</v>
      </c>
      <c r="H81" s="66">
        <f t="shared" si="72"/>
        <v>8.7781151699698919E-3</v>
      </c>
      <c r="I81" s="66">
        <f t="shared" si="72"/>
        <v>8.6234117897739607E-3</v>
      </c>
      <c r="J81" s="66">
        <f t="shared" si="72"/>
        <v>8.7232221110669465E-3</v>
      </c>
      <c r="K81" s="66">
        <f t="shared" si="72"/>
        <v>8.8178967195033878E-3</v>
      </c>
      <c r="L81" s="66">
        <f t="shared" si="72"/>
        <v>8.9055069216639037E-3</v>
      </c>
      <c r="M81" s="66">
        <f t="shared" si="72"/>
        <v>8.9836445575697966E-3</v>
      </c>
      <c r="N81" s="66">
        <f t="shared" si="72"/>
        <v>9.0495453969429082E-3</v>
      </c>
      <c r="O81" s="66">
        <f t="shared" si="72"/>
        <v>8.8202264817307946E-3</v>
      </c>
      <c r="P81" s="66">
        <f t="shared" si="72"/>
        <v>8.5785628618104872E-3</v>
      </c>
      <c r="Q81" s="66">
        <f t="shared" si="72"/>
        <v>8.3258310044762827E-3</v>
      </c>
      <c r="R81" s="66">
        <f t="shared" si="72"/>
        <v>8.0657936673369894E-3</v>
      </c>
      <c r="S81" s="66">
        <f t="shared" si="72"/>
        <v>7.8045214521442387E-3</v>
      </c>
      <c r="T81" s="66">
        <f t="shared" si="72"/>
        <v>7.5629936398029143E-3</v>
      </c>
      <c r="U81" s="66">
        <f t="shared" si="72"/>
        <v>7.3331116946938283E-3</v>
      </c>
      <c r="V81" s="66">
        <f t="shared" si="72"/>
        <v>7.1185309740840492E-3</v>
      </c>
      <c r="W81" s="66">
        <f t="shared" si="72"/>
        <v>6.9200178878035994E-3</v>
      </c>
      <c r="X81" s="66">
        <f t="shared" si="72"/>
        <v>6.7361273927591296E-3</v>
      </c>
      <c r="Y81" s="66">
        <f t="shared" si="72"/>
        <v>6.5713080319890422E-3</v>
      </c>
      <c r="Z81" s="66">
        <f t="shared" si="72"/>
        <v>6.4157016049620824E-3</v>
      </c>
      <c r="AA81" s="66">
        <f t="shared" si="72"/>
        <v>6.2668400947146841E-3</v>
      </c>
      <c r="AB81" s="66">
        <f t="shared" si="72"/>
        <v>6.1227492697338518E-3</v>
      </c>
      <c r="AC81" s="66">
        <f t="shared" si="72"/>
        <v>5.981953183602064E-3</v>
      </c>
    </row>
    <row r="82" spans="1:29" x14ac:dyDescent="0.25">
      <c r="A82" s="59" t="str">
        <f>A45</f>
        <v>Market failure (av. utilization)</v>
      </c>
      <c r="B82" s="66">
        <f t="shared" ref="B82:AC82" si="73">B71/B45-B71/B44</f>
        <v>6.2760451256054419E-3</v>
      </c>
      <c r="C82" s="66">
        <f t="shared" si="73"/>
        <v>6.1668467473779964E-3</v>
      </c>
      <c r="D82" s="66">
        <f t="shared" si="73"/>
        <v>6.0572939567188483E-3</v>
      </c>
      <c r="E82" s="66">
        <f t="shared" si="73"/>
        <v>5.986475632285498E-3</v>
      </c>
      <c r="F82" s="66">
        <f t="shared" si="73"/>
        <v>5.9149311431366033E-3</v>
      </c>
      <c r="G82" s="66">
        <f t="shared" si="73"/>
        <v>5.8423636172968575E-3</v>
      </c>
      <c r="H82" s="66">
        <f t="shared" si="73"/>
        <v>5.7683604258101824E-3</v>
      </c>
      <c r="I82" s="66">
        <f t="shared" si="73"/>
        <v>5.6923540893601948E-3</v>
      </c>
      <c r="J82" s="66">
        <f t="shared" si="73"/>
        <v>5.7347940521327492E-3</v>
      </c>
      <c r="K82" s="66">
        <f t="shared" si="73"/>
        <v>5.7729873320996224E-3</v>
      </c>
      <c r="L82" s="66">
        <f t="shared" si="73"/>
        <v>5.8053736810137774E-3</v>
      </c>
      <c r="M82" s="66">
        <f t="shared" si="73"/>
        <v>5.8300223073278357E-3</v>
      </c>
      <c r="N82" s="66">
        <f t="shared" si="73"/>
        <v>5.8447437631979921E-3</v>
      </c>
      <c r="O82" s="66">
        <f t="shared" si="73"/>
        <v>5.7155338825240921E-3</v>
      </c>
      <c r="P82" s="66">
        <f t="shared" si="73"/>
        <v>5.574992250701816E-3</v>
      </c>
      <c r="Q82" s="66">
        <f t="shared" si="73"/>
        <v>5.4238792912879048E-3</v>
      </c>
      <c r="R82" s="66">
        <f t="shared" si="73"/>
        <v>5.2651201209033965E-3</v>
      </c>
      <c r="S82" s="66">
        <f t="shared" si="73"/>
        <v>5.1037531324392409E-3</v>
      </c>
      <c r="T82" s="66">
        <f t="shared" si="73"/>
        <v>4.9524335700571777E-3</v>
      </c>
      <c r="U82" s="66">
        <f t="shared" si="73"/>
        <v>4.8099716901809659E-3</v>
      </c>
      <c r="V82" s="66">
        <f t="shared" si="73"/>
        <v>4.6798575895606823E-3</v>
      </c>
      <c r="W82" s="66">
        <f t="shared" si="73"/>
        <v>4.5631077990546526E-3</v>
      </c>
      <c r="X82" s="66">
        <f t="shared" si="73"/>
        <v>4.458767845021085E-3</v>
      </c>
      <c r="Y82" s="66">
        <f t="shared" si="73"/>
        <v>4.3681189759660587E-3</v>
      </c>
      <c r="Z82" s="66">
        <f t="shared" si="73"/>
        <v>4.2855355372901412E-3</v>
      </c>
      <c r="AA82" s="66">
        <f t="shared" si="73"/>
        <v>4.2089252674696771E-3</v>
      </c>
      <c r="AB82" s="66">
        <f t="shared" si="73"/>
        <v>4.136585981409072E-3</v>
      </c>
      <c r="AC82" s="66">
        <f t="shared" si="73"/>
        <v>4.0672276364347049E-3</v>
      </c>
    </row>
    <row r="83" spans="1:29" x14ac:dyDescent="0.25">
      <c r="A83" s="59" t="str">
        <f>A46</f>
        <v>Payload loss (fuel)</v>
      </c>
      <c r="B83" s="66">
        <f>B71/(B44-B46)-B71/B44</f>
        <v>1.1593579383751725E-3</v>
      </c>
      <c r="C83" s="66">
        <f t="shared" ref="C83:AC83" si="74">C71/(C44-C46)-C71/C44</f>
        <v>1.1390388976290078E-3</v>
      </c>
      <c r="D83" s="66">
        <f t="shared" si="74"/>
        <v>1.1185972757018405E-3</v>
      </c>
      <c r="E83" s="66">
        <f t="shared" si="74"/>
        <v>1.1052268847691633E-3</v>
      </c>
      <c r="F83" s="66">
        <f t="shared" si="74"/>
        <v>1.091605395984737E-3</v>
      </c>
      <c r="G83" s="66">
        <f t="shared" si="74"/>
        <v>1.0776309740510217E-3</v>
      </c>
      <c r="H83" s="66">
        <f t="shared" si="74"/>
        <v>1.0631626351266903E-3</v>
      </c>
      <c r="I83" s="66">
        <f t="shared" si="74"/>
        <v>1.0480074831170309E-3</v>
      </c>
      <c r="J83" s="66">
        <f t="shared" si="74"/>
        <v>1.0541888462216285E-3</v>
      </c>
      <c r="K83" s="66">
        <f t="shared" si="74"/>
        <v>1.0589035458466456E-3</v>
      </c>
      <c r="L83" s="66">
        <f t="shared" si="74"/>
        <v>1.0616209823275814E-3</v>
      </c>
      <c r="M83" s="66">
        <f t="shared" si="74"/>
        <v>1.0616936109255053E-3</v>
      </c>
      <c r="N83" s="66">
        <f t="shared" si="74"/>
        <v>1.0584041297538298E-3</v>
      </c>
      <c r="O83" s="66">
        <f t="shared" si="74"/>
        <v>1.0273818560011805E-3</v>
      </c>
      <c r="P83" s="66">
        <f t="shared" si="74"/>
        <v>9.9276617979535305E-4</v>
      </c>
      <c r="Q83" s="66">
        <f t="shared" si="74"/>
        <v>9.5495515698367471E-4</v>
      </c>
      <c r="R83" s="66">
        <f t="shared" si="74"/>
        <v>9.150590420272265E-4</v>
      </c>
      <c r="S83" s="66">
        <f t="shared" si="74"/>
        <v>8.7481581196660954E-4</v>
      </c>
      <c r="T83" s="66">
        <f t="shared" si="74"/>
        <v>8.3729889945523446E-4</v>
      </c>
      <c r="U83" s="66">
        <f t="shared" si="74"/>
        <v>8.0299494901691498E-4</v>
      </c>
      <c r="V83" s="66">
        <f t="shared" si="74"/>
        <v>7.7283858044640587E-4</v>
      </c>
      <c r="W83" s="66">
        <f t="shared" si="74"/>
        <v>7.4698155336005816E-4</v>
      </c>
      <c r="X83" s="66">
        <f t="shared" si="74"/>
        <v>7.250028869216045E-4</v>
      </c>
      <c r="Y83" s="66">
        <f t="shared" si="74"/>
        <v>7.0673880359427808E-4</v>
      </c>
      <c r="Z83" s="66">
        <f t="shared" si="74"/>
        <v>6.9090645509240108E-4</v>
      </c>
      <c r="AA83" s="66">
        <f t="shared" si="74"/>
        <v>6.768555160165373E-4</v>
      </c>
      <c r="AB83" s="66">
        <f t="shared" si="74"/>
        <v>6.6406807621637205E-4</v>
      </c>
      <c r="AC83" s="66">
        <f t="shared" si="74"/>
        <v>6.5215710970363897E-4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2.0758202356560212E-2</v>
      </c>
      <c r="C85" s="67">
        <f t="shared" ref="C85:AC85" si="76">C74+C75+C76+C77+C78+C79+C80+C81+C82+C83+C84</f>
        <v>2.0396638383853281E-2</v>
      </c>
      <c r="D85" s="67">
        <f t="shared" si="76"/>
        <v>2.0033844291116279E-2</v>
      </c>
      <c r="E85" s="67">
        <f t="shared" si="76"/>
        <v>1.9799166636329378E-2</v>
      </c>
      <c r="F85" s="67">
        <f t="shared" si="76"/>
        <v>1.9561968618954654E-2</v>
      </c>
      <c r="G85" s="67">
        <f t="shared" si="76"/>
        <v>1.9321220678771733E-2</v>
      </c>
      <c r="H85" s="67">
        <f t="shared" si="76"/>
        <v>1.9075492366451549E-2</v>
      </c>
      <c r="I85" s="67">
        <f t="shared" si="76"/>
        <v>1.8822817413035674E-2</v>
      </c>
      <c r="J85" s="67">
        <f t="shared" si="76"/>
        <v>1.8961623659804503E-2</v>
      </c>
      <c r="K85" s="67">
        <f t="shared" si="76"/>
        <v>1.9085692359326004E-2</v>
      </c>
      <c r="L85" s="67">
        <f t="shared" si="76"/>
        <v>1.9189617136163677E-2</v>
      </c>
      <c r="M85" s="67">
        <f t="shared" si="76"/>
        <v>1.9266716721993031E-2</v>
      </c>
      <c r="N85" s="67">
        <f t="shared" si="76"/>
        <v>1.9309431790415589E-2</v>
      </c>
      <c r="O85" s="67">
        <f t="shared" si="76"/>
        <v>1.8874628639557002E-2</v>
      </c>
      <c r="P85" s="67">
        <f t="shared" si="76"/>
        <v>1.8400820363906563E-2</v>
      </c>
      <c r="Q85" s="67">
        <f t="shared" si="76"/>
        <v>1.7890781342926411E-2</v>
      </c>
      <c r="R85" s="67">
        <f t="shared" si="76"/>
        <v>1.7354762820518378E-2</v>
      </c>
      <c r="S85" s="67">
        <f t="shared" si="76"/>
        <v>1.6810247751507277E-2</v>
      </c>
      <c r="T85" s="67">
        <f t="shared" si="76"/>
        <v>1.629985720655195E-2</v>
      </c>
      <c r="U85" s="67">
        <f t="shared" si="76"/>
        <v>1.5820359881500469E-2</v>
      </c>
      <c r="V85" s="67">
        <f t="shared" si="76"/>
        <v>1.5383596948491573E-2</v>
      </c>
      <c r="W85" s="67">
        <f t="shared" si="76"/>
        <v>1.4992896826073883E-2</v>
      </c>
      <c r="X85" s="67">
        <f t="shared" si="76"/>
        <v>1.4644855803280529E-2</v>
      </c>
      <c r="Y85" s="67">
        <f t="shared" si="76"/>
        <v>1.4343314004156246E-2</v>
      </c>
      <c r="Z85" s="67">
        <f t="shared" si="76"/>
        <v>1.4069408409792124E-2</v>
      </c>
      <c r="AA85" s="67">
        <f t="shared" si="76"/>
        <v>1.3815950377527314E-2</v>
      </c>
      <c r="AB85" s="67">
        <f t="shared" si="76"/>
        <v>1.3577102668787758E-2</v>
      </c>
      <c r="AC85" s="67">
        <f t="shared" si="76"/>
        <v>1.3348446874230126E-2</v>
      </c>
    </row>
    <row r="87" spans="1:29" x14ac:dyDescent="0.25">
      <c r="B87" s="40"/>
    </row>
    <row r="107" spans="1:2" s="3" customFormat="1" ht="21" x14ac:dyDescent="0.35">
      <c r="A107" s="2" t="str">
        <f>'Parameter Input'!A223</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Input'!$L$249</f>
        <v>30000000</v>
      </c>
      <c r="C117" s="42">
        <f>'Parameter Input'!$M$249</f>
        <v>18000000</v>
      </c>
      <c r="D117" s="1" t="s">
        <v>15</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Input'!$L$250</f>
        <v>-1500000</v>
      </c>
      <c r="C118" s="61">
        <f>'Parameter Input'!$M$250</f>
        <v>-1800000</v>
      </c>
      <c r="D118" s="1" t="s">
        <v>15</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Input'!$L$256</f>
        <v>0.06</v>
      </c>
      <c r="C121" s="91">
        <f>'Parameter Input'!$M$256</f>
        <v>0.06</v>
      </c>
      <c r="D121" s="1" t="s">
        <v>57</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Input'!$L$252</f>
        <v>338823.5294117647</v>
      </c>
      <c r="C123" s="61">
        <f>'Parameter Input'!$M$252</f>
        <v>338823.5294117647</v>
      </c>
      <c r="D123" s="1" t="s">
        <v>38</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Input'!$L$253</f>
        <v>589</v>
      </c>
      <c r="C125" s="61">
        <f>'Parameter Input'!$M$253</f>
        <v>519</v>
      </c>
      <c r="D125" s="1" t="s">
        <v>60</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Input'!$L$254</f>
        <v>0.23976160758395154</v>
      </c>
      <c r="C126" s="61">
        <f>'Parameter Input'!$M$254</f>
        <v>0.11428118371505049</v>
      </c>
      <c r="D126" s="1" t="s">
        <v>68</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25">
      <c r="A127" s="24" t="s">
        <v>206</v>
      </c>
      <c r="B127" s="115">
        <f>'Parameter Input'!$L$257</f>
        <v>0</v>
      </c>
      <c r="C127" s="116">
        <f>'Parameter Input'!$M$257</f>
        <v>0</v>
      </c>
      <c r="D127" s="1" t="s">
        <v>76</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Input'!$L$251</f>
        <v>25</v>
      </c>
      <c r="C128" s="61">
        <f>'Parameter Input'!$M$251</f>
        <v>25</v>
      </c>
      <c r="D128" s="1" t="s">
        <v>42</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Input'!$L$255</f>
        <v>0.08</v>
      </c>
      <c r="C132" s="46">
        <f>'Parameter Input'!$M$255</f>
        <v>7.0000000000000007E-2</v>
      </c>
      <c r="D132" s="1" t="s">
        <v>57</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25">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6">
        <f>'Parameter Input'!J6</f>
        <v>0.15796068463848831</v>
      </c>
      <c r="C146" s="66">
        <f>'Parameter Input'!K6</f>
        <v>0.15426708731267802</v>
      </c>
      <c r="D146" s="66">
        <f>'Parameter Input'!L6</f>
        <v>0.1505734899868677</v>
      </c>
      <c r="E146" s="66">
        <f>'Parameter Input'!M6</f>
        <v>0.14821852539008218</v>
      </c>
      <c r="F146" s="66">
        <f>'Parameter Input'!N6</f>
        <v>0.14586356079329663</v>
      </c>
      <c r="G146" s="66">
        <f>'Parameter Input'!O6</f>
        <v>0.1435085961965111</v>
      </c>
      <c r="H146" s="66">
        <f>'Parameter Input'!P6</f>
        <v>0.14115363159972555</v>
      </c>
      <c r="I146" s="66">
        <f>'Parameter Input'!Q6</f>
        <v>0.13879866700293997</v>
      </c>
      <c r="J146" s="66">
        <f>'Parameter Input'!R6</f>
        <v>0.1405953284523826</v>
      </c>
      <c r="K146" s="66">
        <f>'Parameter Input'!S6</f>
        <v>0.14239198990182525</v>
      </c>
      <c r="L146" s="66">
        <f>'Parameter Input'!T6</f>
        <v>0.14418865135126788</v>
      </c>
      <c r="M146" s="66">
        <f>'Parameter Input'!U6</f>
        <v>0.14598531280071053</v>
      </c>
      <c r="N146" s="66">
        <f>'Parameter Input'!V6</f>
        <v>0.14778197425015313</v>
      </c>
      <c r="O146" s="66">
        <f>'Parameter Input'!W6</f>
        <v>0.14497239428752798</v>
      </c>
      <c r="P146" s="66">
        <f>'Parameter Input'!X6</f>
        <v>0.14216281432490285</v>
      </c>
      <c r="Q146" s="66">
        <f>'Parameter Input'!Y6</f>
        <v>0.1393532343622777</v>
      </c>
      <c r="R146" s="66">
        <f>'Parameter Input'!Z6</f>
        <v>0.13654365439965255</v>
      </c>
      <c r="S146" s="66">
        <f>'Parameter Input'!AA6</f>
        <v>0.13373407443702739</v>
      </c>
      <c r="T146" s="66">
        <f>'Parameter Input'!AB6</f>
        <v>0.13116562897048312</v>
      </c>
      <c r="U146" s="66">
        <f>'Parameter Input'!AC6</f>
        <v>0.12859718350393887</v>
      </c>
      <c r="V146" s="66">
        <f>'Parameter Input'!AD6</f>
        <v>0.12602873803739459</v>
      </c>
      <c r="W146" s="66">
        <f>'Parameter Input'!AE6</f>
        <v>0.1234602925708503</v>
      </c>
      <c r="X146" s="66">
        <f>'Parameter Input'!AF6</f>
        <v>0.12089184710430603</v>
      </c>
      <c r="Y146" s="66">
        <f>'Parameter Input'!AG6</f>
        <v>0.11844996886324041</v>
      </c>
      <c r="Z146" s="66">
        <f>'Parameter Input'!AH6</f>
        <v>0.11600809062217481</v>
      </c>
      <c r="AA146" s="66">
        <f>'Parameter Input'!AI6</f>
        <v>0.1135662123811092</v>
      </c>
      <c r="AB146" s="66">
        <f>'Parameter Input'!AJ6</f>
        <v>0.11112433414004359</v>
      </c>
      <c r="AC146" s="66">
        <f>'Parameter Input'!AK6</f>
        <v>0.10868245589897794</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25">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11161747.046500357</v>
      </c>
      <c r="C163" s="62">
        <f t="shared" ref="C163:AC163" si="127">C145*C146*C153</f>
        <v>10899520.480293304</v>
      </c>
      <c r="D163" s="62">
        <f t="shared" si="127"/>
        <v>10636834.336767219</v>
      </c>
      <c r="E163" s="62">
        <f t="shared" si="127"/>
        <v>10468052.057925956</v>
      </c>
      <c r="F163" s="62">
        <f t="shared" si="127"/>
        <v>10298323.481338289</v>
      </c>
      <c r="G163" s="62">
        <f t="shared" si="127"/>
        <v>10127272.768211031</v>
      </c>
      <c r="H163" s="62">
        <f t="shared" si="127"/>
        <v>9954382.6027458571</v>
      </c>
      <c r="I163" s="62">
        <f t="shared" si="127"/>
        <v>9778948.9696036708</v>
      </c>
      <c r="J163" s="62">
        <f t="shared" si="127"/>
        <v>9892133.873949917</v>
      </c>
      <c r="K163" s="62">
        <f t="shared" si="127"/>
        <v>9999494.8799168412</v>
      </c>
      <c r="L163" s="62">
        <f t="shared" si="127"/>
        <v>10098844.849166866</v>
      </c>
      <c r="M163" s="62">
        <f t="shared" si="127"/>
        <v>10187452.92828415</v>
      </c>
      <c r="N163" s="62">
        <f t="shared" si="127"/>
        <v>10262184.48013326</v>
      </c>
      <c r="O163" s="62">
        <f t="shared" si="127"/>
        <v>10002136.83028272</v>
      </c>
      <c r="P163" s="62">
        <f t="shared" si="127"/>
        <v>9728090.285293093</v>
      </c>
      <c r="Q163" s="62">
        <f t="shared" si="127"/>
        <v>9441492.3590761051</v>
      </c>
      <c r="R163" s="62">
        <f t="shared" si="127"/>
        <v>9146610.0187601466</v>
      </c>
      <c r="S163" s="62">
        <f t="shared" si="127"/>
        <v>8850327.3267315663</v>
      </c>
      <c r="T163" s="62">
        <f t="shared" si="127"/>
        <v>8576434.7875365056</v>
      </c>
      <c r="U163" s="62">
        <f t="shared" si="127"/>
        <v>8315748.6617828012</v>
      </c>
      <c r="V163" s="62">
        <f t="shared" si="127"/>
        <v>8072414.1246113116</v>
      </c>
      <c r="W163" s="62">
        <f t="shared" si="127"/>
        <v>7847300.2847692817</v>
      </c>
      <c r="X163" s="62">
        <f t="shared" si="127"/>
        <v>7638768.4633888537</v>
      </c>
      <c r="Y163" s="62">
        <f t="shared" si="127"/>
        <v>7451863.3082755739</v>
      </c>
      <c r="Z163" s="62">
        <f t="shared" si="127"/>
        <v>7275405.6200270019</v>
      </c>
      <c r="AA163" s="62">
        <f t="shared" si="127"/>
        <v>7106596.6674064519</v>
      </c>
      <c r="AB163" s="62">
        <f t="shared" si="127"/>
        <v>6943197.6718781879</v>
      </c>
      <c r="AC163" s="62">
        <f t="shared" si="127"/>
        <v>6783534.9102047402</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15490817.047426369</v>
      </c>
      <c r="C165" s="64">
        <f t="shared" ref="C165:AC165" si="129">C156+C157+C158+C159+C160+C161+C162+C163+C164</f>
        <v>15227676.255492782</v>
      </c>
      <c r="D165" s="64">
        <f t="shared" si="129"/>
        <v>14963681.418201901</v>
      </c>
      <c r="E165" s="64">
        <f t="shared" si="129"/>
        <v>14793026.960898638</v>
      </c>
      <c r="F165" s="64">
        <f t="shared" si="129"/>
        <v>14620622.628172085</v>
      </c>
      <c r="G165" s="64">
        <f t="shared" si="129"/>
        <v>14445753.032779757</v>
      </c>
      <c r="H165" s="64">
        <f t="shared" si="129"/>
        <v>14267423.842094749</v>
      </c>
      <c r="I165" s="64">
        <f t="shared" si="129"/>
        <v>14084267.572834389</v>
      </c>
      <c r="J165" s="64">
        <f t="shared" si="129"/>
        <v>14186537.27312555</v>
      </c>
      <c r="K165" s="64">
        <f t="shared" si="129"/>
        <v>14278573.529525725</v>
      </c>
      <c r="L165" s="64">
        <f t="shared" si="129"/>
        <v>14356616.533821613</v>
      </c>
      <c r="M165" s="64">
        <f t="shared" si="129"/>
        <v>14416013.561081916</v>
      </c>
      <c r="N165" s="64">
        <f t="shared" si="129"/>
        <v>14451488.589365017</v>
      </c>
      <c r="O165" s="64">
        <f t="shared" si="129"/>
        <v>14140125.079411088</v>
      </c>
      <c r="P165" s="64">
        <f t="shared" si="129"/>
        <v>13801454.882127363</v>
      </c>
      <c r="Q165" s="64">
        <f t="shared" si="129"/>
        <v>13437310.428179687</v>
      </c>
      <c r="R165" s="64">
        <f t="shared" si="129"/>
        <v>13054740.517345618</v>
      </c>
      <c r="S165" s="64">
        <f t="shared" si="129"/>
        <v>12665886.416894121</v>
      </c>
      <c r="T165" s="64">
        <f t="shared" si="129"/>
        <v>12301244.101443941</v>
      </c>
      <c r="U165" s="64">
        <f t="shared" si="129"/>
        <v>11957946.58641224</v>
      </c>
      <c r="V165" s="64">
        <f t="shared" si="129"/>
        <v>11644404.132442512</v>
      </c>
      <c r="W165" s="64">
        <f t="shared" si="129"/>
        <v>11363066.324770607</v>
      </c>
      <c r="X165" s="64">
        <f t="shared" si="129"/>
        <v>11111633.120538218</v>
      </c>
      <c r="Y165" s="64">
        <f t="shared" si="129"/>
        <v>10893192.008332867</v>
      </c>
      <c r="Z165" s="64">
        <f t="shared" si="129"/>
        <v>10694186.566983573</v>
      </c>
      <c r="AA165" s="64">
        <f t="shared" si="129"/>
        <v>10509574.969283713</v>
      </c>
      <c r="AB165" s="64">
        <f t="shared" si="129"/>
        <v>10335255.37469917</v>
      </c>
      <c r="AC165" s="64">
        <f t="shared" si="129"/>
        <v>10168119.102897186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25">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93.014558720836305</v>
      </c>
      <c r="C175" s="66">
        <f t="shared" ref="C175:AC175" si="138">C145*C146*C153/C153</f>
        <v>90.829337335777538</v>
      </c>
      <c r="D175" s="66">
        <f t="shared" si="138"/>
        <v>88.640286139726825</v>
      </c>
      <c r="E175" s="66">
        <f t="shared" si="138"/>
        <v>87.23376714938297</v>
      </c>
      <c r="F175" s="66">
        <f t="shared" si="138"/>
        <v>85.819362344485739</v>
      </c>
      <c r="G175" s="66">
        <f t="shared" si="138"/>
        <v>84.393939735091934</v>
      </c>
      <c r="H175" s="66">
        <f t="shared" si="138"/>
        <v>82.953188356215477</v>
      </c>
      <c r="I175" s="66">
        <f t="shared" si="138"/>
        <v>81.491241413363923</v>
      </c>
      <c r="J175" s="66">
        <f t="shared" si="138"/>
        <v>82.434448949582645</v>
      </c>
      <c r="K175" s="66">
        <f t="shared" si="138"/>
        <v>83.329123999307015</v>
      </c>
      <c r="L175" s="66">
        <f t="shared" si="138"/>
        <v>84.157040409723891</v>
      </c>
      <c r="M175" s="66">
        <f t="shared" si="138"/>
        <v>84.895441069034575</v>
      </c>
      <c r="N175" s="66">
        <f t="shared" si="138"/>
        <v>85.51820400111049</v>
      </c>
      <c r="O175" s="66">
        <f t="shared" si="138"/>
        <v>83.351140252356004</v>
      </c>
      <c r="P175" s="66">
        <f t="shared" si="138"/>
        <v>81.067419044109101</v>
      </c>
      <c r="Q175" s="66">
        <f t="shared" si="138"/>
        <v>78.679102992300869</v>
      </c>
      <c r="R175" s="66">
        <f t="shared" si="138"/>
        <v>76.221750156334551</v>
      </c>
      <c r="S175" s="66">
        <f t="shared" si="138"/>
        <v>73.752727722763055</v>
      </c>
      <c r="T175" s="66">
        <f t="shared" si="138"/>
        <v>71.470289896137544</v>
      </c>
      <c r="U175" s="66">
        <f t="shared" si="138"/>
        <v>69.29790551485668</v>
      </c>
      <c r="V175" s="66">
        <f t="shared" si="138"/>
        <v>67.270117705094265</v>
      </c>
      <c r="W175" s="66">
        <f t="shared" si="138"/>
        <v>65.394169039744014</v>
      </c>
      <c r="X175" s="66">
        <f t="shared" si="138"/>
        <v>63.656403861573779</v>
      </c>
      <c r="Y175" s="66">
        <f t="shared" si="138"/>
        <v>62.098860902296451</v>
      </c>
      <c r="Z175" s="66">
        <f t="shared" si="138"/>
        <v>60.628380166891681</v>
      </c>
      <c r="AA175" s="66">
        <f t="shared" si="138"/>
        <v>59.221638895053765</v>
      </c>
      <c r="AB175" s="66">
        <f t="shared" si="138"/>
        <v>57.859980598984897</v>
      </c>
      <c r="AC175" s="66">
        <f t="shared" si="138"/>
        <v>56.529457585039502</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129.742031380322</v>
      </c>
      <c r="C177" s="76">
        <f t="shared" ref="C177:AC177" si="141">C168+C169+C170-C171+C172+C173+C174+C175+C176</f>
        <v>127.54919144754214</v>
      </c>
      <c r="D177" s="76">
        <f t="shared" si="141"/>
        <v>125.34923447011812</v>
      </c>
      <c r="E177" s="76">
        <f t="shared" si="141"/>
        <v>123.92711399259093</v>
      </c>
      <c r="F177" s="76">
        <f t="shared" si="141"/>
        <v>122.49041121986966</v>
      </c>
      <c r="G177" s="76">
        <f t="shared" si="141"/>
        <v>121.03316459160024</v>
      </c>
      <c r="H177" s="76">
        <f t="shared" si="141"/>
        <v>119.54708800255852</v>
      </c>
      <c r="I177" s="76">
        <f t="shared" si="141"/>
        <v>118.02078575872218</v>
      </c>
      <c r="J177" s="76">
        <f t="shared" si="141"/>
        <v>118.87303326114852</v>
      </c>
      <c r="K177" s="76">
        <f t="shared" si="141"/>
        <v>119.64000206448333</v>
      </c>
      <c r="L177" s="76">
        <f t="shared" si="141"/>
        <v>120.29036043361572</v>
      </c>
      <c r="M177" s="76">
        <f t="shared" si="141"/>
        <v>120.78533566078491</v>
      </c>
      <c r="N177" s="76">
        <f t="shared" si="141"/>
        <v>121.08096089647739</v>
      </c>
      <c r="O177" s="76">
        <f t="shared" si="141"/>
        <v>118.48626498019468</v>
      </c>
      <c r="P177" s="76">
        <f t="shared" si="141"/>
        <v>115.66401333616363</v>
      </c>
      <c r="Q177" s="76">
        <f t="shared" si="141"/>
        <v>112.629476219933</v>
      </c>
      <c r="R177" s="76">
        <f t="shared" si="141"/>
        <v>109.44139362964911</v>
      </c>
      <c r="S177" s="76">
        <f t="shared" si="141"/>
        <v>106.20094279255329</v>
      </c>
      <c r="T177" s="76">
        <f t="shared" si="141"/>
        <v>103.16225683046846</v>
      </c>
      <c r="U177" s="76">
        <f t="shared" si="141"/>
        <v>100.30144420520428</v>
      </c>
      <c r="V177" s="76">
        <f t="shared" si="141"/>
        <v>97.688590422123212</v>
      </c>
      <c r="W177" s="76">
        <f t="shared" si="141"/>
        <v>95.344108691524013</v>
      </c>
      <c r="X177" s="76">
        <f t="shared" si="141"/>
        <v>93.24883198958743</v>
      </c>
      <c r="Y177" s="76">
        <f t="shared" si="141"/>
        <v>91.428489387876198</v>
      </c>
      <c r="Z177" s="76">
        <f t="shared" si="141"/>
        <v>89.770110709965394</v>
      </c>
      <c r="AA177" s="76">
        <f t="shared" si="141"/>
        <v>88.231680729133217</v>
      </c>
      <c r="AB177" s="76">
        <f t="shared" si="141"/>
        <v>86.779017440928698</v>
      </c>
      <c r="AC177" s="76">
        <f t="shared" si="141"/>
        <v>85.38621517591217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25">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9.8428104466493447E-3</v>
      </c>
      <c r="C187" s="66">
        <f t="shared" ref="C187:AC187" si="150">C145*C146*C153/C153/(C150)</f>
        <v>9.6115700884420677E-3</v>
      </c>
      <c r="D187" s="66">
        <f t="shared" si="150"/>
        <v>9.3799244592303512E-3</v>
      </c>
      <c r="E187" s="66">
        <f t="shared" si="150"/>
        <v>9.2310864708341767E-3</v>
      </c>
      <c r="F187" s="66">
        <f t="shared" si="150"/>
        <v>9.0814140047074856E-3</v>
      </c>
      <c r="G187" s="66">
        <f t="shared" si="150"/>
        <v>8.9305756333430616E-3</v>
      </c>
      <c r="H187" s="66">
        <f t="shared" si="150"/>
        <v>8.7781151699698919E-3</v>
      </c>
      <c r="I187" s="66">
        <f t="shared" si="150"/>
        <v>8.6234117897739607E-3</v>
      </c>
      <c r="J187" s="66">
        <f t="shared" si="150"/>
        <v>8.7232221110669465E-3</v>
      </c>
      <c r="K187" s="66">
        <f t="shared" si="150"/>
        <v>8.8178967195033878E-3</v>
      </c>
      <c r="L187" s="66">
        <f t="shared" si="150"/>
        <v>8.9055069216639037E-3</v>
      </c>
      <c r="M187" s="66">
        <f t="shared" si="150"/>
        <v>8.9836445575697966E-3</v>
      </c>
      <c r="N187" s="66">
        <f t="shared" si="150"/>
        <v>9.0495453969429082E-3</v>
      </c>
      <c r="O187" s="66">
        <f t="shared" si="150"/>
        <v>8.8202264817307946E-3</v>
      </c>
      <c r="P187" s="66">
        <f t="shared" si="150"/>
        <v>8.5785628618104872E-3</v>
      </c>
      <c r="Q187" s="66">
        <f t="shared" si="150"/>
        <v>8.3258310044762827E-3</v>
      </c>
      <c r="R187" s="66">
        <f t="shared" si="150"/>
        <v>8.0657936673369894E-3</v>
      </c>
      <c r="S187" s="66">
        <f t="shared" si="150"/>
        <v>7.8045214521442387E-3</v>
      </c>
      <c r="T187" s="66">
        <f t="shared" si="150"/>
        <v>7.5629936398029143E-3</v>
      </c>
      <c r="U187" s="66">
        <f t="shared" si="150"/>
        <v>7.3331116946938283E-3</v>
      </c>
      <c r="V187" s="66">
        <f t="shared" si="150"/>
        <v>7.1185309740840492E-3</v>
      </c>
      <c r="W187" s="66">
        <f t="shared" si="150"/>
        <v>6.9200178878035994E-3</v>
      </c>
      <c r="X187" s="66">
        <f t="shared" si="150"/>
        <v>6.7361273927591296E-3</v>
      </c>
      <c r="Y187" s="66">
        <f t="shared" si="150"/>
        <v>6.5713080319890422E-3</v>
      </c>
      <c r="Z187" s="66">
        <f t="shared" si="150"/>
        <v>6.4157016049620824E-3</v>
      </c>
      <c r="AA187" s="66">
        <f t="shared" si="150"/>
        <v>6.2668400947146841E-3</v>
      </c>
      <c r="AB187" s="66">
        <f t="shared" si="150"/>
        <v>6.1227492697338518E-3</v>
      </c>
      <c r="AC187" s="66">
        <f t="shared" si="150"/>
        <v>5.981953183602064E-3</v>
      </c>
    </row>
    <row r="188" spans="1:29" x14ac:dyDescent="0.25">
      <c r="A188" s="59" t="str">
        <f>A151</f>
        <v>Market failure (av. utilization)</v>
      </c>
      <c r="B188" s="66">
        <f t="shared" ref="B188:AC188" si="151">B177/B151-B177/B150</f>
        <v>1.0217165015799936E-2</v>
      </c>
      <c r="C188" s="66">
        <f t="shared" si="151"/>
        <v>1.004447920837049E-2</v>
      </c>
      <c r="D188" s="66">
        <f t="shared" si="151"/>
        <v>9.8712329347699773E-3</v>
      </c>
      <c r="E188" s="66">
        <f t="shared" si="151"/>
        <v>9.7592411658986352E-3</v>
      </c>
      <c r="F188" s="66">
        <f t="shared" si="151"/>
        <v>9.646101043523635E-3</v>
      </c>
      <c r="G188" s="66">
        <f t="shared" si="151"/>
        <v>9.5313430956840365E-3</v>
      </c>
      <c r="H188" s="66">
        <f t="shared" si="151"/>
        <v>9.4143147928679033E-3</v>
      </c>
      <c r="I188" s="66">
        <f t="shared" si="151"/>
        <v>9.2941187259237366E-3</v>
      </c>
      <c r="J188" s="66">
        <f t="shared" si="151"/>
        <v>9.361233085657077E-3</v>
      </c>
      <c r="K188" s="66">
        <f t="shared" si="151"/>
        <v>9.4216317609535274E-3</v>
      </c>
      <c r="L188" s="66">
        <f t="shared" si="151"/>
        <v>9.472847382492192E-3</v>
      </c>
      <c r="M188" s="66">
        <f t="shared" si="151"/>
        <v>9.5118266055004737E-3</v>
      </c>
      <c r="N188" s="66">
        <f t="shared" si="151"/>
        <v>9.5351070473416438E-3</v>
      </c>
      <c r="O188" s="66">
        <f t="shared" si="151"/>
        <v>9.3307751430201282E-3</v>
      </c>
      <c r="P188" s="66">
        <f t="shared" si="151"/>
        <v>9.1085232601383938E-3</v>
      </c>
      <c r="Q188" s="66">
        <f t="shared" si="151"/>
        <v>8.869553928972207E-3</v>
      </c>
      <c r="R188" s="66">
        <f t="shared" si="151"/>
        <v>8.6184929153408918E-3</v>
      </c>
      <c r="S188" s="66">
        <f t="shared" si="151"/>
        <v>8.36330791032781E-3</v>
      </c>
      <c r="T188" s="66">
        <f t="shared" si="151"/>
        <v>8.1240118581887306E-3</v>
      </c>
      <c r="U188" s="66">
        <f t="shared" si="151"/>
        <v>7.8987233039658836E-3</v>
      </c>
      <c r="V188" s="66">
        <f t="shared" si="151"/>
        <v>7.6929614704268311E-3</v>
      </c>
      <c r="W188" s="66">
        <f t="shared" si="151"/>
        <v>7.508333894742876E-3</v>
      </c>
      <c r="X188" s="66">
        <f t="shared" si="151"/>
        <v>7.343331176736306E-3</v>
      </c>
      <c r="Y188" s="66">
        <f t="shared" si="151"/>
        <v>7.1999794768353356E-3</v>
      </c>
      <c r="Z188" s="66">
        <f t="shared" si="151"/>
        <v>7.0693824110222535E-3</v>
      </c>
      <c r="AA188" s="66">
        <f t="shared" si="151"/>
        <v>6.9482312866550079E-3</v>
      </c>
      <c r="AB188" s="66">
        <f t="shared" si="151"/>
        <v>6.833834276140564E-3</v>
      </c>
      <c r="AC188" s="66">
        <f t="shared" si="151"/>
        <v>6.7241513119950507E-3</v>
      </c>
    </row>
    <row r="189" spans="1:29" x14ac:dyDescent="0.25">
      <c r="A189" s="59" t="str">
        <f>A152</f>
        <v>Payload loss (fuel)</v>
      </c>
      <c r="B189" s="66">
        <f>B177/(B150-B152)-B177/B150</f>
        <v>1.1934972785237041E-3</v>
      </c>
      <c r="C189" s="66">
        <f t="shared" ref="C189:AC189" si="152">C177/(C150-C152)-C177/C150</f>
        <v>1.1731738294392356E-3</v>
      </c>
      <c r="D189" s="66">
        <f t="shared" si="152"/>
        <v>1.1527258972324362E-3</v>
      </c>
      <c r="E189" s="66">
        <f t="shared" si="152"/>
        <v>1.1393464793253393E-3</v>
      </c>
      <c r="F189" s="66">
        <f t="shared" si="152"/>
        <v>1.1257120896653403E-3</v>
      </c>
      <c r="G189" s="66">
        <f t="shared" si="152"/>
        <v>1.111719256744869E-3</v>
      </c>
      <c r="H189" s="66">
        <f t="shared" si="152"/>
        <v>1.0972246988005009E-3</v>
      </c>
      <c r="I189" s="66">
        <f t="shared" si="152"/>
        <v>1.0820323250743946E-3</v>
      </c>
      <c r="J189" s="66">
        <f t="shared" si="152"/>
        <v>1.088161089931667E-3</v>
      </c>
      <c r="K189" s="66">
        <f t="shared" si="152"/>
        <v>1.0928019644436161E-3</v>
      </c>
      <c r="L189" s="66">
        <f t="shared" si="152"/>
        <v>1.0954167996586415E-3</v>
      </c>
      <c r="M189" s="66">
        <f t="shared" si="152"/>
        <v>1.0953488459406781E-3</v>
      </c>
      <c r="N189" s="66">
        <f t="shared" si="152"/>
        <v>1.0918705830943991E-3</v>
      </c>
      <c r="O189" s="66">
        <f t="shared" si="152"/>
        <v>1.0606017871650966E-3</v>
      </c>
      <c r="P189" s="66">
        <f t="shared" si="152"/>
        <v>1.02567606337578E-3</v>
      </c>
      <c r="Q189" s="66">
        <f t="shared" si="152"/>
        <v>9.8749358763856182E-4</v>
      </c>
      <c r="R189" s="66">
        <f t="shared" si="152"/>
        <v>9.4717822379821077E-4</v>
      </c>
      <c r="S189" s="66">
        <f t="shared" si="152"/>
        <v>9.0649329047130106E-4</v>
      </c>
      <c r="T189" s="66">
        <f t="shared" si="152"/>
        <v>8.6854425722142532E-4</v>
      </c>
      <c r="U189" s="66">
        <f t="shared" si="152"/>
        <v>8.3384770280740816E-4</v>
      </c>
      <c r="V189" s="66">
        <f t="shared" si="152"/>
        <v>8.033582478786834E-4</v>
      </c>
      <c r="W189" s="66">
        <f t="shared" si="152"/>
        <v>7.772348557732265E-4</v>
      </c>
      <c r="X189" s="66">
        <f t="shared" si="152"/>
        <v>7.5505316641296012E-4</v>
      </c>
      <c r="Y189" s="66">
        <f t="shared" si="152"/>
        <v>7.366399692005695E-4</v>
      </c>
      <c r="Z189" s="66">
        <f t="shared" si="152"/>
        <v>7.2070107090141736E-4</v>
      </c>
      <c r="AA189" s="66">
        <f t="shared" si="152"/>
        <v>7.0657548816917617E-4</v>
      </c>
      <c r="AB189" s="66">
        <f t="shared" si="152"/>
        <v>6.9373648042325535E-4</v>
      </c>
      <c r="AC189" s="66">
        <f t="shared" si="152"/>
        <v>6.8179023065103976E-4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2.5070994787644955E-2</v>
      </c>
      <c r="C191" s="67">
        <f t="shared" ref="C191:AC191" si="154">C180+C181+C182+C183+C184+C185+C186+C187+C188+C189+C190</f>
        <v>2.4645938977397717E-2</v>
      </c>
      <c r="D191" s="67">
        <f t="shared" si="154"/>
        <v>2.4219445091439716E-2</v>
      </c>
      <c r="E191" s="67">
        <f t="shared" si="154"/>
        <v>2.3943584965240409E-2</v>
      </c>
      <c r="F191" s="67">
        <f t="shared" si="154"/>
        <v>2.3664778413764007E-2</v>
      </c>
      <c r="G191" s="67">
        <f t="shared" si="154"/>
        <v>2.3381821640594474E-2</v>
      </c>
      <c r="H191" s="67">
        <f t="shared" si="154"/>
        <v>2.3093041997924797E-2</v>
      </c>
      <c r="I191" s="67">
        <f t="shared" si="154"/>
        <v>2.27961400922983E-2</v>
      </c>
      <c r="J191" s="67">
        <f t="shared" si="154"/>
        <v>2.2959568137780589E-2</v>
      </c>
      <c r="K191" s="67">
        <f t="shared" si="154"/>
        <v>2.3105768407518597E-2</v>
      </c>
      <c r="L191" s="67">
        <f t="shared" si="154"/>
        <v>2.3228419855714867E-2</v>
      </c>
      <c r="M191" s="67">
        <f t="shared" si="154"/>
        <v>2.3319709455922558E-2</v>
      </c>
      <c r="N191" s="67">
        <f t="shared" si="154"/>
        <v>2.3370794728641522E-2</v>
      </c>
      <c r="O191" s="67">
        <f t="shared" si="154"/>
        <v>2.2860623031958675E-2</v>
      </c>
      <c r="P191" s="67">
        <f t="shared" si="154"/>
        <v>2.2304794457665287E-2</v>
      </c>
      <c r="Q191" s="67">
        <f t="shared" si="154"/>
        <v>2.170652761200732E-2</v>
      </c>
      <c r="R191" s="67">
        <f t="shared" si="154"/>
        <v>2.1077787997468574E-2</v>
      </c>
      <c r="S191" s="67">
        <f t="shared" si="154"/>
        <v>2.0439013208642252E-2</v>
      </c>
      <c r="T191" s="67">
        <f t="shared" si="154"/>
        <v>1.9840214053191405E-2</v>
      </c>
      <c r="U191" s="67">
        <f t="shared" si="154"/>
        <v>1.9277497449817594E-2</v>
      </c>
      <c r="V191" s="67">
        <f t="shared" si="154"/>
        <v>1.8764753697531715E-2</v>
      </c>
      <c r="W191" s="67">
        <f t="shared" si="154"/>
        <v>1.8305909424916993E-2</v>
      </c>
      <c r="X191" s="67">
        <f t="shared" si="154"/>
        <v>1.7897002615228821E-2</v>
      </c>
      <c r="Y191" s="67">
        <f t="shared" si="154"/>
        <v>1.754260887137353E-2</v>
      </c>
      <c r="Z191" s="67">
        <f t="shared" si="154"/>
        <v>1.722058310007497E-2</v>
      </c>
      <c r="AA191" s="67">
        <f t="shared" si="154"/>
        <v>1.6922509569606999E-2</v>
      </c>
      <c r="AB191" s="67">
        <f t="shared" si="154"/>
        <v>1.6641552568467853E-2</v>
      </c>
      <c r="AC191" s="67">
        <f t="shared" si="154"/>
        <v>1.637253687147959E-2</v>
      </c>
    </row>
    <row r="193" spans="2:2" x14ac:dyDescent="0.25">
      <c r="B193" s="40"/>
    </row>
    <row r="215" spans="1:44" s="3" customFormat="1" ht="21" x14ac:dyDescent="0.35">
      <c r="A215" s="2" t="str">
        <f>'Parameter Input'!A235</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Input'!$L$249</f>
        <v>30000000</v>
      </c>
      <c r="C225" s="42">
        <f>'Parameter Input'!$M$249</f>
        <v>18000000</v>
      </c>
      <c r="D225" s="1" t="s">
        <v>15</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Input'!$L$250</f>
        <v>-1500000</v>
      </c>
      <c r="C226" s="61">
        <f>'Parameter Input'!$M$250</f>
        <v>-1800000</v>
      </c>
      <c r="D226" s="1" t="s">
        <v>15</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Input'!$L$256</f>
        <v>0.06</v>
      </c>
      <c r="C229" s="91">
        <f>'Parameter Input'!$M$256</f>
        <v>0.06</v>
      </c>
      <c r="D229" s="1" t="s">
        <v>57</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Input'!$L$252</f>
        <v>338823.5294117647</v>
      </c>
      <c r="C231" s="61">
        <f>'Parameter Input'!$M$252</f>
        <v>338823.5294117647</v>
      </c>
      <c r="D231" s="1" t="s">
        <v>38</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Input'!$L$253</f>
        <v>589</v>
      </c>
      <c r="C233" s="61">
        <f>'Parameter Input'!$M$253</f>
        <v>519</v>
      </c>
      <c r="D233" s="1" t="s">
        <v>60</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Input'!$L$254</f>
        <v>0.23976160758395154</v>
      </c>
      <c r="C234" s="61">
        <f>'Parameter Input'!$M$254</f>
        <v>0.11428118371505049</v>
      </c>
      <c r="D234" s="1" t="s">
        <v>68</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25">
      <c r="A235" s="24" t="s">
        <v>206</v>
      </c>
      <c r="B235" s="115">
        <f>'Parameter Input'!$L$257</f>
        <v>0</v>
      </c>
      <c r="C235" s="116">
        <f>'Parameter Input'!$M$257</f>
        <v>0</v>
      </c>
      <c r="D235" s="1" t="s">
        <v>76</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Input'!$L$251</f>
        <v>25</v>
      </c>
      <c r="C236" s="61">
        <f>'Parameter Input'!$M$251</f>
        <v>25</v>
      </c>
      <c r="D236" s="1" t="s">
        <v>42</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Input'!$L$255</f>
        <v>0.08</v>
      </c>
      <c r="C240" s="46">
        <f>'Parameter Input'!$M$255</f>
        <v>7.0000000000000007E-2</v>
      </c>
      <c r="D240" s="1" t="s">
        <v>57</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25">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Input'!J6</f>
        <v>0.15796068463848831</v>
      </c>
      <c r="C254" s="62">
        <f>'Parameter Input'!K6</f>
        <v>0.15426708731267802</v>
      </c>
      <c r="D254" s="62">
        <f>'Parameter Input'!L6</f>
        <v>0.1505734899868677</v>
      </c>
      <c r="E254" s="62">
        <f>'Parameter Input'!M6</f>
        <v>0.14821852539008218</v>
      </c>
      <c r="F254" s="62">
        <f>'Parameter Input'!N6</f>
        <v>0.14586356079329663</v>
      </c>
      <c r="G254" s="62">
        <f>'Parameter Input'!O6</f>
        <v>0.1435085961965111</v>
      </c>
      <c r="H254" s="62">
        <f>'Parameter Input'!P6</f>
        <v>0.14115363159972555</v>
      </c>
      <c r="I254" s="62">
        <f>'Parameter Input'!Q6</f>
        <v>0.13879866700293997</v>
      </c>
      <c r="J254" s="62">
        <f>'Parameter Input'!R6</f>
        <v>0.1405953284523826</v>
      </c>
      <c r="K254" s="62">
        <f>'Parameter Input'!S6</f>
        <v>0.14239198990182525</v>
      </c>
      <c r="L254" s="62">
        <f>'Parameter Input'!T6</f>
        <v>0.14418865135126788</v>
      </c>
      <c r="M254" s="62">
        <f>'Parameter Input'!U6</f>
        <v>0.14598531280071053</v>
      </c>
      <c r="N254" s="62">
        <f>'Parameter Input'!V6</f>
        <v>0.14778197425015313</v>
      </c>
      <c r="O254" s="62">
        <f>'Parameter Input'!W6</f>
        <v>0.14497239428752798</v>
      </c>
      <c r="P254" s="62">
        <f>'Parameter Input'!X6</f>
        <v>0.14216281432490285</v>
      </c>
      <c r="Q254" s="62">
        <f>'Parameter Input'!Y6</f>
        <v>0.1393532343622777</v>
      </c>
      <c r="R254" s="62">
        <f>'Parameter Input'!Z6</f>
        <v>0.13654365439965255</v>
      </c>
      <c r="S254" s="62">
        <f>'Parameter Input'!AA6</f>
        <v>0.13373407443702739</v>
      </c>
      <c r="T254" s="62">
        <f>'Parameter Input'!AB6</f>
        <v>0.13116562897048312</v>
      </c>
      <c r="U254" s="62">
        <f>'Parameter Input'!AC6</f>
        <v>0.12859718350393887</v>
      </c>
      <c r="V254" s="62">
        <f>'Parameter Input'!AD6</f>
        <v>0.12602873803739459</v>
      </c>
      <c r="W254" s="62">
        <f>'Parameter Input'!AE6</f>
        <v>0.1234602925708503</v>
      </c>
      <c r="X254" s="62">
        <f>'Parameter Input'!AF6</f>
        <v>0.12089184710430603</v>
      </c>
      <c r="Y254" s="62">
        <f>'Parameter Input'!AG6</f>
        <v>0.11844996886324041</v>
      </c>
      <c r="Z254" s="62">
        <f>'Parameter Input'!AH6</f>
        <v>0.11600809062217481</v>
      </c>
      <c r="AA254" s="62">
        <f>'Parameter Input'!AI6</f>
        <v>0.1135662123811092</v>
      </c>
      <c r="AB254" s="62">
        <f>'Parameter Input'!AJ6</f>
        <v>0.11112433414004359</v>
      </c>
      <c r="AC254" s="62">
        <f>'Parameter Input'!AK6</f>
        <v>0.10868245589897794</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25">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11161747.046500357</v>
      </c>
      <c r="C271" s="62">
        <f t="shared" ref="C271:AC271" si="205">C253*C254*C261</f>
        <v>10899520.480293304</v>
      </c>
      <c r="D271" s="62">
        <f t="shared" si="205"/>
        <v>10636834.336767219</v>
      </c>
      <c r="E271" s="62">
        <f t="shared" si="205"/>
        <v>10468052.057925956</v>
      </c>
      <c r="F271" s="62">
        <f t="shared" si="205"/>
        <v>10298323.481338289</v>
      </c>
      <c r="G271" s="62">
        <f t="shared" si="205"/>
        <v>10127272.768211031</v>
      </c>
      <c r="H271" s="62">
        <f t="shared" si="205"/>
        <v>9954382.6027458571</v>
      </c>
      <c r="I271" s="62">
        <f t="shared" si="205"/>
        <v>9778948.9696036708</v>
      </c>
      <c r="J271" s="62">
        <f t="shared" si="205"/>
        <v>9892133.873949917</v>
      </c>
      <c r="K271" s="62">
        <f t="shared" si="205"/>
        <v>9999494.8799168412</v>
      </c>
      <c r="L271" s="62">
        <f t="shared" si="205"/>
        <v>10098844.849166866</v>
      </c>
      <c r="M271" s="62">
        <f t="shared" si="205"/>
        <v>10187452.92828415</v>
      </c>
      <c r="N271" s="62">
        <f t="shared" si="205"/>
        <v>10262184.48013326</v>
      </c>
      <c r="O271" s="62">
        <f t="shared" si="205"/>
        <v>10002136.83028272</v>
      </c>
      <c r="P271" s="62">
        <f t="shared" si="205"/>
        <v>9728090.285293093</v>
      </c>
      <c r="Q271" s="62">
        <f t="shared" si="205"/>
        <v>9441492.3590761051</v>
      </c>
      <c r="R271" s="62">
        <f t="shared" si="205"/>
        <v>9146610.0187601466</v>
      </c>
      <c r="S271" s="62">
        <f t="shared" si="205"/>
        <v>8850327.3267315663</v>
      </c>
      <c r="T271" s="62">
        <f t="shared" si="205"/>
        <v>8576434.7875365056</v>
      </c>
      <c r="U271" s="62">
        <f t="shared" si="205"/>
        <v>8315748.6617828012</v>
      </c>
      <c r="V271" s="62">
        <f t="shared" si="205"/>
        <v>8072414.1246113116</v>
      </c>
      <c r="W271" s="62">
        <f t="shared" si="205"/>
        <v>7847300.2847692817</v>
      </c>
      <c r="X271" s="62">
        <f t="shared" si="205"/>
        <v>7638768.4633888537</v>
      </c>
      <c r="Y271" s="62">
        <f t="shared" si="205"/>
        <v>7451863.3082755739</v>
      </c>
      <c r="Z271" s="62">
        <f t="shared" si="205"/>
        <v>7275405.6200270019</v>
      </c>
      <c r="AA271" s="62">
        <f t="shared" si="205"/>
        <v>7106596.6674064519</v>
      </c>
      <c r="AB271" s="62">
        <f t="shared" si="205"/>
        <v>6943197.6718781879</v>
      </c>
      <c r="AC271" s="62">
        <f t="shared" si="205"/>
        <v>6783534.9102047402</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15104094.857206797</v>
      </c>
      <c r="C273" s="64">
        <f t="shared" ref="C273:AC273" si="207">C264+C265+C266+C267+C268+C269+C270+C271+C272</f>
        <v>14840954.06527321</v>
      </c>
      <c r="D273" s="64">
        <f t="shared" si="207"/>
        <v>14576959.227982329</v>
      </c>
      <c r="E273" s="64">
        <f t="shared" si="207"/>
        <v>14406304.770679068</v>
      </c>
      <c r="F273" s="64">
        <f t="shared" si="207"/>
        <v>14233900.437952513</v>
      </c>
      <c r="G273" s="64">
        <f t="shared" si="207"/>
        <v>14059030.842560185</v>
      </c>
      <c r="H273" s="64">
        <f t="shared" si="207"/>
        <v>13880701.651875177</v>
      </c>
      <c r="I273" s="64">
        <f t="shared" si="207"/>
        <v>13697545.382614817</v>
      </c>
      <c r="J273" s="64">
        <f t="shared" si="207"/>
        <v>13799815.082905978</v>
      </c>
      <c r="K273" s="64">
        <f t="shared" si="207"/>
        <v>13891851.339306153</v>
      </c>
      <c r="L273" s="64">
        <f t="shared" si="207"/>
        <v>13969894.343602041</v>
      </c>
      <c r="M273" s="64">
        <f t="shared" si="207"/>
        <v>14029291.370862344</v>
      </c>
      <c r="N273" s="64">
        <f t="shared" si="207"/>
        <v>14064766.399145443</v>
      </c>
      <c r="O273" s="64">
        <f t="shared" si="207"/>
        <v>13753402.889191516</v>
      </c>
      <c r="P273" s="64">
        <f t="shared" si="207"/>
        <v>13414732.691907791</v>
      </c>
      <c r="Q273" s="64">
        <f t="shared" si="207"/>
        <v>13050588.237960115</v>
      </c>
      <c r="R273" s="64">
        <f t="shared" si="207"/>
        <v>12668018.327126049</v>
      </c>
      <c r="S273" s="64">
        <f t="shared" si="207"/>
        <v>12279164.226674549</v>
      </c>
      <c r="T273" s="64">
        <f t="shared" si="207"/>
        <v>11914521.911224369</v>
      </c>
      <c r="U273" s="64">
        <f t="shared" si="207"/>
        <v>11571224.396192666</v>
      </c>
      <c r="V273" s="64">
        <f t="shared" si="207"/>
        <v>11257681.942222938</v>
      </c>
      <c r="W273" s="64">
        <f t="shared" si="207"/>
        <v>10976344.134551035</v>
      </c>
      <c r="X273" s="64">
        <f t="shared" si="207"/>
        <v>10724910.930318646</v>
      </c>
      <c r="Y273" s="64">
        <f t="shared" si="207"/>
        <v>10506469.818113295</v>
      </c>
      <c r="Z273" s="64">
        <f t="shared" si="207"/>
        <v>10307464.376764001</v>
      </c>
      <c r="AA273" s="64">
        <f t="shared" si="207"/>
        <v>10122852.779064141</v>
      </c>
      <c r="AB273" s="64">
        <f t="shared" si="207"/>
        <v>9948533.184479598</v>
      </c>
      <c r="AC273" s="64">
        <f t="shared" si="207"/>
        <v>9781396.912677614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25">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93.014558720836305</v>
      </c>
      <c r="C283" s="66">
        <f t="shared" ref="C283:AC283" si="216">C253*C254*C261/C261</f>
        <v>90.829337335777538</v>
      </c>
      <c r="D283" s="66">
        <f t="shared" si="216"/>
        <v>88.640286139726825</v>
      </c>
      <c r="E283" s="66">
        <f t="shared" si="216"/>
        <v>87.23376714938297</v>
      </c>
      <c r="F283" s="66">
        <f t="shared" si="216"/>
        <v>85.819362344485739</v>
      </c>
      <c r="G283" s="66">
        <f t="shared" si="216"/>
        <v>84.393939735091934</v>
      </c>
      <c r="H283" s="66">
        <f t="shared" si="216"/>
        <v>82.953188356215477</v>
      </c>
      <c r="I283" s="66">
        <f t="shared" si="216"/>
        <v>81.491241413363923</v>
      </c>
      <c r="J283" s="66">
        <f t="shared" si="216"/>
        <v>82.434448949582645</v>
      </c>
      <c r="K283" s="66">
        <f t="shared" si="216"/>
        <v>83.329123999307015</v>
      </c>
      <c r="L283" s="66">
        <f t="shared" si="216"/>
        <v>84.157040409723891</v>
      </c>
      <c r="M283" s="66">
        <f t="shared" si="216"/>
        <v>84.895441069034575</v>
      </c>
      <c r="N283" s="66">
        <f t="shared" si="216"/>
        <v>85.51820400111049</v>
      </c>
      <c r="O283" s="66">
        <f t="shared" si="216"/>
        <v>83.351140252356004</v>
      </c>
      <c r="P283" s="66">
        <f t="shared" si="216"/>
        <v>81.067419044109101</v>
      </c>
      <c r="Q283" s="66">
        <f t="shared" si="216"/>
        <v>78.679102992300869</v>
      </c>
      <c r="R283" s="66">
        <f t="shared" si="216"/>
        <v>76.221750156334551</v>
      </c>
      <c r="S283" s="66">
        <f t="shared" si="216"/>
        <v>73.752727722763055</v>
      </c>
      <c r="T283" s="66">
        <f t="shared" si="216"/>
        <v>71.470289896137544</v>
      </c>
      <c r="U283" s="66">
        <f t="shared" si="216"/>
        <v>69.29790551485668</v>
      </c>
      <c r="V283" s="66">
        <f t="shared" si="216"/>
        <v>67.270117705094265</v>
      </c>
      <c r="W283" s="66">
        <f t="shared" si="216"/>
        <v>65.394169039744014</v>
      </c>
      <c r="X283" s="66">
        <f t="shared" si="216"/>
        <v>63.656403861573779</v>
      </c>
      <c r="Y283" s="66">
        <f t="shared" si="216"/>
        <v>62.098860902296451</v>
      </c>
      <c r="Z283" s="66">
        <f t="shared" si="216"/>
        <v>60.628380166891681</v>
      </c>
      <c r="AA283" s="66">
        <f t="shared" si="216"/>
        <v>59.221638895053765</v>
      </c>
      <c r="AB283" s="66">
        <f t="shared" si="216"/>
        <v>57.859980598984897</v>
      </c>
      <c r="AC283" s="66">
        <f t="shared" si="216"/>
        <v>56.529457585039502</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125.99783500707709</v>
      </c>
      <c r="C285" s="76">
        <f t="shared" ref="C285:AC285" si="219">C276+C277+C278-C279+C280+C281+C282+C283+C284</f>
        <v>123.80499507429721</v>
      </c>
      <c r="D285" s="76">
        <f t="shared" si="219"/>
        <v>121.60503809687319</v>
      </c>
      <c r="E285" s="76">
        <f t="shared" si="219"/>
        <v>120.182917619346</v>
      </c>
      <c r="F285" s="76">
        <f t="shared" si="219"/>
        <v>118.74621484662472</v>
      </c>
      <c r="G285" s="76">
        <f t="shared" si="219"/>
        <v>117.28896821835532</v>
      </c>
      <c r="H285" s="76">
        <f t="shared" si="219"/>
        <v>115.80289162931359</v>
      </c>
      <c r="I285" s="76">
        <f t="shared" si="219"/>
        <v>114.27658938547728</v>
      </c>
      <c r="J285" s="76">
        <f t="shared" si="219"/>
        <v>115.12883688790362</v>
      </c>
      <c r="K285" s="76">
        <f t="shared" si="219"/>
        <v>115.89580569123841</v>
      </c>
      <c r="L285" s="76">
        <f t="shared" si="219"/>
        <v>116.54616406037078</v>
      </c>
      <c r="M285" s="76">
        <f t="shared" si="219"/>
        <v>117.04113928753998</v>
      </c>
      <c r="N285" s="76">
        <f t="shared" si="219"/>
        <v>117.33676452323247</v>
      </c>
      <c r="O285" s="76">
        <f t="shared" si="219"/>
        <v>114.74206860694976</v>
      </c>
      <c r="P285" s="76">
        <f t="shared" si="219"/>
        <v>111.9198169629187</v>
      </c>
      <c r="Q285" s="76">
        <f t="shared" si="219"/>
        <v>108.88527984668808</v>
      </c>
      <c r="R285" s="76">
        <f t="shared" si="219"/>
        <v>105.69719725640418</v>
      </c>
      <c r="S285" s="76">
        <f t="shared" si="219"/>
        <v>102.45674641930836</v>
      </c>
      <c r="T285" s="76">
        <f t="shared" si="219"/>
        <v>99.418060457223532</v>
      </c>
      <c r="U285" s="76">
        <f t="shared" si="219"/>
        <v>96.557247831959344</v>
      </c>
      <c r="V285" s="76">
        <f t="shared" si="219"/>
        <v>93.94439404887828</v>
      </c>
      <c r="W285" s="76">
        <f t="shared" si="219"/>
        <v>91.599912318279081</v>
      </c>
      <c r="X285" s="76">
        <f t="shared" si="219"/>
        <v>89.504635616342497</v>
      </c>
      <c r="Y285" s="76">
        <f t="shared" si="219"/>
        <v>87.684293014631265</v>
      </c>
      <c r="Z285" s="76">
        <f t="shared" si="219"/>
        <v>86.025914336720462</v>
      </c>
      <c r="AA285" s="76">
        <f t="shared" si="219"/>
        <v>84.487484355888299</v>
      </c>
      <c r="AB285" s="76">
        <f t="shared" si="219"/>
        <v>83.034821067683765</v>
      </c>
      <c r="AC285" s="76">
        <f t="shared" si="219"/>
        <v>81.642018802667238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25">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9.8428104466493447E-3</v>
      </c>
      <c r="C295" s="66">
        <f t="shared" ref="C295:AC295" si="228">C253*C254*C261/C261/(C258)</f>
        <v>9.6115700884420677E-3</v>
      </c>
      <c r="D295" s="66">
        <f t="shared" si="228"/>
        <v>9.3799244592303512E-3</v>
      </c>
      <c r="E295" s="66">
        <f t="shared" si="228"/>
        <v>9.2310864708341767E-3</v>
      </c>
      <c r="F295" s="66">
        <f t="shared" si="228"/>
        <v>9.0814140047074856E-3</v>
      </c>
      <c r="G295" s="66">
        <f t="shared" si="228"/>
        <v>8.9305756333430616E-3</v>
      </c>
      <c r="H295" s="66">
        <f t="shared" si="228"/>
        <v>8.7781151699698919E-3</v>
      </c>
      <c r="I295" s="66">
        <f t="shared" si="228"/>
        <v>8.6234117897739607E-3</v>
      </c>
      <c r="J295" s="66">
        <f t="shared" si="228"/>
        <v>8.7232221110669465E-3</v>
      </c>
      <c r="K295" s="66">
        <f t="shared" si="228"/>
        <v>8.8178967195033878E-3</v>
      </c>
      <c r="L295" s="66">
        <f t="shared" si="228"/>
        <v>8.9055069216639037E-3</v>
      </c>
      <c r="M295" s="66">
        <f t="shared" si="228"/>
        <v>8.9836445575697966E-3</v>
      </c>
      <c r="N295" s="66">
        <f t="shared" si="228"/>
        <v>9.0495453969429082E-3</v>
      </c>
      <c r="O295" s="66">
        <f t="shared" si="228"/>
        <v>8.8202264817307946E-3</v>
      </c>
      <c r="P295" s="66">
        <f t="shared" si="228"/>
        <v>8.5785628618104872E-3</v>
      </c>
      <c r="Q295" s="66">
        <f t="shared" si="228"/>
        <v>8.3258310044762827E-3</v>
      </c>
      <c r="R295" s="66">
        <f t="shared" si="228"/>
        <v>8.0657936673369894E-3</v>
      </c>
      <c r="S295" s="66">
        <f t="shared" si="228"/>
        <v>7.8045214521442387E-3</v>
      </c>
      <c r="T295" s="66">
        <f t="shared" si="228"/>
        <v>7.5629936398029143E-3</v>
      </c>
      <c r="U295" s="66">
        <f t="shared" si="228"/>
        <v>7.3331116946938283E-3</v>
      </c>
      <c r="V295" s="66">
        <f t="shared" si="228"/>
        <v>7.1185309740840492E-3</v>
      </c>
      <c r="W295" s="66">
        <f t="shared" si="228"/>
        <v>6.9200178878035994E-3</v>
      </c>
      <c r="X295" s="66">
        <f t="shared" si="228"/>
        <v>6.7361273927591296E-3</v>
      </c>
      <c r="Y295" s="66">
        <f t="shared" si="228"/>
        <v>6.5713080319890422E-3</v>
      </c>
      <c r="Z295" s="66">
        <f t="shared" si="228"/>
        <v>6.4157016049620824E-3</v>
      </c>
      <c r="AA295" s="66">
        <f t="shared" si="228"/>
        <v>6.2668400947146841E-3</v>
      </c>
      <c r="AB295" s="66">
        <f t="shared" si="228"/>
        <v>6.1227492697338518E-3</v>
      </c>
      <c r="AC295" s="66">
        <f t="shared" si="228"/>
        <v>5.981953183602064E-3</v>
      </c>
    </row>
    <row r="296" spans="1:29" x14ac:dyDescent="0.25">
      <c r="A296" s="59" t="str">
        <f>A259</f>
        <v>Market failure (av. utilization)</v>
      </c>
      <c r="B296" s="66">
        <f t="shared" ref="B296:AC296" si="229">B285/B259-B285/B258</f>
        <v>1.230748083097212E-2</v>
      </c>
      <c r="C296" s="66">
        <f t="shared" si="229"/>
        <v>1.2093284012141364E-2</v>
      </c>
      <c r="D296" s="66">
        <f t="shared" si="229"/>
        <v>1.187839199969457E-2</v>
      </c>
      <c r="E296" s="66">
        <f t="shared" si="229"/>
        <v>1.173947913253685E-2</v>
      </c>
      <c r="F296" s="66">
        <f t="shared" si="229"/>
        <v>1.1599141865360169E-2</v>
      </c>
      <c r="G296" s="66">
        <f t="shared" si="229"/>
        <v>1.1456797872366819E-2</v>
      </c>
      <c r="H296" s="66">
        <f t="shared" si="229"/>
        <v>1.1311637765989119E-2</v>
      </c>
      <c r="I296" s="66">
        <f t="shared" si="229"/>
        <v>1.1162548413721834E-2</v>
      </c>
      <c r="J296" s="66">
        <f t="shared" si="229"/>
        <v>1.1245796033006459E-2</v>
      </c>
      <c r="K296" s="66">
        <f t="shared" si="229"/>
        <v>1.1320713620633787E-2</v>
      </c>
      <c r="L296" s="66">
        <f t="shared" si="229"/>
        <v>1.1384240689657708E-2</v>
      </c>
      <c r="M296" s="66">
        <f t="shared" si="229"/>
        <v>1.1432589918196824E-2</v>
      </c>
      <c r="N296" s="66">
        <f t="shared" si="229"/>
        <v>1.1461466620095966E-2</v>
      </c>
      <c r="O296" s="66">
        <f t="shared" si="229"/>
        <v>1.1208016469543322E-2</v>
      </c>
      <c r="P296" s="66">
        <f t="shared" si="229"/>
        <v>1.0932338653276551E-2</v>
      </c>
      <c r="Q296" s="66">
        <f t="shared" si="229"/>
        <v>1.0635924771349262E-2</v>
      </c>
      <c r="R296" s="66">
        <f t="shared" si="229"/>
        <v>1.0324512552518114E-2</v>
      </c>
      <c r="S296" s="66">
        <f t="shared" si="229"/>
        <v>1.000798499822304E-2</v>
      </c>
      <c r="T296" s="66">
        <f t="shared" si="229"/>
        <v>9.711165856627452E-3</v>
      </c>
      <c r="U296" s="66">
        <f t="shared" si="229"/>
        <v>9.4317213999471905E-3</v>
      </c>
      <c r="V296" s="66">
        <f t="shared" si="229"/>
        <v>9.176497587192016E-3</v>
      </c>
      <c r="W296" s="66">
        <f t="shared" si="229"/>
        <v>8.947488382737883E-3</v>
      </c>
      <c r="X296" s="66">
        <f t="shared" si="229"/>
        <v>8.7428215498258858E-3</v>
      </c>
      <c r="Y296" s="66">
        <f t="shared" si="229"/>
        <v>8.5650103066794905E-3</v>
      </c>
      <c r="Z296" s="66">
        <f t="shared" si="229"/>
        <v>8.4030197154305701E-3</v>
      </c>
      <c r="AA296" s="66">
        <f t="shared" si="229"/>
        <v>8.2527457246288922E-3</v>
      </c>
      <c r="AB296" s="66">
        <f t="shared" si="229"/>
        <v>8.110849432740784E-3</v>
      </c>
      <c r="AC296" s="66">
        <f t="shared" si="229"/>
        <v>7.9748003714449085E-3</v>
      </c>
    </row>
    <row r="297" spans="1:29" x14ac:dyDescent="0.25">
      <c r="A297" s="59" t="str">
        <f>A260</f>
        <v>Payload loss (fuel)</v>
      </c>
      <c r="B297" s="66">
        <f>B285/(B258-B260)-B285/B258</f>
        <v>1.1590544065092634E-3</v>
      </c>
      <c r="C297" s="66">
        <f t="shared" ref="C297:AC297" si="230">C285/(C258-C260)-C285/C258</f>
        <v>1.1387354049575034E-3</v>
      </c>
      <c r="D297" s="66">
        <f t="shared" si="230"/>
        <v>1.1182938391348478E-3</v>
      </c>
      <c r="E297" s="66">
        <f t="shared" si="230"/>
        <v>1.1049235284607325E-3</v>
      </c>
      <c r="F297" s="66">
        <f t="shared" si="230"/>
        <v>1.091302154377612E-3</v>
      </c>
      <c r="G297" s="66">
        <f t="shared" si="230"/>
        <v>1.0773278961354344E-3</v>
      </c>
      <c r="H297" s="66">
        <f t="shared" si="230"/>
        <v>1.0628597903236375E-3</v>
      </c>
      <c r="I297" s="66">
        <f t="shared" si="230"/>
        <v>1.0477049692511602E-3</v>
      </c>
      <c r="J297" s="66">
        <f t="shared" si="230"/>
        <v>1.0538868000052222E-3</v>
      </c>
      <c r="K297" s="66">
        <f t="shared" si="230"/>
        <v>1.0586021560071417E-3</v>
      </c>
      <c r="L297" s="66">
        <f t="shared" si="230"/>
        <v>1.0613205047129062E-3</v>
      </c>
      <c r="M297" s="66">
        <f t="shared" si="230"/>
        <v>1.0613943832240534E-3</v>
      </c>
      <c r="N297" s="66">
        <f t="shared" si="230"/>
        <v>1.0581065805046752E-3</v>
      </c>
      <c r="O297" s="66">
        <f t="shared" si="230"/>
        <v>1.0270864985734256E-3</v>
      </c>
      <c r="P297" s="66">
        <f t="shared" si="230"/>
        <v>9.9247357899151338E-4</v>
      </c>
      <c r="Q297" s="66">
        <f t="shared" si="230"/>
        <v>9.5466585875683511E-4</v>
      </c>
      <c r="R297" s="66">
        <f t="shared" si="230"/>
        <v>9.1477347132984214E-4</v>
      </c>
      <c r="S297" s="66">
        <f t="shared" si="230"/>
        <v>8.745341684399336E-4</v>
      </c>
      <c r="T297" s="66">
        <f t="shared" si="230"/>
        <v>8.37021097901295E-4</v>
      </c>
      <c r="U297" s="66">
        <f t="shared" si="230"/>
        <v>8.0272063809333667E-4</v>
      </c>
      <c r="V297" s="66">
        <f t="shared" si="230"/>
        <v>7.7256723098381198E-4</v>
      </c>
      <c r="W297" s="66">
        <f t="shared" si="230"/>
        <v>7.4671257214098917E-4</v>
      </c>
      <c r="X297" s="66">
        <f t="shared" si="230"/>
        <v>7.2473571077334188E-4</v>
      </c>
      <c r="Y297" s="66">
        <f t="shared" si="230"/>
        <v>7.0647295321316951E-4</v>
      </c>
      <c r="Z297" s="66">
        <f t="shared" si="230"/>
        <v>6.9064155204239495E-4</v>
      </c>
      <c r="AA297" s="66">
        <f t="shared" si="230"/>
        <v>6.765912766210757E-4</v>
      </c>
      <c r="AB297" s="66">
        <f t="shared" si="230"/>
        <v>6.6380429530999568E-4</v>
      </c>
      <c r="AC297" s="66">
        <f t="shared" si="230"/>
        <v>6.5189364249968254E-4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2.6785842871702544E-2</v>
      </c>
      <c r="C299" s="67">
        <f t="shared" ref="C299:AC299" si="232">C288+C289+C290+C291+C292+C293+C294+C295+C296+C297+C298</f>
        <v>2.6319280497586708E-2</v>
      </c>
      <c r="D299" s="67">
        <f t="shared" si="232"/>
        <v>2.585114723916657E-2</v>
      </c>
      <c r="E299" s="67">
        <f t="shared" si="232"/>
        <v>2.5548375121913866E-2</v>
      </c>
      <c r="F299" s="67">
        <f t="shared" si="232"/>
        <v>2.5242384441212663E-2</v>
      </c>
      <c r="G299" s="67">
        <f t="shared" si="232"/>
        <v>2.4931860197567671E-2</v>
      </c>
      <c r="H299" s="67">
        <f t="shared" si="232"/>
        <v>2.4614975203468996E-2</v>
      </c>
      <c r="I299" s="67">
        <f t="shared" si="232"/>
        <v>2.4289217565173014E-2</v>
      </c>
      <c r="J299" s="67">
        <f t="shared" si="232"/>
        <v>2.4468831936103375E-2</v>
      </c>
      <c r="K299" s="67">
        <f t="shared" si="232"/>
        <v>2.4629625599662232E-2</v>
      </c>
      <c r="L299" s="67">
        <f t="shared" si="232"/>
        <v>2.4764692008834494E-2</v>
      </c>
      <c r="M299" s="67">
        <f t="shared" si="232"/>
        <v>2.4865493446802132E-2</v>
      </c>
      <c r="N299" s="67">
        <f t="shared" si="232"/>
        <v>2.4922365439705968E-2</v>
      </c>
      <c r="O299" s="67">
        <f t="shared" si="232"/>
        <v>2.4363324210790044E-2</v>
      </c>
      <c r="P299" s="67">
        <f t="shared" si="232"/>
        <v>2.3754382507319025E-2</v>
      </c>
      <c r="Q299" s="67">
        <f t="shared" si="232"/>
        <v>2.3099045866402497E-2</v>
      </c>
      <c r="R299" s="67">
        <f t="shared" si="232"/>
        <v>2.2410378023077278E-2</v>
      </c>
      <c r="S299" s="67">
        <f t="shared" si="232"/>
        <v>2.1710706315405962E-2</v>
      </c>
      <c r="T299" s="67">
        <f t="shared" si="232"/>
        <v>2.105482003320985E-2</v>
      </c>
      <c r="U299" s="67">
        <f t="shared" si="232"/>
        <v>2.0438343621984677E-2</v>
      </c>
      <c r="V299" s="67">
        <f t="shared" si="232"/>
        <v>1.9876473938301872E-2</v>
      </c>
      <c r="W299" s="67">
        <f t="shared" si="232"/>
        <v>1.9373516770179608E-2</v>
      </c>
      <c r="X299" s="67">
        <f t="shared" si="232"/>
        <v>1.8925150673578632E-2</v>
      </c>
      <c r="Y299" s="67">
        <f t="shared" si="232"/>
        <v>1.8536447826130134E-2</v>
      </c>
      <c r="Z299" s="67">
        <f t="shared" si="232"/>
        <v>1.8183136026524112E-2</v>
      </c>
      <c r="AA299" s="67">
        <f t="shared" si="232"/>
        <v>1.7856014936932632E-2</v>
      </c>
      <c r="AB299" s="67">
        <f t="shared" si="232"/>
        <v>1.7547610680854659E-2</v>
      </c>
      <c r="AC299" s="67">
        <f t="shared" si="232"/>
        <v>1.7252264483677938E-2</v>
      </c>
    </row>
    <row r="301" spans="1:29" x14ac:dyDescent="0.25">
      <c r="B301" s="40"/>
    </row>
    <row r="324" spans="1:44" s="3" customFormat="1" ht="21" x14ac:dyDescent="0.35">
      <c r="A324" s="2" t="str">
        <f>'Parameter Input'!A248</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Input'!$L$249</f>
        <v>30000000</v>
      </c>
      <c r="C334" s="42">
        <f>'Parameter Input'!$M$249</f>
        <v>18000000</v>
      </c>
      <c r="D334" s="1" t="s">
        <v>15</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Input'!$L$250</f>
        <v>-1500000</v>
      </c>
      <c r="C335" s="61">
        <f>'Parameter Input'!$M$250</f>
        <v>-1800000</v>
      </c>
      <c r="D335" s="1" t="s">
        <v>15</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Input'!$L$256</f>
        <v>0.06</v>
      </c>
      <c r="C338" s="91">
        <f>'Parameter Input'!$M$256</f>
        <v>0.06</v>
      </c>
      <c r="D338" s="1" t="s">
        <v>57</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Input'!$L$252</f>
        <v>338823.5294117647</v>
      </c>
      <c r="C340" s="61">
        <f>'Parameter Input'!$M$252</f>
        <v>338823.5294117647</v>
      </c>
      <c r="D340" s="1" t="s">
        <v>38</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Input'!$L$253</f>
        <v>589</v>
      </c>
      <c r="C342" s="61">
        <f>'Parameter Input'!$M$253</f>
        <v>519</v>
      </c>
      <c r="D342" s="1" t="s">
        <v>60</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Input'!$L$254</f>
        <v>0.23976160758395154</v>
      </c>
      <c r="C343" s="61">
        <f>'Parameter Input'!$M$254</f>
        <v>0.11428118371505049</v>
      </c>
      <c r="D343" s="1" t="s">
        <v>68</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25">
      <c r="A344" s="24" t="s">
        <v>206</v>
      </c>
      <c r="B344" s="115">
        <f>'Parameter Input'!$L$257</f>
        <v>0</v>
      </c>
      <c r="C344" s="116">
        <f>'Parameter Input'!$M$257</f>
        <v>0</v>
      </c>
      <c r="D344" s="1" t="s">
        <v>76</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Input'!$L$251</f>
        <v>25</v>
      </c>
      <c r="C345" s="61">
        <f>'Parameter Input'!$M$251</f>
        <v>25</v>
      </c>
      <c r="D345" s="1" t="s">
        <v>42</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Input'!$L$255</f>
        <v>0.08</v>
      </c>
      <c r="C349" s="46">
        <f>'Parameter Input'!$M$255</f>
        <v>7.0000000000000007E-2</v>
      </c>
      <c r="D349" s="1" t="s">
        <v>57</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25">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Input'!J6</f>
        <v>0.15796068463848831</v>
      </c>
      <c r="C363" s="62">
        <f>'Parameter Input'!K6</f>
        <v>0.15426708731267802</v>
      </c>
      <c r="D363" s="62">
        <f>'Parameter Input'!L6</f>
        <v>0.1505734899868677</v>
      </c>
      <c r="E363" s="62">
        <f>'Parameter Input'!M6</f>
        <v>0.14821852539008218</v>
      </c>
      <c r="F363" s="62">
        <f>'Parameter Input'!N6</f>
        <v>0.14586356079329663</v>
      </c>
      <c r="G363" s="62">
        <f>'Parameter Input'!O6</f>
        <v>0.1435085961965111</v>
      </c>
      <c r="H363" s="62">
        <f>'Parameter Input'!P6</f>
        <v>0.14115363159972555</v>
      </c>
      <c r="I363" s="62">
        <f>'Parameter Input'!Q6</f>
        <v>0.13879866700293997</v>
      </c>
      <c r="J363" s="62">
        <f>'Parameter Input'!R6</f>
        <v>0.1405953284523826</v>
      </c>
      <c r="K363" s="62">
        <f>'Parameter Input'!S6</f>
        <v>0.14239198990182525</v>
      </c>
      <c r="L363" s="62">
        <f>'Parameter Input'!T6</f>
        <v>0.14418865135126788</v>
      </c>
      <c r="M363" s="62">
        <f>'Parameter Input'!U6</f>
        <v>0.14598531280071053</v>
      </c>
      <c r="N363" s="62">
        <f>'Parameter Input'!V6</f>
        <v>0.14778197425015313</v>
      </c>
      <c r="O363" s="62">
        <f>'Parameter Input'!W6</f>
        <v>0.14497239428752798</v>
      </c>
      <c r="P363" s="62">
        <f>'Parameter Input'!X6</f>
        <v>0.14216281432490285</v>
      </c>
      <c r="Q363" s="62">
        <f>'Parameter Input'!Y6</f>
        <v>0.1393532343622777</v>
      </c>
      <c r="R363" s="62">
        <f>'Parameter Input'!Z6</f>
        <v>0.13654365439965255</v>
      </c>
      <c r="S363" s="62">
        <f>'Parameter Input'!AA6</f>
        <v>0.13373407443702739</v>
      </c>
      <c r="T363" s="62">
        <f>'Parameter Input'!AB6</f>
        <v>0.13116562897048312</v>
      </c>
      <c r="U363" s="62">
        <f>'Parameter Input'!AC6</f>
        <v>0.12859718350393887</v>
      </c>
      <c r="V363" s="62">
        <f>'Parameter Input'!AD6</f>
        <v>0.12602873803739459</v>
      </c>
      <c r="W363" s="62">
        <f>'Parameter Input'!AE6</f>
        <v>0.1234602925708503</v>
      </c>
      <c r="X363" s="62">
        <f>'Parameter Input'!AF6</f>
        <v>0.12089184710430603</v>
      </c>
      <c r="Y363" s="62">
        <f>'Parameter Input'!AG6</f>
        <v>0.11844996886324041</v>
      </c>
      <c r="Z363" s="62">
        <f>'Parameter Input'!AH6</f>
        <v>0.11600809062217481</v>
      </c>
      <c r="AA363" s="62">
        <f>'Parameter Input'!AI6</f>
        <v>0.1135662123811092</v>
      </c>
      <c r="AB363" s="62">
        <f>'Parameter Input'!AJ6</f>
        <v>0.11112433414004359</v>
      </c>
      <c r="AC363" s="62">
        <f>'Parameter Input'!AK6</f>
        <v>0.10868245589897794</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25">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11161747.046500357</v>
      </c>
      <c r="C380" s="62">
        <f t="shared" ref="C380:AC380" si="283">C362*C363*C370</f>
        <v>10899520.480293304</v>
      </c>
      <c r="D380" s="62">
        <f t="shared" si="283"/>
        <v>10636834.336767219</v>
      </c>
      <c r="E380" s="62">
        <f t="shared" si="283"/>
        <v>10468052.057925956</v>
      </c>
      <c r="F380" s="62">
        <f t="shared" si="283"/>
        <v>10298323.481338289</v>
      </c>
      <c r="G380" s="62">
        <f t="shared" si="283"/>
        <v>10127272.768211031</v>
      </c>
      <c r="H380" s="62">
        <f t="shared" si="283"/>
        <v>9954382.6027458571</v>
      </c>
      <c r="I380" s="62">
        <f t="shared" si="283"/>
        <v>9778948.9696036708</v>
      </c>
      <c r="J380" s="62">
        <f t="shared" si="283"/>
        <v>9892133.873949917</v>
      </c>
      <c r="K380" s="62">
        <f t="shared" si="283"/>
        <v>9999494.8799168412</v>
      </c>
      <c r="L380" s="62">
        <f t="shared" si="283"/>
        <v>10098844.849166866</v>
      </c>
      <c r="M380" s="62">
        <f t="shared" si="283"/>
        <v>10187452.92828415</v>
      </c>
      <c r="N380" s="62">
        <f t="shared" si="283"/>
        <v>10262184.48013326</v>
      </c>
      <c r="O380" s="62">
        <f t="shared" si="283"/>
        <v>10002136.83028272</v>
      </c>
      <c r="P380" s="62">
        <f t="shared" si="283"/>
        <v>9728090.285293093</v>
      </c>
      <c r="Q380" s="62">
        <f t="shared" si="283"/>
        <v>9441492.3590761051</v>
      </c>
      <c r="R380" s="62">
        <f t="shared" si="283"/>
        <v>9146610.0187601466</v>
      </c>
      <c r="S380" s="62">
        <f t="shared" si="283"/>
        <v>8850327.3267315663</v>
      </c>
      <c r="T380" s="62">
        <f t="shared" si="283"/>
        <v>8576434.7875365056</v>
      </c>
      <c r="U380" s="62">
        <f t="shared" si="283"/>
        <v>8315748.6617828012</v>
      </c>
      <c r="V380" s="62">
        <f t="shared" si="283"/>
        <v>8072414.1246113116</v>
      </c>
      <c r="W380" s="62">
        <f t="shared" si="283"/>
        <v>7847300.2847692817</v>
      </c>
      <c r="X380" s="62">
        <f t="shared" si="283"/>
        <v>7638768.4633888537</v>
      </c>
      <c r="Y380" s="62">
        <f t="shared" si="283"/>
        <v>7451863.3082755739</v>
      </c>
      <c r="Z380" s="62">
        <f t="shared" si="283"/>
        <v>7275405.6200270019</v>
      </c>
      <c r="AA380" s="62">
        <f t="shared" si="283"/>
        <v>7106596.6674064519</v>
      </c>
      <c r="AB380" s="62">
        <f t="shared" si="283"/>
        <v>6943197.6718781879</v>
      </c>
      <c r="AC380" s="62">
        <f t="shared" si="283"/>
        <v>6783534.9102047402</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15104094.857206797</v>
      </c>
      <c r="C382" s="64">
        <f t="shared" ref="C382:AC382" si="285">C373+C374+C375+C376+C377+C378+C379+C380+C381</f>
        <v>14840954.06527321</v>
      </c>
      <c r="D382" s="64">
        <f t="shared" si="285"/>
        <v>14576959.227982329</v>
      </c>
      <c r="E382" s="64">
        <f t="shared" si="285"/>
        <v>14406304.770679068</v>
      </c>
      <c r="F382" s="64">
        <f t="shared" si="285"/>
        <v>14233900.437952513</v>
      </c>
      <c r="G382" s="64">
        <f t="shared" si="285"/>
        <v>14059030.842560185</v>
      </c>
      <c r="H382" s="64">
        <f t="shared" si="285"/>
        <v>13880701.651875177</v>
      </c>
      <c r="I382" s="64">
        <f t="shared" si="285"/>
        <v>13697545.382614817</v>
      </c>
      <c r="J382" s="64">
        <f t="shared" si="285"/>
        <v>13799815.082905978</v>
      </c>
      <c r="K382" s="64">
        <f t="shared" si="285"/>
        <v>13891851.339306153</v>
      </c>
      <c r="L382" s="64">
        <f t="shared" si="285"/>
        <v>13969894.343602041</v>
      </c>
      <c r="M382" s="64">
        <f t="shared" si="285"/>
        <v>14029291.370862344</v>
      </c>
      <c r="N382" s="64">
        <f t="shared" si="285"/>
        <v>14064766.399145443</v>
      </c>
      <c r="O382" s="64">
        <f t="shared" si="285"/>
        <v>13753402.889191516</v>
      </c>
      <c r="P382" s="64">
        <f t="shared" si="285"/>
        <v>13414732.691907791</v>
      </c>
      <c r="Q382" s="64">
        <f t="shared" si="285"/>
        <v>13050588.237960115</v>
      </c>
      <c r="R382" s="64">
        <f t="shared" si="285"/>
        <v>12668018.327126049</v>
      </c>
      <c r="S382" s="64">
        <f t="shared" si="285"/>
        <v>12279164.226674549</v>
      </c>
      <c r="T382" s="64">
        <f t="shared" si="285"/>
        <v>11914521.911224369</v>
      </c>
      <c r="U382" s="64">
        <f t="shared" si="285"/>
        <v>11571224.396192666</v>
      </c>
      <c r="V382" s="64">
        <f t="shared" si="285"/>
        <v>11257681.942222938</v>
      </c>
      <c r="W382" s="64">
        <f t="shared" si="285"/>
        <v>10976344.134551035</v>
      </c>
      <c r="X382" s="64">
        <f t="shared" si="285"/>
        <v>10724910.930318646</v>
      </c>
      <c r="Y382" s="64">
        <f t="shared" si="285"/>
        <v>10506469.818113295</v>
      </c>
      <c r="Z382" s="64">
        <f t="shared" si="285"/>
        <v>10307464.376764001</v>
      </c>
      <c r="AA382" s="64">
        <f t="shared" si="285"/>
        <v>10122852.779064141</v>
      </c>
      <c r="AB382" s="64">
        <f t="shared" si="285"/>
        <v>9948533.184479598</v>
      </c>
      <c r="AC382" s="64">
        <f t="shared" si="285"/>
        <v>9781396.912677614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25">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93.014558720836305</v>
      </c>
      <c r="C392" s="66">
        <f t="shared" ref="C392:AC392" si="294">C362*C363*C370/C370</f>
        <v>90.829337335777538</v>
      </c>
      <c r="D392" s="66">
        <f t="shared" si="294"/>
        <v>88.640286139726825</v>
      </c>
      <c r="E392" s="66">
        <f t="shared" si="294"/>
        <v>87.23376714938297</v>
      </c>
      <c r="F392" s="66">
        <f t="shared" si="294"/>
        <v>85.819362344485739</v>
      </c>
      <c r="G392" s="66">
        <f t="shared" si="294"/>
        <v>84.393939735091934</v>
      </c>
      <c r="H392" s="66">
        <f t="shared" si="294"/>
        <v>82.953188356215477</v>
      </c>
      <c r="I392" s="66">
        <f t="shared" si="294"/>
        <v>81.491241413363923</v>
      </c>
      <c r="J392" s="66">
        <f t="shared" si="294"/>
        <v>82.434448949582645</v>
      </c>
      <c r="K392" s="66">
        <f t="shared" si="294"/>
        <v>83.329123999307015</v>
      </c>
      <c r="L392" s="66">
        <f t="shared" si="294"/>
        <v>84.157040409723891</v>
      </c>
      <c r="M392" s="66">
        <f t="shared" si="294"/>
        <v>84.895441069034575</v>
      </c>
      <c r="N392" s="66">
        <f t="shared" si="294"/>
        <v>85.51820400111049</v>
      </c>
      <c r="O392" s="66">
        <f t="shared" si="294"/>
        <v>83.351140252356004</v>
      </c>
      <c r="P392" s="66">
        <f t="shared" si="294"/>
        <v>81.067419044109101</v>
      </c>
      <c r="Q392" s="66">
        <f t="shared" si="294"/>
        <v>78.679102992300869</v>
      </c>
      <c r="R392" s="66">
        <f t="shared" si="294"/>
        <v>76.221750156334551</v>
      </c>
      <c r="S392" s="66">
        <f t="shared" si="294"/>
        <v>73.752727722763055</v>
      </c>
      <c r="T392" s="66">
        <f t="shared" si="294"/>
        <v>71.470289896137544</v>
      </c>
      <c r="U392" s="66">
        <f t="shared" si="294"/>
        <v>69.29790551485668</v>
      </c>
      <c r="V392" s="66">
        <f t="shared" si="294"/>
        <v>67.270117705094265</v>
      </c>
      <c r="W392" s="66">
        <f t="shared" si="294"/>
        <v>65.394169039744014</v>
      </c>
      <c r="X392" s="66">
        <f t="shared" si="294"/>
        <v>63.656403861573779</v>
      </c>
      <c r="Y392" s="66">
        <f t="shared" si="294"/>
        <v>62.098860902296451</v>
      </c>
      <c r="Z392" s="66">
        <f t="shared" si="294"/>
        <v>60.628380166891681</v>
      </c>
      <c r="AA392" s="66">
        <f t="shared" si="294"/>
        <v>59.221638895053765</v>
      </c>
      <c r="AB392" s="66">
        <f t="shared" si="294"/>
        <v>57.859980598984897</v>
      </c>
      <c r="AC392" s="66">
        <f t="shared" si="294"/>
        <v>56.529457585039502</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125.99783500707709</v>
      </c>
      <c r="C394" s="76">
        <f t="shared" ref="C394:AC394" si="297">C385+C386+C387-C388+C389+C390+C391+C392+C393</f>
        <v>123.80499507429721</v>
      </c>
      <c r="D394" s="76">
        <f t="shared" si="297"/>
        <v>121.60503809687319</v>
      </c>
      <c r="E394" s="76">
        <f t="shared" si="297"/>
        <v>120.182917619346</v>
      </c>
      <c r="F394" s="76">
        <f t="shared" si="297"/>
        <v>118.74621484662472</v>
      </c>
      <c r="G394" s="76">
        <f t="shared" si="297"/>
        <v>117.28896821835532</v>
      </c>
      <c r="H394" s="76">
        <f t="shared" si="297"/>
        <v>115.80289162931359</v>
      </c>
      <c r="I394" s="76">
        <f t="shared" si="297"/>
        <v>114.27658938547728</v>
      </c>
      <c r="J394" s="76">
        <f t="shared" si="297"/>
        <v>115.12883688790362</v>
      </c>
      <c r="K394" s="76">
        <f t="shared" si="297"/>
        <v>115.89580569123841</v>
      </c>
      <c r="L394" s="76">
        <f t="shared" si="297"/>
        <v>116.54616406037078</v>
      </c>
      <c r="M394" s="76">
        <f t="shared" si="297"/>
        <v>117.04113928753998</v>
      </c>
      <c r="N394" s="76">
        <f t="shared" si="297"/>
        <v>117.33676452323247</v>
      </c>
      <c r="O394" s="76">
        <f t="shared" si="297"/>
        <v>114.74206860694976</v>
      </c>
      <c r="P394" s="76">
        <f t="shared" si="297"/>
        <v>111.9198169629187</v>
      </c>
      <c r="Q394" s="76">
        <f t="shared" si="297"/>
        <v>108.88527984668808</v>
      </c>
      <c r="R394" s="76">
        <f t="shared" si="297"/>
        <v>105.69719725640418</v>
      </c>
      <c r="S394" s="76">
        <f t="shared" si="297"/>
        <v>102.45674641930836</v>
      </c>
      <c r="T394" s="76">
        <f t="shared" si="297"/>
        <v>99.418060457223532</v>
      </c>
      <c r="U394" s="76">
        <f t="shared" si="297"/>
        <v>96.557247831959344</v>
      </c>
      <c r="V394" s="76">
        <f t="shared" si="297"/>
        <v>93.94439404887828</v>
      </c>
      <c r="W394" s="76">
        <f t="shared" si="297"/>
        <v>91.599912318279081</v>
      </c>
      <c r="X394" s="76">
        <f t="shared" si="297"/>
        <v>89.504635616342497</v>
      </c>
      <c r="Y394" s="76">
        <f t="shared" si="297"/>
        <v>87.684293014631265</v>
      </c>
      <c r="Z394" s="76">
        <f t="shared" si="297"/>
        <v>86.025914336720462</v>
      </c>
      <c r="AA394" s="76">
        <f t="shared" si="297"/>
        <v>84.487484355888299</v>
      </c>
      <c r="AB394" s="76">
        <f t="shared" si="297"/>
        <v>83.034821067683765</v>
      </c>
      <c r="AC394" s="76">
        <f t="shared" si="297"/>
        <v>81.642018802667238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25">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9.8428104466493447E-3</v>
      </c>
      <c r="C404" s="66">
        <f t="shared" ref="C404:AC404" si="306">C362*C363*C370/C370/(C367)</f>
        <v>9.6115700884420677E-3</v>
      </c>
      <c r="D404" s="66">
        <f t="shared" si="306"/>
        <v>9.3799244592303512E-3</v>
      </c>
      <c r="E404" s="66">
        <f t="shared" si="306"/>
        <v>9.2310864708341767E-3</v>
      </c>
      <c r="F404" s="66">
        <f t="shared" si="306"/>
        <v>9.0814140047074856E-3</v>
      </c>
      <c r="G404" s="66">
        <f t="shared" si="306"/>
        <v>8.9305756333430616E-3</v>
      </c>
      <c r="H404" s="66">
        <f t="shared" si="306"/>
        <v>8.7781151699698919E-3</v>
      </c>
      <c r="I404" s="66">
        <f t="shared" si="306"/>
        <v>8.6234117897739607E-3</v>
      </c>
      <c r="J404" s="66">
        <f t="shared" si="306"/>
        <v>8.7232221110669465E-3</v>
      </c>
      <c r="K404" s="66">
        <f t="shared" si="306"/>
        <v>8.8178967195033878E-3</v>
      </c>
      <c r="L404" s="66">
        <f t="shared" si="306"/>
        <v>8.9055069216639037E-3</v>
      </c>
      <c r="M404" s="66">
        <f t="shared" si="306"/>
        <v>8.9836445575697966E-3</v>
      </c>
      <c r="N404" s="66">
        <f t="shared" si="306"/>
        <v>9.0495453969429082E-3</v>
      </c>
      <c r="O404" s="66">
        <f t="shared" si="306"/>
        <v>8.8202264817307946E-3</v>
      </c>
      <c r="P404" s="66">
        <f t="shared" si="306"/>
        <v>8.5785628618104872E-3</v>
      </c>
      <c r="Q404" s="66">
        <f t="shared" si="306"/>
        <v>8.3258310044762827E-3</v>
      </c>
      <c r="R404" s="66">
        <f t="shared" si="306"/>
        <v>8.0657936673369894E-3</v>
      </c>
      <c r="S404" s="66">
        <f t="shared" si="306"/>
        <v>7.8045214521442387E-3</v>
      </c>
      <c r="T404" s="66">
        <f t="shared" si="306"/>
        <v>7.5629936398029143E-3</v>
      </c>
      <c r="U404" s="66">
        <f t="shared" si="306"/>
        <v>7.3331116946938283E-3</v>
      </c>
      <c r="V404" s="66">
        <f t="shared" si="306"/>
        <v>7.1185309740840492E-3</v>
      </c>
      <c r="W404" s="66">
        <f t="shared" si="306"/>
        <v>6.9200178878035994E-3</v>
      </c>
      <c r="X404" s="66">
        <f t="shared" si="306"/>
        <v>6.7361273927591296E-3</v>
      </c>
      <c r="Y404" s="66">
        <f t="shared" si="306"/>
        <v>6.5713080319890422E-3</v>
      </c>
      <c r="Z404" s="66">
        <f t="shared" si="306"/>
        <v>6.4157016049620824E-3</v>
      </c>
      <c r="AA404" s="66">
        <f t="shared" si="306"/>
        <v>6.2668400947146841E-3</v>
      </c>
      <c r="AB404" s="66">
        <f t="shared" si="306"/>
        <v>6.1227492697338518E-3</v>
      </c>
      <c r="AC404" s="66">
        <f t="shared" si="306"/>
        <v>5.981953183602064E-3</v>
      </c>
    </row>
    <row r="405" spans="1:29" x14ac:dyDescent="0.25">
      <c r="A405" s="59" t="str">
        <f>A368</f>
        <v>Market failure (av. utilization)</v>
      </c>
      <c r="B405" s="66">
        <f t="shared" ref="B405:AC405" si="307">B394/B368-B394/B367</f>
        <v>6.2744019922602937E-3</v>
      </c>
      <c r="C405" s="66">
        <f t="shared" si="307"/>
        <v>6.1652036140328499E-3</v>
      </c>
      <c r="D405" s="66">
        <f t="shared" si="307"/>
        <v>6.0556508233737E-3</v>
      </c>
      <c r="E405" s="66">
        <f t="shared" si="307"/>
        <v>5.9848324989403533E-3</v>
      </c>
      <c r="F405" s="66">
        <f t="shared" si="307"/>
        <v>5.913288009791455E-3</v>
      </c>
      <c r="G405" s="66">
        <f t="shared" si="307"/>
        <v>5.8407204839517092E-3</v>
      </c>
      <c r="H405" s="66">
        <f t="shared" si="307"/>
        <v>5.7667172924650394E-3</v>
      </c>
      <c r="I405" s="66">
        <f t="shared" si="307"/>
        <v>5.6907109560150482E-3</v>
      </c>
      <c r="J405" s="66">
        <f t="shared" si="307"/>
        <v>5.7331509187876026E-3</v>
      </c>
      <c r="K405" s="66">
        <f t="shared" si="307"/>
        <v>5.7713441987544793E-3</v>
      </c>
      <c r="L405" s="66">
        <f t="shared" si="307"/>
        <v>5.8037305476686309E-3</v>
      </c>
      <c r="M405" s="66">
        <f t="shared" si="307"/>
        <v>5.828379173982691E-3</v>
      </c>
      <c r="N405" s="66">
        <f t="shared" si="307"/>
        <v>5.8431006298528421E-3</v>
      </c>
      <c r="O405" s="66">
        <f t="shared" si="307"/>
        <v>5.7138907491789473E-3</v>
      </c>
      <c r="P405" s="66">
        <f t="shared" si="307"/>
        <v>5.5733491173566713E-3</v>
      </c>
      <c r="Q405" s="66">
        <f t="shared" si="307"/>
        <v>5.4222361579427582E-3</v>
      </c>
      <c r="R405" s="66">
        <f t="shared" si="307"/>
        <v>5.2634769875582518E-3</v>
      </c>
      <c r="S405" s="66">
        <f t="shared" si="307"/>
        <v>5.1021099990940962E-3</v>
      </c>
      <c r="T405" s="66">
        <f t="shared" si="307"/>
        <v>4.9507904367120312E-3</v>
      </c>
      <c r="U405" s="66">
        <f t="shared" si="307"/>
        <v>4.8083285568358194E-3</v>
      </c>
      <c r="V405" s="66">
        <f t="shared" si="307"/>
        <v>4.6782144562155358E-3</v>
      </c>
      <c r="W405" s="66">
        <f t="shared" si="307"/>
        <v>4.5614646657095078E-3</v>
      </c>
      <c r="X405" s="66">
        <f t="shared" si="307"/>
        <v>4.4571247116759385E-3</v>
      </c>
      <c r="Y405" s="66">
        <f t="shared" si="307"/>
        <v>4.3664758426209139E-3</v>
      </c>
      <c r="Z405" s="66">
        <f t="shared" si="307"/>
        <v>4.2838924039449947E-3</v>
      </c>
      <c r="AA405" s="66">
        <f t="shared" si="307"/>
        <v>4.2072821341245323E-3</v>
      </c>
      <c r="AB405" s="66">
        <f t="shared" si="307"/>
        <v>4.1349428480639255E-3</v>
      </c>
      <c r="AC405" s="66">
        <f t="shared" si="307"/>
        <v>4.0655845030895584E-3</v>
      </c>
    </row>
    <row r="406" spans="1:29" x14ac:dyDescent="0.25">
      <c r="A406" s="59" t="str">
        <f>A369</f>
        <v>Payload loss (fuel)</v>
      </c>
      <c r="B406" s="66">
        <f>B394/(B367-B369)-B394/B367</f>
        <v>1.1590544065092634E-3</v>
      </c>
      <c r="C406" s="66">
        <f t="shared" ref="C406:AC406" si="308">C394/(C367-C369)-C394/C367</f>
        <v>1.1387354049575034E-3</v>
      </c>
      <c r="D406" s="66">
        <f t="shared" si="308"/>
        <v>1.1182938391348478E-3</v>
      </c>
      <c r="E406" s="66">
        <f t="shared" si="308"/>
        <v>1.1049235284607325E-3</v>
      </c>
      <c r="F406" s="66">
        <f t="shared" si="308"/>
        <v>1.091302154377612E-3</v>
      </c>
      <c r="G406" s="66">
        <f t="shared" si="308"/>
        <v>1.0773278961354344E-3</v>
      </c>
      <c r="H406" s="66">
        <f t="shared" si="308"/>
        <v>1.0628597903236375E-3</v>
      </c>
      <c r="I406" s="66">
        <f t="shared" si="308"/>
        <v>1.0477049692511602E-3</v>
      </c>
      <c r="J406" s="66">
        <f t="shared" si="308"/>
        <v>1.0538868000052222E-3</v>
      </c>
      <c r="K406" s="66">
        <f t="shared" si="308"/>
        <v>1.0586021560071417E-3</v>
      </c>
      <c r="L406" s="66">
        <f t="shared" si="308"/>
        <v>1.0613205047129062E-3</v>
      </c>
      <c r="M406" s="66">
        <f t="shared" si="308"/>
        <v>1.0613943832240534E-3</v>
      </c>
      <c r="N406" s="66">
        <f t="shared" si="308"/>
        <v>1.0581065805046752E-3</v>
      </c>
      <c r="O406" s="66">
        <f t="shared" si="308"/>
        <v>1.0270864985734256E-3</v>
      </c>
      <c r="P406" s="66">
        <f t="shared" si="308"/>
        <v>9.9247357899151338E-4</v>
      </c>
      <c r="Q406" s="66">
        <f t="shared" si="308"/>
        <v>9.5466585875683511E-4</v>
      </c>
      <c r="R406" s="66">
        <f t="shared" si="308"/>
        <v>9.1477347132984214E-4</v>
      </c>
      <c r="S406" s="66">
        <f t="shared" si="308"/>
        <v>8.745341684399336E-4</v>
      </c>
      <c r="T406" s="66">
        <f t="shared" si="308"/>
        <v>8.37021097901295E-4</v>
      </c>
      <c r="U406" s="66">
        <f t="shared" si="308"/>
        <v>8.0272063809333667E-4</v>
      </c>
      <c r="V406" s="66">
        <f t="shared" si="308"/>
        <v>7.7256723098381198E-4</v>
      </c>
      <c r="W406" s="66">
        <f t="shared" si="308"/>
        <v>7.4671257214098917E-4</v>
      </c>
      <c r="X406" s="66">
        <f t="shared" si="308"/>
        <v>7.2473571077334188E-4</v>
      </c>
      <c r="Y406" s="66">
        <f t="shared" si="308"/>
        <v>7.0647295321316951E-4</v>
      </c>
      <c r="Z406" s="66">
        <f t="shared" si="308"/>
        <v>6.9064155204239495E-4</v>
      </c>
      <c r="AA406" s="66">
        <f t="shared" si="308"/>
        <v>6.765912766210757E-4</v>
      </c>
      <c r="AB406" s="66">
        <f t="shared" si="308"/>
        <v>6.6380429530999568E-4</v>
      </c>
      <c r="AC406" s="66">
        <f t="shared" si="308"/>
        <v>6.5189364249968254E-4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2.0752764032990718E-2</v>
      </c>
      <c r="C408" s="67">
        <f t="shared" ref="C408:AC408" si="310">C397+C398+C399+C400+C401+C402+C403+C404+C405+C406+C407</f>
        <v>2.0391200099478195E-2</v>
      </c>
      <c r="D408" s="67">
        <f t="shared" si="310"/>
        <v>2.0028406062845696E-2</v>
      </c>
      <c r="E408" s="67">
        <f t="shared" si="310"/>
        <v>1.9793728488317369E-2</v>
      </c>
      <c r="F408" s="67">
        <f t="shared" si="310"/>
        <v>1.9556530585643946E-2</v>
      </c>
      <c r="G408" s="67">
        <f t="shared" si="310"/>
        <v>1.9315782809152561E-2</v>
      </c>
      <c r="H408" s="67">
        <f t="shared" si="310"/>
        <v>1.907005472994492E-2</v>
      </c>
      <c r="I408" s="67">
        <f t="shared" si="310"/>
        <v>1.8817380107466225E-2</v>
      </c>
      <c r="J408" s="67">
        <f t="shared" si="310"/>
        <v>1.8956186821884515E-2</v>
      </c>
      <c r="K408" s="67">
        <f t="shared" si="310"/>
        <v>1.9080256177782924E-2</v>
      </c>
      <c r="L408" s="67">
        <f t="shared" si="310"/>
        <v>1.9184181866845416E-2</v>
      </c>
      <c r="M408" s="67">
        <f t="shared" si="310"/>
        <v>1.9261282702587999E-2</v>
      </c>
      <c r="N408" s="67">
        <f t="shared" si="310"/>
        <v>1.9303999449462844E-2</v>
      </c>
      <c r="O408" s="67">
        <f t="shared" si="310"/>
        <v>1.8869198490425669E-2</v>
      </c>
      <c r="P408" s="67">
        <f t="shared" si="310"/>
        <v>1.8395392971399145E-2</v>
      </c>
      <c r="Q408" s="67">
        <f t="shared" si="310"/>
        <v>1.788535725299599E-2</v>
      </c>
      <c r="R408" s="67">
        <f t="shared" si="310"/>
        <v>1.7349342458117416E-2</v>
      </c>
      <c r="S408" s="67">
        <f t="shared" si="310"/>
        <v>1.6804831316277018E-2</v>
      </c>
      <c r="T408" s="67">
        <f t="shared" si="310"/>
        <v>1.6294444613294427E-2</v>
      </c>
      <c r="U408" s="67">
        <f t="shared" si="310"/>
        <v>1.5814950778873307E-2</v>
      </c>
      <c r="V408" s="67">
        <f t="shared" si="310"/>
        <v>1.5378190807325396E-2</v>
      </c>
      <c r="W408" s="67">
        <f t="shared" si="310"/>
        <v>1.4987493053151233E-2</v>
      </c>
      <c r="X408" s="67">
        <f t="shared" si="310"/>
        <v>1.4639453835428685E-2</v>
      </c>
      <c r="Y408" s="67">
        <f t="shared" si="310"/>
        <v>1.4337913362071558E-2</v>
      </c>
      <c r="Z408" s="67">
        <f t="shared" si="310"/>
        <v>1.4064008715038535E-2</v>
      </c>
      <c r="AA408" s="67">
        <f t="shared" si="310"/>
        <v>1.3810551346428272E-2</v>
      </c>
      <c r="AB408" s="67">
        <f t="shared" si="310"/>
        <v>1.3571704096177801E-2</v>
      </c>
      <c r="AC408" s="67">
        <f t="shared" si="310"/>
        <v>1.3343048615322588E-2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Input'!$L$261</f>
        <v>19500000</v>
      </c>
      <c r="C11" s="42">
        <f>'Parameter Input'!$M$261</f>
        <v>15000000</v>
      </c>
      <c r="D11" s="1" t="s">
        <v>15</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Input'!$L$262</f>
        <v>-975000</v>
      </c>
      <c r="C12" s="61">
        <f>'Parameter Input'!$M$262</f>
        <v>-1500000</v>
      </c>
      <c r="D12" s="1" t="s">
        <v>15</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Input'!$L$268</f>
        <v>0.06</v>
      </c>
      <c r="C15" s="91">
        <f>'Parameter Input'!$M$268</f>
        <v>0.06</v>
      </c>
      <c r="D15" s="1" t="s">
        <v>57</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Input'!$L$264</f>
        <v>488235.29411764705</v>
      </c>
      <c r="C17" s="61">
        <f>'Parameter Input'!$M$264</f>
        <v>488235.29411764705</v>
      </c>
      <c r="D17" s="1" t="s">
        <v>38</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Input'!$L$265</f>
        <v>647</v>
      </c>
      <c r="C19" s="61">
        <f>'Parameter Input'!$M$265</f>
        <v>600</v>
      </c>
      <c r="D19" s="1" t="s">
        <v>60</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Input'!$L$266</f>
        <v>0.46076973995226939</v>
      </c>
      <c r="C20" s="61">
        <f>'Parameter Input'!$M$266</f>
        <v>0.14224714585492179</v>
      </c>
      <c r="D20" s="1" t="s">
        <v>68</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Input'!$L$269</f>
        <v>0</v>
      </c>
      <c r="C21" s="116">
        <f>'Parameter Input'!$M$269</f>
        <v>0</v>
      </c>
      <c r="D21" s="1" t="s">
        <v>76</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Input'!$L$263</f>
        <v>25</v>
      </c>
      <c r="C22" s="61">
        <f>'Parameter Input'!$M$263</f>
        <v>25</v>
      </c>
      <c r="D22" s="1" t="s">
        <v>42</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Input'!$L$267</f>
        <v>0.04</v>
      </c>
      <c r="C26" s="46">
        <f>'Parameter Input'!$M$267</f>
        <v>0.04</v>
      </c>
      <c r="D26" s="1" t="s">
        <v>57</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6">
        <f>'Parameter Input'!J7</f>
        <v>0.33860978809845654</v>
      </c>
      <c r="C40" s="66">
        <f>'Parameter Input'!K7</f>
        <v>0.32399893120368356</v>
      </c>
      <c r="D40" s="66">
        <f>'Parameter Input'!L7</f>
        <v>0.30938807430891058</v>
      </c>
      <c r="E40" s="66">
        <f>'Parameter Input'!M7</f>
        <v>0.29628478287221349</v>
      </c>
      <c r="F40" s="66">
        <f>'Parameter Input'!N7</f>
        <v>0.28318149143551641</v>
      </c>
      <c r="G40" s="66">
        <f>'Parameter Input'!O7</f>
        <v>0.27007819999881932</v>
      </c>
      <c r="H40" s="66">
        <f>'Parameter Input'!P7</f>
        <v>0.25697490856212224</v>
      </c>
      <c r="I40" s="66">
        <f>'Parameter Input'!Q7</f>
        <v>0.24387161712542507</v>
      </c>
      <c r="J40" s="66">
        <f>'Parameter Input'!R7</f>
        <v>0.23813955720586791</v>
      </c>
      <c r="K40" s="66">
        <f>'Parameter Input'!S7</f>
        <v>0.23240749728631072</v>
      </c>
      <c r="L40" s="66">
        <f>'Parameter Input'!T7</f>
        <v>0.22667543736675355</v>
      </c>
      <c r="M40" s="66">
        <f>'Parameter Input'!U7</f>
        <v>0.22094337744719639</v>
      </c>
      <c r="N40" s="66">
        <f>'Parameter Input'!V7</f>
        <v>0.21521131752763925</v>
      </c>
      <c r="O40" s="66">
        <f>'Parameter Input'!W7</f>
        <v>0.20784400914982837</v>
      </c>
      <c r="P40" s="66">
        <f>'Parameter Input'!X7</f>
        <v>0.20047670077201749</v>
      </c>
      <c r="Q40" s="66">
        <f>'Parameter Input'!Y7</f>
        <v>0.19310939239420657</v>
      </c>
      <c r="R40" s="66">
        <f>'Parameter Input'!Z7</f>
        <v>0.18574208401639569</v>
      </c>
      <c r="S40" s="66">
        <f>'Parameter Input'!AA7</f>
        <v>0.17837477563858489</v>
      </c>
      <c r="T40" s="66">
        <f>'Parameter Input'!AB7</f>
        <v>0.17337343843558548</v>
      </c>
      <c r="U40" s="66">
        <f>'Parameter Input'!AC7</f>
        <v>0.16837210123258603</v>
      </c>
      <c r="V40" s="66">
        <f>'Parameter Input'!AD7</f>
        <v>0.16337076402958661</v>
      </c>
      <c r="W40" s="66">
        <f>'Parameter Input'!AE7</f>
        <v>0.15836942682658722</v>
      </c>
      <c r="X40" s="66">
        <f>'Parameter Input'!AF7</f>
        <v>0.15336808962358783</v>
      </c>
      <c r="Y40" s="66">
        <f>'Parameter Input'!AG7</f>
        <v>0.14990370608596207</v>
      </c>
      <c r="Z40" s="66">
        <f>'Parameter Input'!AH7</f>
        <v>0.1464393225483363</v>
      </c>
      <c r="AA40" s="66">
        <f>'Parameter Input'!AI7</f>
        <v>0.14297493901071057</v>
      </c>
      <c r="AB40" s="66">
        <f>'Parameter Input'!AJ7</f>
        <v>0.1395105554730848</v>
      </c>
      <c r="AC40" s="66">
        <f>'Parameter Input'!AK7</f>
        <v>0.13604617193545901</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25">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26285469.630591996</v>
      </c>
      <c r="C57" s="62">
        <f t="shared" ref="C57:AC57" si="49">C39*C40*C47</f>
        <v>25149527.419603836</v>
      </c>
      <c r="D57" s="62">
        <f t="shared" si="49"/>
        <v>24013026.427812029</v>
      </c>
      <c r="E57" s="62">
        <f t="shared" si="49"/>
        <v>22992768.486719813</v>
      </c>
      <c r="F57" s="62">
        <f t="shared" si="49"/>
        <v>21971464.273263264</v>
      </c>
      <c r="G57" s="62">
        <f t="shared" si="49"/>
        <v>20948761.408737835</v>
      </c>
      <c r="H57" s="62">
        <f t="shared" si="49"/>
        <v>19924204.765138738</v>
      </c>
      <c r="I57" s="62">
        <f t="shared" si="49"/>
        <v>18897219.237472594</v>
      </c>
      <c r="J57" s="62">
        <f t="shared" si="49"/>
        <v>18437814.739738356</v>
      </c>
      <c r="K57" s="62">
        <f t="shared" si="49"/>
        <v>17973136.655273605</v>
      </c>
      <c r="L57" s="62">
        <f t="shared" si="49"/>
        <v>17501539.867179401</v>
      </c>
      <c r="M57" s="62">
        <f t="shared" si="49"/>
        <v>17021138.373211399</v>
      </c>
      <c r="N57" s="62">
        <f t="shared" si="49"/>
        <v>16530027.550970053</v>
      </c>
      <c r="O57" s="62">
        <f t="shared" si="49"/>
        <v>15901638.282675453</v>
      </c>
      <c r="P57" s="62">
        <f t="shared" si="49"/>
        <v>15262042.838920837</v>
      </c>
      <c r="Q57" s="62">
        <f t="shared" si="49"/>
        <v>14613400.991644418</v>
      </c>
      <c r="R57" s="62">
        <f t="shared" si="49"/>
        <v>13960415.671414584</v>
      </c>
      <c r="S57" s="62">
        <f t="shared" si="49"/>
        <v>13309897.450998584</v>
      </c>
      <c r="T57" s="62">
        <f t="shared" si="49"/>
        <v>12844485.029808661</v>
      </c>
      <c r="U57" s="62">
        <f t="shared" si="49"/>
        <v>12392425.520747012</v>
      </c>
      <c r="V57" s="62">
        <f t="shared" si="49"/>
        <v>11957087.499762062</v>
      </c>
      <c r="W57" s="62">
        <f t="shared" si="49"/>
        <v>11538847.268151309</v>
      </c>
      <c r="X57" s="62">
        <f t="shared" si="49"/>
        <v>11135880.406422259</v>
      </c>
      <c r="Y57" s="62">
        <f t="shared" si="49"/>
        <v>10856625.459154911</v>
      </c>
      <c r="Z57" s="62">
        <f t="shared" si="49"/>
        <v>10586366.551824028</v>
      </c>
      <c r="AA57" s="62">
        <f t="shared" si="49"/>
        <v>10322676.250239355</v>
      </c>
      <c r="AB57" s="62">
        <f t="shared" si="49"/>
        <v>10063620.098665668</v>
      </c>
      <c r="AC57" s="62">
        <f t="shared" si="49"/>
        <v>9807756.3674737178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29602127.119515743</v>
      </c>
      <c r="C59" s="64">
        <f t="shared" ref="C59:AC59" si="51">C50+C51+C52+C53+C54+C55+C56+C57+C58</f>
        <v>28465811.413871013</v>
      </c>
      <c r="D59" s="64">
        <f t="shared" si="51"/>
        <v>27328775.772797246</v>
      </c>
      <c r="E59" s="64">
        <f t="shared" si="51"/>
        <v>26307752.978308968</v>
      </c>
      <c r="F59" s="64">
        <f t="shared" si="51"/>
        <v>25285355.620576169</v>
      </c>
      <c r="G59" s="64">
        <f t="shared" si="51"/>
        <v>24261092.602930252</v>
      </c>
      <c r="H59" s="64">
        <f t="shared" si="51"/>
        <v>23234313.918540128</v>
      </c>
      <c r="I59" s="64">
        <f t="shared" si="51"/>
        <v>22204173.411484241</v>
      </c>
      <c r="J59" s="64">
        <f t="shared" si="51"/>
        <v>21740309.653556764</v>
      </c>
      <c r="K59" s="64">
        <f t="shared" si="51"/>
        <v>21269370.848232429</v>
      </c>
      <c r="L59" s="64">
        <f t="shared" si="51"/>
        <v>20789069.385431349</v>
      </c>
      <c r="M59" s="64">
        <f t="shared" si="51"/>
        <v>20296734.108082753</v>
      </c>
      <c r="N59" s="64">
        <f t="shared" si="51"/>
        <v>19789585.559750415</v>
      </c>
      <c r="O59" s="64">
        <f t="shared" si="51"/>
        <v>19140231.885194067</v>
      </c>
      <c r="P59" s="64">
        <f t="shared" si="51"/>
        <v>18474235.315197349</v>
      </c>
      <c r="Q59" s="64">
        <f t="shared" si="51"/>
        <v>17793912.874274857</v>
      </c>
      <c r="R59" s="64">
        <f t="shared" si="51"/>
        <v>17105103.973406527</v>
      </c>
      <c r="S59" s="64">
        <f t="shared" si="51"/>
        <v>16416766.945890918</v>
      </c>
      <c r="T59" s="64">
        <f t="shared" si="51"/>
        <v>15914279.920987016</v>
      </c>
      <c r="U59" s="64">
        <f t="shared" si="51"/>
        <v>15428470.637037404</v>
      </c>
      <c r="V59" s="64">
        <f t="shared" si="51"/>
        <v>14964450.113458052</v>
      </c>
      <c r="W59" s="64">
        <f t="shared" si="51"/>
        <v>14523240.334014362</v>
      </c>
      <c r="X59" s="64">
        <f t="shared" si="51"/>
        <v>14102746.687827498</v>
      </c>
      <c r="Y59" s="64">
        <f t="shared" si="51"/>
        <v>13810608.148333512</v>
      </c>
      <c r="Z59" s="64">
        <f t="shared" si="51"/>
        <v>13531137.658943187</v>
      </c>
      <c r="AA59" s="64">
        <f t="shared" si="51"/>
        <v>13260991.398698065</v>
      </c>
      <c r="AB59" s="64">
        <f t="shared" si="51"/>
        <v>12997473.782875776</v>
      </c>
      <c r="AC59" s="64">
        <f t="shared" si="51"/>
        <v>12738556.849375216</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25">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219.0455802549333</v>
      </c>
      <c r="C69" s="66">
        <f t="shared" ref="C69:AC69" si="60">C39*C40*C47/C47</f>
        <v>209.57939516336529</v>
      </c>
      <c r="D69" s="66">
        <f t="shared" si="60"/>
        <v>200.10855356510024</v>
      </c>
      <c r="E69" s="66">
        <f t="shared" si="60"/>
        <v>191.60640405599844</v>
      </c>
      <c r="F69" s="66">
        <f t="shared" si="60"/>
        <v>183.09553561052721</v>
      </c>
      <c r="G69" s="66">
        <f t="shared" si="60"/>
        <v>174.57301173948196</v>
      </c>
      <c r="H69" s="66">
        <f t="shared" si="60"/>
        <v>166.0350397094895</v>
      </c>
      <c r="I69" s="66">
        <f t="shared" si="60"/>
        <v>157.47682697893828</v>
      </c>
      <c r="J69" s="66">
        <f t="shared" si="60"/>
        <v>153.6484561644863</v>
      </c>
      <c r="K69" s="66">
        <f t="shared" si="60"/>
        <v>149.7761387939467</v>
      </c>
      <c r="L69" s="66">
        <f t="shared" si="60"/>
        <v>145.84616555982834</v>
      </c>
      <c r="M69" s="66">
        <f t="shared" si="60"/>
        <v>141.84281977676164</v>
      </c>
      <c r="N69" s="66">
        <f t="shared" si="60"/>
        <v>137.75022959141711</v>
      </c>
      <c r="O69" s="66">
        <f t="shared" si="60"/>
        <v>132.51365235562878</v>
      </c>
      <c r="P69" s="66">
        <f t="shared" si="60"/>
        <v>127.1836903243403</v>
      </c>
      <c r="Q69" s="66">
        <f t="shared" si="60"/>
        <v>121.77834159703681</v>
      </c>
      <c r="R69" s="66">
        <f t="shared" si="60"/>
        <v>116.33679726178821</v>
      </c>
      <c r="S69" s="66">
        <f t="shared" si="60"/>
        <v>110.91581209165487</v>
      </c>
      <c r="T69" s="66">
        <f t="shared" si="60"/>
        <v>107.03737524840551</v>
      </c>
      <c r="U69" s="66">
        <f t="shared" si="60"/>
        <v>103.27021267289176</v>
      </c>
      <c r="V69" s="66">
        <f t="shared" si="60"/>
        <v>99.642395831350512</v>
      </c>
      <c r="W69" s="66">
        <f t="shared" si="60"/>
        <v>96.157060567927573</v>
      </c>
      <c r="X69" s="66">
        <f t="shared" si="60"/>
        <v>92.799003386852164</v>
      </c>
      <c r="Y69" s="66">
        <f t="shared" si="60"/>
        <v>90.471878826290933</v>
      </c>
      <c r="Z69" s="66">
        <f t="shared" si="60"/>
        <v>88.219721265200235</v>
      </c>
      <c r="AA69" s="66">
        <f t="shared" si="60"/>
        <v>86.022302085327965</v>
      </c>
      <c r="AB69" s="66">
        <f t="shared" si="60"/>
        <v>83.863500822213894</v>
      </c>
      <c r="AC69" s="66">
        <f t="shared" si="60"/>
        <v>81.731303062280986</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246.81477052631831</v>
      </c>
      <c r="C71" s="76">
        <f t="shared" ref="C71:AC71" si="63">C62+C63+C64-C65+C66+C67+C68+C69+C70</f>
        <v>237.3454729792789</v>
      </c>
      <c r="D71" s="76">
        <f t="shared" si="63"/>
        <v>227.87017597033082</v>
      </c>
      <c r="E71" s="76">
        <f t="shared" si="63"/>
        <v>219.36165268292854</v>
      </c>
      <c r="F71" s="76">
        <f t="shared" si="63"/>
        <v>210.84167470182186</v>
      </c>
      <c r="G71" s="76">
        <f t="shared" si="63"/>
        <v>202.30614955477256</v>
      </c>
      <c r="H71" s="76">
        <f t="shared" si="63"/>
        <v>193.74966051818819</v>
      </c>
      <c r="I71" s="76">
        <f t="shared" si="63"/>
        <v>185.16515629272246</v>
      </c>
      <c r="J71" s="76">
        <f t="shared" si="63"/>
        <v>181.29962497666017</v>
      </c>
      <c r="K71" s="76">
        <f t="shared" si="63"/>
        <v>177.37513493229068</v>
      </c>
      <c r="L71" s="76">
        <f t="shared" si="63"/>
        <v>173.37262274228169</v>
      </c>
      <c r="M71" s="76">
        <f t="shared" si="63"/>
        <v>169.26982876437671</v>
      </c>
      <c r="N71" s="76">
        <f t="shared" si="63"/>
        <v>165.04359086160724</v>
      </c>
      <c r="O71" s="76">
        <f t="shared" si="63"/>
        <v>159.63231024030435</v>
      </c>
      <c r="P71" s="76">
        <f t="shared" si="63"/>
        <v>154.08233882366503</v>
      </c>
      <c r="Q71" s="76">
        <f t="shared" si="63"/>
        <v>148.41298514931091</v>
      </c>
      <c r="R71" s="76">
        <f t="shared" si="63"/>
        <v>142.67291097540817</v>
      </c>
      <c r="S71" s="76">
        <f t="shared" si="63"/>
        <v>136.93676907944479</v>
      </c>
      <c r="T71" s="76">
        <f t="shared" si="63"/>
        <v>132.74937720524559</v>
      </c>
      <c r="U71" s="76">
        <f t="shared" si="63"/>
        <v>128.70096650566546</v>
      </c>
      <c r="V71" s="76">
        <f t="shared" si="63"/>
        <v>124.83412880917088</v>
      </c>
      <c r="W71" s="76">
        <f t="shared" si="63"/>
        <v>121.15738064714014</v>
      </c>
      <c r="X71" s="76">
        <f t="shared" si="63"/>
        <v>117.65326692891628</v>
      </c>
      <c r="Y71" s="76">
        <f t="shared" si="63"/>
        <v>115.21877909979973</v>
      </c>
      <c r="Z71" s="76">
        <f t="shared" si="63"/>
        <v>112.88985835488035</v>
      </c>
      <c r="AA71" s="76">
        <f t="shared" si="63"/>
        <v>110.63863951950432</v>
      </c>
      <c r="AB71" s="76">
        <f t="shared" si="63"/>
        <v>108.44265938765191</v>
      </c>
      <c r="AC71" s="76">
        <f t="shared" si="63"/>
        <v>106.28501827514725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25">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2.3179426482003523E-2</v>
      </c>
      <c r="C81" s="66">
        <f t="shared" ref="C81:AC81" si="72">C39*C40*C47/C47/(C44)</f>
        <v>2.2177713773901091E-2</v>
      </c>
      <c r="D81" s="66">
        <f t="shared" si="72"/>
        <v>2.117550831376722E-2</v>
      </c>
      <c r="E81" s="66">
        <f t="shared" si="72"/>
        <v>2.0275809953015707E-2</v>
      </c>
      <c r="F81" s="66">
        <f t="shared" si="72"/>
        <v>1.9375188953494944E-2</v>
      </c>
      <c r="G81" s="66">
        <f t="shared" si="72"/>
        <v>1.8473334575606556E-2</v>
      </c>
      <c r="H81" s="66">
        <f t="shared" si="72"/>
        <v>1.7569845471903649E-2</v>
      </c>
      <c r="I81" s="66">
        <f t="shared" si="72"/>
        <v>1.6664214495125743E-2</v>
      </c>
      <c r="J81" s="66">
        <f t="shared" si="72"/>
        <v>1.6259095890421831E-2</v>
      </c>
      <c r="K81" s="66">
        <f t="shared" si="72"/>
        <v>1.5849326856502297E-2</v>
      </c>
      <c r="L81" s="66">
        <f t="shared" si="72"/>
        <v>1.5433456672997708E-2</v>
      </c>
      <c r="M81" s="66">
        <f t="shared" si="72"/>
        <v>1.5009822198599115E-2</v>
      </c>
      <c r="N81" s="66">
        <f t="shared" si="72"/>
        <v>1.4576743872107631E-2</v>
      </c>
      <c r="O81" s="66">
        <f t="shared" si="72"/>
        <v>1.4022608714881353E-2</v>
      </c>
      <c r="P81" s="66">
        <f t="shared" si="72"/>
        <v>1.3458591568713259E-2</v>
      </c>
      <c r="Q81" s="66">
        <f t="shared" si="72"/>
        <v>1.2886596994395431E-2</v>
      </c>
      <c r="R81" s="66">
        <f t="shared" si="72"/>
        <v>1.2310772197014624E-2</v>
      </c>
      <c r="S81" s="66">
        <f t="shared" si="72"/>
        <v>1.1737122972661891E-2</v>
      </c>
      <c r="T81" s="66">
        <f t="shared" si="72"/>
        <v>1.1326706375492646E-2</v>
      </c>
      <c r="U81" s="66">
        <f t="shared" si="72"/>
        <v>1.0928064833110238E-2</v>
      </c>
      <c r="V81" s="66">
        <f t="shared" si="72"/>
        <v>1.0544168871042382E-2</v>
      </c>
      <c r="W81" s="66">
        <f t="shared" si="72"/>
        <v>1.0175350324648421E-2</v>
      </c>
      <c r="X81" s="66">
        <f t="shared" si="72"/>
        <v>9.820000358397054E-3</v>
      </c>
      <c r="Y81" s="66">
        <f t="shared" si="72"/>
        <v>9.5737437911418977E-3</v>
      </c>
      <c r="Z81" s="66">
        <f t="shared" si="72"/>
        <v>9.3354202397037279E-3</v>
      </c>
      <c r="AA81" s="66">
        <f t="shared" si="72"/>
        <v>9.1028891095585145E-3</v>
      </c>
      <c r="AB81" s="66">
        <f t="shared" si="72"/>
        <v>8.8744445314512064E-3</v>
      </c>
      <c r="AC81" s="66">
        <f t="shared" si="72"/>
        <v>8.648815138865713E-3</v>
      </c>
    </row>
    <row r="82" spans="1:29" x14ac:dyDescent="0.25">
      <c r="A82" s="59" t="str">
        <f>A45</f>
        <v>Market failure (av. utilization)</v>
      </c>
      <c r="B82" s="66">
        <f t="shared" ref="B82:AC82" si="73">B71/B45-B71/B44</f>
        <v>1.2290807122381234E-2</v>
      </c>
      <c r="C82" s="66">
        <f t="shared" si="73"/>
        <v>1.1819257913689572E-2</v>
      </c>
      <c r="D82" s="66">
        <f t="shared" si="73"/>
        <v>1.1347409945612483E-2</v>
      </c>
      <c r="E82" s="66">
        <f t="shared" si="73"/>
        <v>1.0923705082249786E-2</v>
      </c>
      <c r="F82" s="66">
        <f t="shared" si="73"/>
        <v>1.0499429801522402E-2</v>
      </c>
      <c r="G82" s="66">
        <f t="shared" si="73"/>
        <v>1.0074380307738436E-2</v>
      </c>
      <c r="H82" s="66">
        <f t="shared" si="73"/>
        <v>9.6482868605384693E-3</v>
      </c>
      <c r="I82" s="66">
        <f t="shared" si="73"/>
        <v>9.2207983214552085E-3</v>
      </c>
      <c r="J82" s="66">
        <f t="shared" si="73"/>
        <v>9.0283037647885499E-3</v>
      </c>
      <c r="K82" s="66">
        <f t="shared" si="73"/>
        <v>8.8328731992426066E-3</v>
      </c>
      <c r="L82" s="66">
        <f t="shared" si="73"/>
        <v>8.6335573105400104E-3</v>
      </c>
      <c r="M82" s="66">
        <f t="shared" si="73"/>
        <v>8.4292476197635399E-3</v>
      </c>
      <c r="N82" s="66">
        <f t="shared" si="73"/>
        <v>8.2187907058378952E-3</v>
      </c>
      <c r="O82" s="66">
        <f t="shared" si="73"/>
        <v>7.9493213938526854E-3</v>
      </c>
      <c r="P82" s="66">
        <f t="shared" si="73"/>
        <v>7.6729455996845282E-3</v>
      </c>
      <c r="Q82" s="66">
        <f t="shared" si="73"/>
        <v>7.3906248440366445E-3</v>
      </c>
      <c r="R82" s="66">
        <f t="shared" si="73"/>
        <v>7.1047823703906925E-3</v>
      </c>
      <c r="S82" s="66">
        <f t="shared" si="73"/>
        <v>6.8191357151295238E-3</v>
      </c>
      <c r="T82" s="66">
        <f t="shared" si="73"/>
        <v>6.6106132439586931E-3</v>
      </c>
      <c r="U82" s="66">
        <f t="shared" si="73"/>
        <v>6.4090117151903089E-3</v>
      </c>
      <c r="V82" s="66">
        <f t="shared" si="73"/>
        <v>6.2164521037869087E-3</v>
      </c>
      <c r="W82" s="66">
        <f t="shared" si="73"/>
        <v>6.0333585133963332E-3</v>
      </c>
      <c r="X82" s="66">
        <f t="shared" si="73"/>
        <v>5.8588617207054449E-3</v>
      </c>
      <c r="Y82" s="66">
        <f t="shared" si="73"/>
        <v>5.7376298337902115E-3</v>
      </c>
      <c r="Z82" s="66">
        <f t="shared" si="73"/>
        <v>5.6216549445318523E-3</v>
      </c>
      <c r="AA82" s="66">
        <f t="shared" si="73"/>
        <v>5.5095494314101115E-3</v>
      </c>
      <c r="AB82" s="66">
        <f t="shared" si="73"/>
        <v>5.4001946785011811E-3</v>
      </c>
      <c r="AC82" s="66">
        <f t="shared" si="73"/>
        <v>5.2927491204555095E-3</v>
      </c>
    </row>
    <row r="83" spans="1:29" x14ac:dyDescent="0.25">
      <c r="A83" s="59" t="str">
        <f>A46</f>
        <v>Payload loss (fuel)</v>
      </c>
      <c r="B83" s="66">
        <f>B71/(B44-B46)-B71/B44</f>
        <v>1.0882485472941718E-3</v>
      </c>
      <c r="C83" s="66">
        <f t="shared" ref="C83:AC83" si="74">C71/(C44-C46)-C71/C44</f>
        <v>1.0464967944412637E-3</v>
      </c>
      <c r="D83" s="66">
        <f t="shared" si="74"/>
        <v>1.0047185889344411E-3</v>
      </c>
      <c r="E83" s="66">
        <f t="shared" si="74"/>
        <v>9.6720305415753591E-4</v>
      </c>
      <c r="F83" s="66">
        <f t="shared" si="74"/>
        <v>9.2963701367646326E-4</v>
      </c>
      <c r="G83" s="66">
        <f t="shared" si="74"/>
        <v>8.9200242308100711E-4</v>
      </c>
      <c r="H83" s="66">
        <f t="shared" si="74"/>
        <v>8.5427539911017703E-4</v>
      </c>
      <c r="I83" s="66">
        <f t="shared" si="74"/>
        <v>8.1642485137884552E-4</v>
      </c>
      <c r="J83" s="66">
        <f t="shared" si="74"/>
        <v>7.9938106250732055E-4</v>
      </c>
      <c r="K83" s="66">
        <f t="shared" si="74"/>
        <v>7.8207731451627321E-4</v>
      </c>
      <c r="L83" s="66">
        <f t="shared" si="74"/>
        <v>7.6442955353739697E-4</v>
      </c>
      <c r="M83" s="66">
        <f t="shared" si="74"/>
        <v>7.463396329998942E-4</v>
      </c>
      <c r="N83" s="66">
        <f t="shared" si="74"/>
        <v>7.2770542707939825E-4</v>
      </c>
      <c r="O83" s="66">
        <f t="shared" si="74"/>
        <v>7.0384616508070708E-4</v>
      </c>
      <c r="P83" s="66">
        <f t="shared" si="74"/>
        <v>6.7937539163873129E-4</v>
      </c>
      <c r="Q83" s="66">
        <f t="shared" si="74"/>
        <v>6.5437824139907841E-4</v>
      </c>
      <c r="R83" s="66">
        <f t="shared" si="74"/>
        <v>6.290692723783433E-4</v>
      </c>
      <c r="S83" s="66">
        <f t="shared" si="74"/>
        <v>6.0377764144376074E-4</v>
      </c>
      <c r="T83" s="66">
        <f t="shared" si="74"/>
        <v>5.8531471430884295E-4</v>
      </c>
      <c r="U83" s="66">
        <f t="shared" si="74"/>
        <v>5.6746457894914226E-4</v>
      </c>
      <c r="V83" s="66">
        <f t="shared" si="74"/>
        <v>5.504150300228005E-4</v>
      </c>
      <c r="W83" s="66">
        <f t="shared" si="74"/>
        <v>5.34203618373634E-4</v>
      </c>
      <c r="X83" s="66">
        <f t="shared" si="74"/>
        <v>5.1875338152079439E-4</v>
      </c>
      <c r="Y83" s="66">
        <f t="shared" si="74"/>
        <v>5.0801930820017563E-4</v>
      </c>
      <c r="Z83" s="66">
        <f t="shared" si="74"/>
        <v>4.9775069821375757E-4</v>
      </c>
      <c r="AA83" s="66">
        <f t="shared" si="74"/>
        <v>4.8782468923943764E-4</v>
      </c>
      <c r="AB83" s="66">
        <f t="shared" si="74"/>
        <v>4.7814223715895998E-4</v>
      </c>
      <c r="AC83" s="66">
        <f t="shared" si="74"/>
        <v>4.6862882837366525E-4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3.9483224205403566E-2</v>
      </c>
      <c r="C85" s="67">
        <f t="shared" ref="C85:AC85" si="76">C74+C75+C76+C77+C78+C79+C80+C81+C82+C83+C84</f>
        <v>3.7967881175389219E-2</v>
      </c>
      <c r="D85" s="67">
        <f t="shared" si="76"/>
        <v>3.6451578069641499E-2</v>
      </c>
      <c r="E85" s="67">
        <f t="shared" si="76"/>
        <v>3.5089984836856145E-2</v>
      </c>
      <c r="F85" s="67">
        <f t="shared" si="76"/>
        <v>3.3726558544102017E-2</v>
      </c>
      <c r="G85" s="67">
        <f t="shared" si="76"/>
        <v>3.2360644285431658E-2</v>
      </c>
      <c r="H85" s="67">
        <f t="shared" si="76"/>
        <v>3.0991375238960926E-2</v>
      </c>
      <c r="I85" s="67">
        <f t="shared" si="76"/>
        <v>2.9617623006594405E-2</v>
      </c>
      <c r="J85" s="67">
        <f t="shared" si="76"/>
        <v>2.899903372813958E-2</v>
      </c>
      <c r="K85" s="67">
        <f t="shared" si="76"/>
        <v>2.8371009462817457E-2</v>
      </c>
      <c r="L85" s="67">
        <f t="shared" si="76"/>
        <v>2.7730499549642972E-2</v>
      </c>
      <c r="M85" s="67">
        <f t="shared" si="76"/>
        <v>2.7073941845428998E-2</v>
      </c>
      <c r="N85" s="67">
        <f t="shared" si="76"/>
        <v>2.6397629783490851E-2</v>
      </c>
      <c r="O85" s="67">
        <f t="shared" si="76"/>
        <v>2.5531678921538389E-2</v>
      </c>
      <c r="P85" s="67">
        <f t="shared" si="76"/>
        <v>2.4643533791320921E-2</v>
      </c>
      <c r="Q85" s="67">
        <f t="shared" si="76"/>
        <v>2.3736284279681628E-2</v>
      </c>
      <c r="R85" s="67">
        <f t="shared" si="76"/>
        <v>2.2817717580517295E-2</v>
      </c>
      <c r="S85" s="67">
        <f t="shared" si="76"/>
        <v>2.1899780151891556E-2</v>
      </c>
      <c r="T85" s="67">
        <f t="shared" si="76"/>
        <v>2.1229684502347794E-2</v>
      </c>
      <c r="U85" s="67">
        <f t="shared" si="76"/>
        <v>2.0581829589586896E-2</v>
      </c>
      <c r="V85" s="67">
        <f t="shared" si="76"/>
        <v>1.9963031255024924E-2</v>
      </c>
      <c r="W85" s="67">
        <f t="shared" si="76"/>
        <v>1.9374652373405209E-2</v>
      </c>
      <c r="X85" s="67">
        <f t="shared" si="76"/>
        <v>1.8813899659393344E-2</v>
      </c>
      <c r="Y85" s="67">
        <f t="shared" si="76"/>
        <v>1.8424315939462619E-2</v>
      </c>
      <c r="Z85" s="67">
        <f t="shared" si="76"/>
        <v>1.8051625800543834E-2</v>
      </c>
      <c r="AA85" s="67">
        <f t="shared" si="76"/>
        <v>1.7691370063064069E-2</v>
      </c>
      <c r="AB85" s="67">
        <f t="shared" si="76"/>
        <v>1.7339954008143185E-2</v>
      </c>
      <c r="AC85" s="67">
        <f t="shared" si="76"/>
        <v>1.699467323046517E-2</v>
      </c>
    </row>
    <row r="87" spans="1:29" x14ac:dyDescent="0.25">
      <c r="B87" s="40"/>
    </row>
    <row r="107" spans="1:2" s="3" customFormat="1" ht="21" x14ac:dyDescent="0.35">
      <c r="A107" s="2" t="str">
        <f>'Parameter Input'!A223</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Input'!$L$261</f>
        <v>19500000</v>
      </c>
      <c r="C117" s="42">
        <f>'Parameter Input'!$M$261</f>
        <v>15000000</v>
      </c>
      <c r="D117" s="1" t="s">
        <v>15</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Input'!$L$262</f>
        <v>-975000</v>
      </c>
      <c r="C118" s="61">
        <f>'Parameter Input'!$M$262</f>
        <v>-1500000</v>
      </c>
      <c r="D118" s="1" t="s">
        <v>15</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Input'!$L$268</f>
        <v>0.06</v>
      </c>
      <c r="C121" s="91">
        <f>'Parameter Input'!$M$268</f>
        <v>0.06</v>
      </c>
      <c r="D121" s="1" t="s">
        <v>57</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Input'!$L$264</f>
        <v>488235.29411764705</v>
      </c>
      <c r="C123" s="61">
        <f>'Parameter Input'!$M$264</f>
        <v>488235.29411764705</v>
      </c>
      <c r="D123" s="1" t="s">
        <v>38</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Input'!$L$265</f>
        <v>647</v>
      </c>
      <c r="C125" s="61">
        <f>'Parameter Input'!$M$265</f>
        <v>600</v>
      </c>
      <c r="D125" s="1" t="s">
        <v>60</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Input'!$L$266</f>
        <v>0.46076973995226939</v>
      </c>
      <c r="C126" s="61">
        <f>'Parameter Input'!$M$266</f>
        <v>0.14224714585492179</v>
      </c>
      <c r="D126" s="1" t="s">
        <v>68</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25">
      <c r="A127" s="24" t="s">
        <v>206</v>
      </c>
      <c r="B127" s="115">
        <f>'Parameter Input'!$L$269</f>
        <v>0</v>
      </c>
      <c r="C127" s="116">
        <f>'Parameter Input'!$M$269</f>
        <v>0</v>
      </c>
      <c r="D127" s="1" t="s">
        <v>76</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Input'!$L$263</f>
        <v>25</v>
      </c>
      <c r="C128" s="61">
        <f>'Parameter Input'!$M$263</f>
        <v>25</v>
      </c>
      <c r="D128" s="1" t="s">
        <v>42</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Input'!$L$267</f>
        <v>0.04</v>
      </c>
      <c r="C132" s="46">
        <f>'Parameter Input'!$M$267</f>
        <v>0.04</v>
      </c>
      <c r="D132" s="1" t="s">
        <v>57</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25">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25">
      <c r="A146" s="30" t="str">
        <f t="shared" si="82"/>
        <v>Fuel Cost</v>
      </c>
      <c r="B146" s="62">
        <f>'Parameter Input'!J7</f>
        <v>0.33860978809845654</v>
      </c>
      <c r="C146" s="62">
        <f>'Parameter Input'!K7</f>
        <v>0.32399893120368356</v>
      </c>
      <c r="D146" s="62">
        <f>'Parameter Input'!L7</f>
        <v>0.30938807430891058</v>
      </c>
      <c r="E146" s="62">
        <f>'Parameter Input'!M7</f>
        <v>0.29628478287221349</v>
      </c>
      <c r="F146" s="62">
        <f>'Parameter Input'!N7</f>
        <v>0.28318149143551641</v>
      </c>
      <c r="G146" s="62">
        <f>'Parameter Input'!O7</f>
        <v>0.27007819999881932</v>
      </c>
      <c r="H146" s="62">
        <f>'Parameter Input'!P7</f>
        <v>0.25697490856212224</v>
      </c>
      <c r="I146" s="62">
        <f>'Parameter Input'!Q7</f>
        <v>0.24387161712542507</v>
      </c>
      <c r="J146" s="62">
        <f>'Parameter Input'!R7</f>
        <v>0.23813955720586791</v>
      </c>
      <c r="K146" s="62">
        <f>'Parameter Input'!S7</f>
        <v>0.23240749728631072</v>
      </c>
      <c r="L146" s="62">
        <f>'Parameter Input'!T7</f>
        <v>0.22667543736675355</v>
      </c>
      <c r="M146" s="62">
        <f>'Parameter Input'!U7</f>
        <v>0.22094337744719639</v>
      </c>
      <c r="N146" s="62">
        <f>'Parameter Input'!V7</f>
        <v>0.21521131752763925</v>
      </c>
      <c r="O146" s="62">
        <f>'Parameter Input'!W7</f>
        <v>0.20784400914982837</v>
      </c>
      <c r="P146" s="62">
        <f>'Parameter Input'!X7</f>
        <v>0.20047670077201749</v>
      </c>
      <c r="Q146" s="62">
        <f>'Parameter Input'!Y7</f>
        <v>0.19310939239420657</v>
      </c>
      <c r="R146" s="62">
        <f>'Parameter Input'!Z7</f>
        <v>0.18574208401639569</v>
      </c>
      <c r="S146" s="62">
        <f>'Parameter Input'!AA7</f>
        <v>0.17837477563858489</v>
      </c>
      <c r="T146" s="62">
        <f>'Parameter Input'!AB7</f>
        <v>0.17337343843558548</v>
      </c>
      <c r="U146" s="62">
        <f>'Parameter Input'!AC7</f>
        <v>0.16837210123258603</v>
      </c>
      <c r="V146" s="62">
        <f>'Parameter Input'!AD7</f>
        <v>0.16337076402958661</v>
      </c>
      <c r="W146" s="62">
        <f>'Parameter Input'!AE7</f>
        <v>0.15836942682658722</v>
      </c>
      <c r="X146" s="62">
        <f>'Parameter Input'!AF7</f>
        <v>0.15336808962358783</v>
      </c>
      <c r="Y146" s="62">
        <f>'Parameter Input'!AG7</f>
        <v>0.14990370608596207</v>
      </c>
      <c r="Z146" s="62">
        <f>'Parameter Input'!AH7</f>
        <v>0.1464393225483363</v>
      </c>
      <c r="AA146" s="62">
        <f>'Parameter Input'!AI7</f>
        <v>0.14297493901071057</v>
      </c>
      <c r="AB146" s="62">
        <f>'Parameter Input'!AJ7</f>
        <v>0.1395105554730848</v>
      </c>
      <c r="AC146" s="62">
        <f>'Parameter Input'!AK7</f>
        <v>0.13604617193545901</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25">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26285469.630591996</v>
      </c>
      <c r="C163" s="62">
        <f t="shared" ref="C163:AC163" si="127">C145*C146*C153</f>
        <v>25149527.419603836</v>
      </c>
      <c r="D163" s="62">
        <f t="shared" si="127"/>
        <v>24013026.427812029</v>
      </c>
      <c r="E163" s="62">
        <f t="shared" si="127"/>
        <v>22992768.486719813</v>
      </c>
      <c r="F163" s="62">
        <f t="shared" si="127"/>
        <v>21971464.273263264</v>
      </c>
      <c r="G163" s="62">
        <f t="shared" si="127"/>
        <v>20948761.408737835</v>
      </c>
      <c r="H163" s="62">
        <f t="shared" si="127"/>
        <v>19924204.765138738</v>
      </c>
      <c r="I163" s="62">
        <f t="shared" si="127"/>
        <v>18897219.237472594</v>
      </c>
      <c r="J163" s="62">
        <f t="shared" si="127"/>
        <v>18437814.739738356</v>
      </c>
      <c r="K163" s="62">
        <f t="shared" si="127"/>
        <v>17973136.655273605</v>
      </c>
      <c r="L163" s="62">
        <f t="shared" si="127"/>
        <v>17501539.867179401</v>
      </c>
      <c r="M163" s="62">
        <f t="shared" si="127"/>
        <v>17021138.373211399</v>
      </c>
      <c r="N163" s="62">
        <f t="shared" si="127"/>
        <v>16530027.550970053</v>
      </c>
      <c r="O163" s="62">
        <f t="shared" si="127"/>
        <v>15901638.282675453</v>
      </c>
      <c r="P163" s="62">
        <f t="shared" si="127"/>
        <v>15262042.838920837</v>
      </c>
      <c r="Q163" s="62">
        <f t="shared" si="127"/>
        <v>14613400.991644418</v>
      </c>
      <c r="R163" s="62">
        <f t="shared" si="127"/>
        <v>13960415.671414584</v>
      </c>
      <c r="S163" s="62">
        <f t="shared" si="127"/>
        <v>13309897.450998584</v>
      </c>
      <c r="T163" s="62">
        <f t="shared" si="127"/>
        <v>12844485.029808661</v>
      </c>
      <c r="U163" s="62">
        <f t="shared" si="127"/>
        <v>12392425.520747012</v>
      </c>
      <c r="V163" s="62">
        <f t="shared" si="127"/>
        <v>11957087.499762062</v>
      </c>
      <c r="W163" s="62">
        <f t="shared" si="127"/>
        <v>11538847.268151309</v>
      </c>
      <c r="X163" s="62">
        <f t="shared" si="127"/>
        <v>11135880.406422259</v>
      </c>
      <c r="Y163" s="62">
        <f t="shared" si="127"/>
        <v>10856625.459154911</v>
      </c>
      <c r="Z163" s="62">
        <f t="shared" si="127"/>
        <v>10586366.551824028</v>
      </c>
      <c r="AA163" s="62">
        <f t="shared" si="127"/>
        <v>10322676.250239355</v>
      </c>
      <c r="AB163" s="62">
        <f t="shared" si="127"/>
        <v>10063620.098665668</v>
      </c>
      <c r="AC163" s="62">
        <f t="shared" si="127"/>
        <v>9807756.3674737178</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29984889.769156851</v>
      </c>
      <c r="C165" s="64">
        <f t="shared" ref="C165:AC165" si="129">C156+C157+C158+C159+C160+C161+C162+C163+C164</f>
        <v>28848574.063512117</v>
      </c>
      <c r="D165" s="64">
        <f t="shared" si="129"/>
        <v>27711538.422438353</v>
      </c>
      <c r="E165" s="64">
        <f t="shared" si="129"/>
        <v>26690515.627950076</v>
      </c>
      <c r="F165" s="64">
        <f t="shared" si="129"/>
        <v>25668118.270217273</v>
      </c>
      <c r="G165" s="64">
        <f t="shared" si="129"/>
        <v>24643855.252571359</v>
      </c>
      <c r="H165" s="64">
        <f t="shared" si="129"/>
        <v>23617076.568181232</v>
      </c>
      <c r="I165" s="64">
        <f t="shared" si="129"/>
        <v>22586936.061125346</v>
      </c>
      <c r="J165" s="64">
        <f t="shared" si="129"/>
        <v>22123072.303197872</v>
      </c>
      <c r="K165" s="64">
        <f t="shared" si="129"/>
        <v>21652133.497873534</v>
      </c>
      <c r="L165" s="64">
        <f t="shared" si="129"/>
        <v>21171832.035072457</v>
      </c>
      <c r="M165" s="64">
        <f t="shared" si="129"/>
        <v>20679496.75772386</v>
      </c>
      <c r="N165" s="64">
        <f t="shared" si="129"/>
        <v>20172348.209391523</v>
      </c>
      <c r="O165" s="64">
        <f t="shared" si="129"/>
        <v>19522994.534835171</v>
      </c>
      <c r="P165" s="64">
        <f t="shared" si="129"/>
        <v>18856997.964838456</v>
      </c>
      <c r="Q165" s="64">
        <f t="shared" si="129"/>
        <v>18176675.523915961</v>
      </c>
      <c r="R165" s="64">
        <f t="shared" si="129"/>
        <v>17487866.623047631</v>
      </c>
      <c r="S165" s="64">
        <f t="shared" si="129"/>
        <v>16799529.595532026</v>
      </c>
      <c r="T165" s="64">
        <f t="shared" si="129"/>
        <v>16297042.570628121</v>
      </c>
      <c r="U165" s="64">
        <f t="shared" si="129"/>
        <v>15811233.286678508</v>
      </c>
      <c r="V165" s="64">
        <f t="shared" si="129"/>
        <v>15347212.763099156</v>
      </c>
      <c r="W165" s="64">
        <f t="shared" si="129"/>
        <v>14906002.983655468</v>
      </c>
      <c r="X165" s="64">
        <f t="shared" si="129"/>
        <v>14485509.337468605</v>
      </c>
      <c r="Y165" s="64">
        <f t="shared" si="129"/>
        <v>14193370.797974618</v>
      </c>
      <c r="Z165" s="64">
        <f t="shared" si="129"/>
        <v>13913900.308584291</v>
      </c>
      <c r="AA165" s="64">
        <f t="shared" si="129"/>
        <v>13643754.048339169</v>
      </c>
      <c r="AB165" s="64">
        <f t="shared" si="129"/>
        <v>13380236.43251688</v>
      </c>
      <c r="AC165" s="64">
        <f t="shared" si="129"/>
        <v>13121319.499016322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25">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219.0455802549333</v>
      </c>
      <c r="C175" s="66">
        <f t="shared" ref="C175:AC175" si="138">C145*C146*C153/C153</f>
        <v>209.57939516336529</v>
      </c>
      <c r="D175" s="66">
        <f t="shared" si="138"/>
        <v>200.10855356510024</v>
      </c>
      <c r="E175" s="66">
        <f t="shared" si="138"/>
        <v>191.60640405599844</v>
      </c>
      <c r="F175" s="66">
        <f t="shared" si="138"/>
        <v>183.09553561052721</v>
      </c>
      <c r="G175" s="66">
        <f t="shared" si="138"/>
        <v>174.57301173948196</v>
      </c>
      <c r="H175" s="66">
        <f t="shared" si="138"/>
        <v>166.0350397094895</v>
      </c>
      <c r="I175" s="66">
        <f t="shared" si="138"/>
        <v>157.47682697893828</v>
      </c>
      <c r="J175" s="66">
        <f t="shared" si="138"/>
        <v>153.6484561644863</v>
      </c>
      <c r="K175" s="66">
        <f t="shared" si="138"/>
        <v>149.7761387939467</v>
      </c>
      <c r="L175" s="66">
        <f t="shared" si="138"/>
        <v>145.84616555982834</v>
      </c>
      <c r="M175" s="66">
        <f t="shared" si="138"/>
        <v>141.84281977676164</v>
      </c>
      <c r="N175" s="66">
        <f t="shared" si="138"/>
        <v>137.75022959141711</v>
      </c>
      <c r="O175" s="66">
        <f t="shared" si="138"/>
        <v>132.51365235562878</v>
      </c>
      <c r="P175" s="66">
        <f t="shared" si="138"/>
        <v>127.1836903243403</v>
      </c>
      <c r="Q175" s="66">
        <f t="shared" si="138"/>
        <v>121.77834159703681</v>
      </c>
      <c r="R175" s="66">
        <f t="shared" si="138"/>
        <v>116.33679726178821</v>
      </c>
      <c r="S175" s="66">
        <f t="shared" si="138"/>
        <v>110.91581209165487</v>
      </c>
      <c r="T175" s="66">
        <f t="shared" si="138"/>
        <v>107.03737524840551</v>
      </c>
      <c r="U175" s="66">
        <f t="shared" si="138"/>
        <v>103.27021267289176</v>
      </c>
      <c r="V175" s="66">
        <f t="shared" si="138"/>
        <v>99.642395831350512</v>
      </c>
      <c r="W175" s="66">
        <f t="shared" si="138"/>
        <v>96.157060567927573</v>
      </c>
      <c r="X175" s="66">
        <f t="shared" si="138"/>
        <v>92.799003386852164</v>
      </c>
      <c r="Y175" s="66">
        <f t="shared" si="138"/>
        <v>90.471878826290933</v>
      </c>
      <c r="Z175" s="66">
        <f t="shared" si="138"/>
        <v>88.219721265200235</v>
      </c>
      <c r="AA175" s="66">
        <f t="shared" si="138"/>
        <v>86.022302085327965</v>
      </c>
      <c r="AB175" s="66">
        <f t="shared" si="138"/>
        <v>83.863500822213894</v>
      </c>
      <c r="AC175" s="66">
        <f t="shared" si="138"/>
        <v>81.731303062280986</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250.52597072807603</v>
      </c>
      <c r="C177" s="76">
        <f t="shared" ref="C177:AC177" si="141">C168+C169+C170-C171+C172+C173+C174+C175+C176</f>
        <v>241.05667318103659</v>
      </c>
      <c r="D177" s="76">
        <f t="shared" si="141"/>
        <v>231.58137617208854</v>
      </c>
      <c r="E177" s="76">
        <f t="shared" si="141"/>
        <v>223.07285288468623</v>
      </c>
      <c r="F177" s="76">
        <f t="shared" si="141"/>
        <v>214.55287490357958</v>
      </c>
      <c r="G177" s="76">
        <f t="shared" si="141"/>
        <v>206.01734975653028</v>
      </c>
      <c r="H177" s="76">
        <f t="shared" si="141"/>
        <v>197.46086071994588</v>
      </c>
      <c r="I177" s="76">
        <f t="shared" si="141"/>
        <v>188.87635649448018</v>
      </c>
      <c r="J177" s="76">
        <f t="shared" si="141"/>
        <v>185.01082517841789</v>
      </c>
      <c r="K177" s="76">
        <f t="shared" si="141"/>
        <v>181.0863351340484</v>
      </c>
      <c r="L177" s="76">
        <f t="shared" si="141"/>
        <v>177.08382294403941</v>
      </c>
      <c r="M177" s="76">
        <f t="shared" si="141"/>
        <v>172.98102896613443</v>
      </c>
      <c r="N177" s="76">
        <f t="shared" si="141"/>
        <v>168.75479106336496</v>
      </c>
      <c r="O177" s="76">
        <f t="shared" si="141"/>
        <v>163.34351044206204</v>
      </c>
      <c r="P177" s="76">
        <f t="shared" si="141"/>
        <v>157.79353902542275</v>
      </c>
      <c r="Q177" s="76">
        <f t="shared" si="141"/>
        <v>152.12418535106863</v>
      </c>
      <c r="R177" s="76">
        <f t="shared" si="141"/>
        <v>146.38411117716589</v>
      </c>
      <c r="S177" s="76">
        <f t="shared" si="141"/>
        <v>140.64796928120251</v>
      </c>
      <c r="T177" s="76">
        <f t="shared" si="141"/>
        <v>136.46057740700329</v>
      </c>
      <c r="U177" s="76">
        <f t="shared" si="141"/>
        <v>132.41216670742318</v>
      </c>
      <c r="V177" s="76">
        <f t="shared" si="141"/>
        <v>128.54532901092858</v>
      </c>
      <c r="W177" s="76">
        <f t="shared" si="141"/>
        <v>124.86858084889785</v>
      </c>
      <c r="X177" s="76">
        <f t="shared" si="141"/>
        <v>121.36446713067399</v>
      </c>
      <c r="Y177" s="76">
        <f t="shared" si="141"/>
        <v>118.92997930155744</v>
      </c>
      <c r="Z177" s="76">
        <f t="shared" si="141"/>
        <v>116.60105855663805</v>
      </c>
      <c r="AA177" s="76">
        <f t="shared" si="141"/>
        <v>114.34983972126204</v>
      </c>
      <c r="AB177" s="76">
        <f t="shared" si="141"/>
        <v>112.15385958940962</v>
      </c>
      <c r="AC177" s="76">
        <f t="shared" si="141"/>
        <v>109.99621847690497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25">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2.3179426482003523E-2</v>
      </c>
      <c r="C187" s="66">
        <f t="shared" ref="C187:AC187" si="150">C145*C146*C153/C153/(C150)</f>
        <v>2.2177713773901091E-2</v>
      </c>
      <c r="D187" s="66">
        <f t="shared" si="150"/>
        <v>2.117550831376722E-2</v>
      </c>
      <c r="E187" s="66">
        <f t="shared" si="150"/>
        <v>2.0275809953015707E-2</v>
      </c>
      <c r="F187" s="66">
        <f t="shared" si="150"/>
        <v>1.9375188953494944E-2</v>
      </c>
      <c r="G187" s="66">
        <f t="shared" si="150"/>
        <v>1.8473334575606556E-2</v>
      </c>
      <c r="H187" s="66">
        <f t="shared" si="150"/>
        <v>1.7569845471903649E-2</v>
      </c>
      <c r="I187" s="66">
        <f t="shared" si="150"/>
        <v>1.6664214495125743E-2</v>
      </c>
      <c r="J187" s="66">
        <f t="shared" si="150"/>
        <v>1.6259095890421831E-2</v>
      </c>
      <c r="K187" s="66">
        <f t="shared" si="150"/>
        <v>1.5849326856502297E-2</v>
      </c>
      <c r="L187" s="66">
        <f t="shared" si="150"/>
        <v>1.5433456672997708E-2</v>
      </c>
      <c r="M187" s="66">
        <f t="shared" si="150"/>
        <v>1.5009822198599115E-2</v>
      </c>
      <c r="N187" s="66">
        <f t="shared" si="150"/>
        <v>1.4576743872107631E-2</v>
      </c>
      <c r="O187" s="66">
        <f t="shared" si="150"/>
        <v>1.4022608714881353E-2</v>
      </c>
      <c r="P187" s="66">
        <f t="shared" si="150"/>
        <v>1.3458591568713259E-2</v>
      </c>
      <c r="Q187" s="66">
        <f t="shared" si="150"/>
        <v>1.2886596994395431E-2</v>
      </c>
      <c r="R187" s="66">
        <f t="shared" si="150"/>
        <v>1.2310772197014624E-2</v>
      </c>
      <c r="S187" s="66">
        <f t="shared" si="150"/>
        <v>1.1737122972661891E-2</v>
      </c>
      <c r="T187" s="66">
        <f t="shared" si="150"/>
        <v>1.1326706375492646E-2</v>
      </c>
      <c r="U187" s="66">
        <f t="shared" si="150"/>
        <v>1.0928064833110238E-2</v>
      </c>
      <c r="V187" s="66">
        <f t="shared" si="150"/>
        <v>1.0544168871042382E-2</v>
      </c>
      <c r="W187" s="66">
        <f t="shared" si="150"/>
        <v>1.0175350324648421E-2</v>
      </c>
      <c r="X187" s="66">
        <f t="shared" si="150"/>
        <v>9.820000358397054E-3</v>
      </c>
      <c r="Y187" s="66">
        <f t="shared" si="150"/>
        <v>9.5737437911418977E-3</v>
      </c>
      <c r="Z187" s="66">
        <f t="shared" si="150"/>
        <v>9.3354202397037279E-3</v>
      </c>
      <c r="AA187" s="66">
        <f t="shared" si="150"/>
        <v>9.1028891095585145E-3</v>
      </c>
      <c r="AB187" s="66">
        <f t="shared" si="150"/>
        <v>8.8744445314512064E-3</v>
      </c>
      <c r="AC187" s="66">
        <f t="shared" si="150"/>
        <v>8.648815138865713E-3</v>
      </c>
    </row>
    <row r="188" spans="1:29" x14ac:dyDescent="0.25">
      <c r="A188" s="59" t="str">
        <f>A151</f>
        <v>Market failure (av. utilization)</v>
      </c>
      <c r="B188" s="66">
        <f t="shared" ref="B188:AC188" si="151">B177/B151-B177/B150</f>
        <v>1.9728881661863987E-2</v>
      </c>
      <c r="C188" s="66">
        <f t="shared" si="151"/>
        <v>1.8983175936491133E-2</v>
      </c>
      <c r="D188" s="66">
        <f t="shared" si="151"/>
        <v>1.8236997754415733E-2</v>
      </c>
      <c r="E188" s="66">
        <f t="shared" si="151"/>
        <v>1.7566952854214252E-2</v>
      </c>
      <c r="F188" s="66">
        <f t="shared" si="151"/>
        <v>1.6896005898645372E-2</v>
      </c>
      <c r="G188" s="66">
        <f t="shared" si="151"/>
        <v>1.6223834606149797E-2</v>
      </c>
      <c r="H188" s="66">
        <f t="shared" si="151"/>
        <v>1.5550012410577747E-2</v>
      </c>
      <c r="I188" s="66">
        <f t="shared" si="151"/>
        <v>1.4873984023190265E-2</v>
      </c>
      <c r="J188" s="66">
        <f t="shared" si="151"/>
        <v>1.456957402660114E-2</v>
      </c>
      <c r="K188" s="66">
        <f t="shared" si="151"/>
        <v>1.4260521039226159E-2</v>
      </c>
      <c r="L188" s="66">
        <f t="shared" si="151"/>
        <v>1.3945323819882519E-2</v>
      </c>
      <c r="M188" s="66">
        <f t="shared" si="151"/>
        <v>1.3622229425166239E-2</v>
      </c>
      <c r="N188" s="66">
        <f t="shared" si="151"/>
        <v>1.3289413840353585E-2</v>
      </c>
      <c r="O188" s="66">
        <f t="shared" si="151"/>
        <v>1.2863276323725813E-2</v>
      </c>
      <c r="P188" s="66">
        <f t="shared" si="151"/>
        <v>1.2426216928297103E-2</v>
      </c>
      <c r="Q188" s="66">
        <f t="shared" si="151"/>
        <v>1.1979756198435328E-2</v>
      </c>
      <c r="R188" s="66">
        <f t="shared" si="151"/>
        <v>1.1527726240111502E-2</v>
      </c>
      <c r="S188" s="66">
        <f t="shared" si="151"/>
        <v>1.1076005948070579E-2</v>
      </c>
      <c r="T188" s="66">
        <f t="shared" si="151"/>
        <v>1.0746249482032988E-2</v>
      </c>
      <c r="U188" s="66">
        <f t="shared" si="151"/>
        <v>1.0427437762120195E-2</v>
      </c>
      <c r="V188" s="66">
        <f t="shared" si="151"/>
        <v>1.0122924888272954E-2</v>
      </c>
      <c r="W188" s="66">
        <f t="shared" si="151"/>
        <v>9.8333815360273913E-3</v>
      </c>
      <c r="X188" s="66">
        <f t="shared" si="151"/>
        <v>9.5574331196790138E-3</v>
      </c>
      <c r="Y188" s="66">
        <f t="shared" si="151"/>
        <v>9.3657175775805051E-3</v>
      </c>
      <c r="Z188" s="66">
        <f t="shared" si="151"/>
        <v>9.182315427125427E-3</v>
      </c>
      <c r="AA188" s="66">
        <f t="shared" si="151"/>
        <v>9.0050322900956936E-3</v>
      </c>
      <c r="AB188" s="66">
        <f t="shared" si="151"/>
        <v>8.8320991924722737E-3</v>
      </c>
      <c r="AC188" s="66">
        <f t="shared" si="151"/>
        <v>8.6621852867256287E-3</v>
      </c>
    </row>
    <row r="189" spans="1:29" x14ac:dyDescent="0.25">
      <c r="A189" s="59" t="str">
        <f>A152</f>
        <v>Payload loss (fuel)</v>
      </c>
      <c r="B189" s="66">
        <f>B177/(B150-B152)-B177/B150</f>
        <v>1.1046118638804031E-3</v>
      </c>
      <c r="C189" s="66">
        <f t="shared" ref="C189:AC189" si="152">C177/(C150-C152)-C177/C150</f>
        <v>1.0628601110274985E-3</v>
      </c>
      <c r="D189" s="66">
        <f t="shared" si="152"/>
        <v>1.0210819055206724E-3</v>
      </c>
      <c r="E189" s="66">
        <f t="shared" si="152"/>
        <v>9.8356637074376724E-4</v>
      </c>
      <c r="F189" s="66">
        <f t="shared" si="152"/>
        <v>9.4600033026269459E-4</v>
      </c>
      <c r="G189" s="66">
        <f t="shared" si="152"/>
        <v>9.0836573966724191E-4</v>
      </c>
      <c r="H189" s="66">
        <f t="shared" si="152"/>
        <v>8.7063871569641182E-4</v>
      </c>
      <c r="I189" s="66">
        <f t="shared" si="152"/>
        <v>8.3278816796508032E-4</v>
      </c>
      <c r="J189" s="66">
        <f t="shared" si="152"/>
        <v>8.1574437909355188E-4</v>
      </c>
      <c r="K189" s="66">
        <f t="shared" si="152"/>
        <v>7.9844063110250801E-4</v>
      </c>
      <c r="L189" s="66">
        <f t="shared" si="152"/>
        <v>7.807928701236283E-4</v>
      </c>
      <c r="M189" s="66">
        <f t="shared" si="152"/>
        <v>7.6270294958613247E-4</v>
      </c>
      <c r="N189" s="66">
        <f t="shared" si="152"/>
        <v>7.4406874366562958E-4</v>
      </c>
      <c r="O189" s="66">
        <f t="shared" si="152"/>
        <v>7.2020948166693841E-4</v>
      </c>
      <c r="P189" s="66">
        <f t="shared" si="152"/>
        <v>6.9573870822496955E-4</v>
      </c>
      <c r="Q189" s="66">
        <f t="shared" si="152"/>
        <v>6.7074155798530974E-4</v>
      </c>
      <c r="R189" s="66">
        <f t="shared" si="152"/>
        <v>6.4543258896457636E-4</v>
      </c>
      <c r="S189" s="66">
        <f t="shared" si="152"/>
        <v>6.2014095802999207E-4</v>
      </c>
      <c r="T189" s="66">
        <f t="shared" si="152"/>
        <v>6.0167803089507602E-4</v>
      </c>
      <c r="U189" s="66">
        <f t="shared" si="152"/>
        <v>5.8382789553537533E-4</v>
      </c>
      <c r="V189" s="66">
        <f t="shared" si="152"/>
        <v>5.6677834660903183E-4</v>
      </c>
      <c r="W189" s="66">
        <f t="shared" si="152"/>
        <v>5.5056693495986707E-4</v>
      </c>
      <c r="X189" s="66">
        <f t="shared" si="152"/>
        <v>5.3511669810702746E-4</v>
      </c>
      <c r="Y189" s="66">
        <f t="shared" si="152"/>
        <v>5.2438262478640869E-4</v>
      </c>
      <c r="Z189" s="66">
        <f t="shared" si="152"/>
        <v>5.1411401479999064E-4</v>
      </c>
      <c r="AA189" s="66">
        <f t="shared" si="152"/>
        <v>5.0418800582566897E-4</v>
      </c>
      <c r="AB189" s="66">
        <f t="shared" si="152"/>
        <v>4.9450555374519305E-4</v>
      </c>
      <c r="AC189" s="66">
        <f t="shared" si="152"/>
        <v>4.8499214495989831E-4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4.727519526221427E-2</v>
      </c>
      <c r="C191" s="67">
        <f t="shared" ref="C191:AC191" si="154">C180+C181+C182+C183+C184+C185+C186+C187+C188+C189+C190</f>
        <v>4.5485695715518734E-2</v>
      </c>
      <c r="D191" s="67">
        <f t="shared" si="154"/>
        <v>4.3695062395772692E-2</v>
      </c>
      <c r="E191" s="67">
        <f t="shared" si="154"/>
        <v>4.2087129126148558E-2</v>
      </c>
      <c r="F191" s="67">
        <f t="shared" si="154"/>
        <v>4.0477031158552931E-2</v>
      </c>
      <c r="G191" s="67">
        <f t="shared" si="154"/>
        <v>3.8863995101170973E-2</v>
      </c>
      <c r="H191" s="67">
        <f t="shared" si="154"/>
        <v>3.7246997306328154E-2</v>
      </c>
      <c r="I191" s="67">
        <f t="shared" si="154"/>
        <v>3.5624705225657409E-2</v>
      </c>
      <c r="J191" s="67">
        <f t="shared" si="154"/>
        <v>3.4894200507280121E-2</v>
      </c>
      <c r="K191" s="67">
        <f t="shared" si="154"/>
        <v>3.415255382012896E-2</v>
      </c>
      <c r="L191" s="67">
        <f t="shared" si="154"/>
        <v>3.3396162576313428E-2</v>
      </c>
      <c r="M191" s="67">
        <f t="shared" si="154"/>
        <v>3.2620820168159648E-2</v>
      </c>
      <c r="N191" s="67">
        <f t="shared" si="154"/>
        <v>3.1822149435334485E-2</v>
      </c>
      <c r="O191" s="67">
        <f t="shared" si="154"/>
        <v>3.0799530368739465E-2</v>
      </c>
      <c r="P191" s="67">
        <f t="shared" si="154"/>
        <v>2.9750701637261449E-2</v>
      </c>
      <c r="Q191" s="67">
        <f t="shared" si="154"/>
        <v>2.8679312151408259E-2</v>
      </c>
      <c r="R191" s="67">
        <f t="shared" si="154"/>
        <v>2.7594557967566054E-2</v>
      </c>
      <c r="S191" s="67">
        <f t="shared" si="154"/>
        <v>2.6510546902160557E-2</v>
      </c>
      <c r="T191" s="67">
        <f t="shared" si="154"/>
        <v>2.5719217257750039E-2</v>
      </c>
      <c r="U191" s="67">
        <f t="shared" si="154"/>
        <v>2.4954152153844729E-2</v>
      </c>
      <c r="V191" s="67">
        <f t="shared" si="154"/>
        <v>2.4223400556838914E-2</v>
      </c>
      <c r="W191" s="67">
        <f t="shared" si="154"/>
        <v>2.3528571913364216E-2</v>
      </c>
      <c r="X191" s="67">
        <f t="shared" si="154"/>
        <v>2.2866367575694865E-2</v>
      </c>
      <c r="Y191" s="67">
        <f t="shared" si="154"/>
        <v>2.2406300200580861E-2</v>
      </c>
      <c r="Z191" s="67">
        <f t="shared" si="154"/>
        <v>2.1966182800465354E-2</v>
      </c>
      <c r="AA191" s="67">
        <f t="shared" si="154"/>
        <v>2.1540749439077599E-2</v>
      </c>
      <c r="AB191" s="67">
        <f t="shared" si="154"/>
        <v>2.112575503944223E-2</v>
      </c>
      <c r="AC191" s="67">
        <f t="shared" si="154"/>
        <v>2.0718005914063236E-2</v>
      </c>
    </row>
    <row r="193" spans="2:2" x14ac:dyDescent="0.25">
      <c r="B193" s="40"/>
    </row>
    <row r="215" spans="1:44" s="3" customFormat="1" ht="21" x14ac:dyDescent="0.35">
      <c r="A215" s="2" t="str">
        <f>'Parameter Input'!A235</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Input'!$L$261</f>
        <v>19500000</v>
      </c>
      <c r="C225" s="42">
        <f>'Parameter Input'!$M$261</f>
        <v>15000000</v>
      </c>
      <c r="D225" s="1" t="s">
        <v>15</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Input'!$L$262</f>
        <v>-975000</v>
      </c>
      <c r="C226" s="61">
        <f>'Parameter Input'!$M$262</f>
        <v>-1500000</v>
      </c>
      <c r="D226" s="1" t="s">
        <v>15</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Input'!$L$268</f>
        <v>0.06</v>
      </c>
      <c r="C229" s="91">
        <f>'Parameter Input'!$M$268</f>
        <v>0.06</v>
      </c>
      <c r="D229" s="1" t="s">
        <v>57</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Input'!$L$264</f>
        <v>488235.29411764705</v>
      </c>
      <c r="C231" s="61">
        <f>'Parameter Input'!$M$264</f>
        <v>488235.29411764705</v>
      </c>
      <c r="D231" s="1" t="s">
        <v>38</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Input'!$L$265</f>
        <v>647</v>
      </c>
      <c r="C233" s="61">
        <f>'Parameter Input'!$M$265</f>
        <v>600</v>
      </c>
      <c r="D233" s="1" t="s">
        <v>60</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Input'!$L$266</f>
        <v>0.46076973995226939</v>
      </c>
      <c r="C234" s="61">
        <f>'Parameter Input'!$M$266</f>
        <v>0.14224714585492179</v>
      </c>
      <c r="D234" s="1" t="s">
        <v>68</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25">
      <c r="A235" s="24" t="s">
        <v>206</v>
      </c>
      <c r="B235" s="115">
        <f>'Parameter Input'!$L$269</f>
        <v>0</v>
      </c>
      <c r="C235" s="116">
        <f>'Parameter Input'!$M$269</f>
        <v>0</v>
      </c>
      <c r="D235" s="1" t="s">
        <v>76</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Input'!$L$263</f>
        <v>25</v>
      </c>
      <c r="C236" s="61">
        <f>'Parameter Input'!$M$263</f>
        <v>25</v>
      </c>
      <c r="D236" s="1" t="s">
        <v>42</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Input'!$L$267</f>
        <v>0.04</v>
      </c>
      <c r="C240" s="46">
        <f>'Parameter Input'!$M$267</f>
        <v>0.04</v>
      </c>
      <c r="D240" s="1" t="s">
        <v>57</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25">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25">
      <c r="A254" s="30" t="str">
        <f t="shared" si="160"/>
        <v>Fuel Cost</v>
      </c>
      <c r="B254" s="62">
        <f>'Parameter Input'!J7</f>
        <v>0.33860978809845654</v>
      </c>
      <c r="C254" s="62">
        <f>'Parameter Input'!K7</f>
        <v>0.32399893120368356</v>
      </c>
      <c r="D254" s="62">
        <f>'Parameter Input'!L7</f>
        <v>0.30938807430891058</v>
      </c>
      <c r="E254" s="62">
        <f>'Parameter Input'!M7</f>
        <v>0.29628478287221349</v>
      </c>
      <c r="F254" s="62">
        <f>'Parameter Input'!N7</f>
        <v>0.28318149143551641</v>
      </c>
      <c r="G254" s="62">
        <f>'Parameter Input'!O7</f>
        <v>0.27007819999881932</v>
      </c>
      <c r="H254" s="62">
        <f>'Parameter Input'!P7</f>
        <v>0.25697490856212224</v>
      </c>
      <c r="I254" s="62">
        <f>'Parameter Input'!Q7</f>
        <v>0.24387161712542507</v>
      </c>
      <c r="J254" s="62">
        <f>'Parameter Input'!R7</f>
        <v>0.23813955720586791</v>
      </c>
      <c r="K254" s="62">
        <f>'Parameter Input'!S7</f>
        <v>0.23240749728631072</v>
      </c>
      <c r="L254" s="62">
        <f>'Parameter Input'!T7</f>
        <v>0.22667543736675355</v>
      </c>
      <c r="M254" s="62">
        <f>'Parameter Input'!U7</f>
        <v>0.22094337744719639</v>
      </c>
      <c r="N254" s="62">
        <f>'Parameter Input'!V7</f>
        <v>0.21521131752763925</v>
      </c>
      <c r="O254" s="62">
        <f>'Parameter Input'!W7</f>
        <v>0.20784400914982837</v>
      </c>
      <c r="P254" s="62">
        <f>'Parameter Input'!X7</f>
        <v>0.20047670077201749</v>
      </c>
      <c r="Q254" s="62">
        <f>'Parameter Input'!Y7</f>
        <v>0.19310939239420657</v>
      </c>
      <c r="R254" s="62">
        <f>'Parameter Input'!Z7</f>
        <v>0.18574208401639569</v>
      </c>
      <c r="S254" s="62">
        <f>'Parameter Input'!AA7</f>
        <v>0.17837477563858489</v>
      </c>
      <c r="T254" s="62">
        <f>'Parameter Input'!AB7</f>
        <v>0.17337343843558548</v>
      </c>
      <c r="U254" s="62">
        <f>'Parameter Input'!AC7</f>
        <v>0.16837210123258603</v>
      </c>
      <c r="V254" s="62">
        <f>'Parameter Input'!AD7</f>
        <v>0.16337076402958661</v>
      </c>
      <c r="W254" s="62">
        <f>'Parameter Input'!AE7</f>
        <v>0.15836942682658722</v>
      </c>
      <c r="X254" s="62">
        <f>'Parameter Input'!AF7</f>
        <v>0.15336808962358783</v>
      </c>
      <c r="Y254" s="62">
        <f>'Parameter Input'!AG7</f>
        <v>0.14990370608596207</v>
      </c>
      <c r="Z254" s="62">
        <f>'Parameter Input'!AH7</f>
        <v>0.1464393225483363</v>
      </c>
      <c r="AA254" s="62">
        <f>'Parameter Input'!AI7</f>
        <v>0.14297493901071057</v>
      </c>
      <c r="AB254" s="62">
        <f>'Parameter Input'!AJ7</f>
        <v>0.1395105554730848</v>
      </c>
      <c r="AC254" s="62">
        <f>'Parameter Input'!AK7</f>
        <v>0.13604617193545901</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25">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26285469.630591996</v>
      </c>
      <c r="C271" s="62">
        <f t="shared" ref="C271:AC271" si="205">C253*C254*C261</f>
        <v>25149527.419603836</v>
      </c>
      <c r="D271" s="62">
        <f t="shared" si="205"/>
        <v>24013026.427812029</v>
      </c>
      <c r="E271" s="62">
        <f t="shared" si="205"/>
        <v>22992768.486719813</v>
      </c>
      <c r="F271" s="62">
        <f t="shared" si="205"/>
        <v>21971464.273263264</v>
      </c>
      <c r="G271" s="62">
        <f t="shared" si="205"/>
        <v>20948761.408737835</v>
      </c>
      <c r="H271" s="62">
        <f t="shared" si="205"/>
        <v>19924204.765138738</v>
      </c>
      <c r="I271" s="62">
        <f t="shared" si="205"/>
        <v>18897219.237472594</v>
      </c>
      <c r="J271" s="62">
        <f t="shared" si="205"/>
        <v>18437814.739738356</v>
      </c>
      <c r="K271" s="62">
        <f t="shared" si="205"/>
        <v>17973136.655273605</v>
      </c>
      <c r="L271" s="62">
        <f t="shared" si="205"/>
        <v>17501539.867179401</v>
      </c>
      <c r="M271" s="62">
        <f t="shared" si="205"/>
        <v>17021138.373211399</v>
      </c>
      <c r="N271" s="62">
        <f t="shared" si="205"/>
        <v>16530027.550970053</v>
      </c>
      <c r="O271" s="62">
        <f t="shared" si="205"/>
        <v>15901638.282675453</v>
      </c>
      <c r="P271" s="62">
        <f t="shared" si="205"/>
        <v>15262042.838920837</v>
      </c>
      <c r="Q271" s="62">
        <f t="shared" si="205"/>
        <v>14613400.991644418</v>
      </c>
      <c r="R271" s="62">
        <f t="shared" si="205"/>
        <v>13960415.671414584</v>
      </c>
      <c r="S271" s="62">
        <f t="shared" si="205"/>
        <v>13309897.450998584</v>
      </c>
      <c r="T271" s="62">
        <f t="shared" si="205"/>
        <v>12844485.029808661</v>
      </c>
      <c r="U271" s="62">
        <f t="shared" si="205"/>
        <v>12392425.520747012</v>
      </c>
      <c r="V271" s="62">
        <f t="shared" si="205"/>
        <v>11957087.499762062</v>
      </c>
      <c r="W271" s="62">
        <f t="shared" si="205"/>
        <v>11538847.268151309</v>
      </c>
      <c r="X271" s="62">
        <f t="shared" si="205"/>
        <v>11135880.406422259</v>
      </c>
      <c r="Y271" s="62">
        <f t="shared" si="205"/>
        <v>10856625.459154911</v>
      </c>
      <c r="Z271" s="62">
        <f t="shared" si="205"/>
        <v>10586366.551824028</v>
      </c>
      <c r="AA271" s="62">
        <f t="shared" si="205"/>
        <v>10322676.250239355</v>
      </c>
      <c r="AB271" s="62">
        <f t="shared" si="205"/>
        <v>10063620.098665668</v>
      </c>
      <c r="AC271" s="62">
        <f t="shared" si="205"/>
        <v>9807756.3674737178</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29598167.578937277</v>
      </c>
      <c r="C273" s="64">
        <f t="shared" ref="C273:AC273" si="207">C264+C265+C266+C267+C268+C269+C270+C271+C272</f>
        <v>28461851.873292547</v>
      </c>
      <c r="D273" s="64">
        <f t="shared" si="207"/>
        <v>27324816.23221878</v>
      </c>
      <c r="E273" s="64">
        <f t="shared" si="207"/>
        <v>26303793.437730502</v>
      </c>
      <c r="F273" s="64">
        <f t="shared" si="207"/>
        <v>25281396.079997703</v>
      </c>
      <c r="G273" s="64">
        <f t="shared" si="207"/>
        <v>24257133.062351786</v>
      </c>
      <c r="H273" s="64">
        <f t="shared" si="207"/>
        <v>23230354.377961658</v>
      </c>
      <c r="I273" s="64">
        <f t="shared" si="207"/>
        <v>22200213.870905776</v>
      </c>
      <c r="J273" s="64">
        <f t="shared" si="207"/>
        <v>21736350.112978298</v>
      </c>
      <c r="K273" s="64">
        <f t="shared" si="207"/>
        <v>21265411.307653964</v>
      </c>
      <c r="L273" s="64">
        <f t="shared" si="207"/>
        <v>20785109.844852883</v>
      </c>
      <c r="M273" s="64">
        <f t="shared" si="207"/>
        <v>20292774.567504287</v>
      </c>
      <c r="N273" s="64">
        <f t="shared" si="207"/>
        <v>19785626.019171949</v>
      </c>
      <c r="O273" s="64">
        <f t="shared" si="207"/>
        <v>19136272.344615601</v>
      </c>
      <c r="P273" s="64">
        <f t="shared" si="207"/>
        <v>18470275.774618883</v>
      </c>
      <c r="Q273" s="64">
        <f t="shared" si="207"/>
        <v>17789953.333696391</v>
      </c>
      <c r="R273" s="64">
        <f t="shared" si="207"/>
        <v>17101144.432828061</v>
      </c>
      <c r="S273" s="64">
        <f t="shared" si="207"/>
        <v>16412807.405312452</v>
      </c>
      <c r="T273" s="64">
        <f t="shared" si="207"/>
        <v>15910320.380408548</v>
      </c>
      <c r="U273" s="64">
        <f t="shared" si="207"/>
        <v>15424511.096458936</v>
      </c>
      <c r="V273" s="64">
        <f t="shared" si="207"/>
        <v>14960490.572879585</v>
      </c>
      <c r="W273" s="64">
        <f t="shared" si="207"/>
        <v>14519280.793435896</v>
      </c>
      <c r="X273" s="64">
        <f t="shared" si="207"/>
        <v>14098787.147249032</v>
      </c>
      <c r="Y273" s="64">
        <f t="shared" si="207"/>
        <v>13806648.607755046</v>
      </c>
      <c r="Z273" s="64">
        <f t="shared" si="207"/>
        <v>13527178.11836472</v>
      </c>
      <c r="AA273" s="64">
        <f t="shared" si="207"/>
        <v>13257031.8581196</v>
      </c>
      <c r="AB273" s="64">
        <f t="shared" si="207"/>
        <v>12993514.242297309</v>
      </c>
      <c r="AC273" s="64">
        <f t="shared" si="207"/>
        <v>12734597.30879675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25">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219.0455802549333</v>
      </c>
      <c r="C283" s="66">
        <f t="shared" ref="C283:AC283" si="216">C253*C254*C261/C261</f>
        <v>209.57939516336529</v>
      </c>
      <c r="D283" s="66">
        <f t="shared" si="216"/>
        <v>200.10855356510024</v>
      </c>
      <c r="E283" s="66">
        <f t="shared" si="216"/>
        <v>191.60640405599844</v>
      </c>
      <c r="F283" s="66">
        <f t="shared" si="216"/>
        <v>183.09553561052721</v>
      </c>
      <c r="G283" s="66">
        <f t="shared" si="216"/>
        <v>174.57301173948196</v>
      </c>
      <c r="H283" s="66">
        <f t="shared" si="216"/>
        <v>166.0350397094895</v>
      </c>
      <c r="I283" s="66">
        <f t="shared" si="216"/>
        <v>157.47682697893828</v>
      </c>
      <c r="J283" s="66">
        <f t="shared" si="216"/>
        <v>153.6484561644863</v>
      </c>
      <c r="K283" s="66">
        <f t="shared" si="216"/>
        <v>149.7761387939467</v>
      </c>
      <c r="L283" s="66">
        <f t="shared" si="216"/>
        <v>145.84616555982834</v>
      </c>
      <c r="M283" s="66">
        <f t="shared" si="216"/>
        <v>141.84281977676164</v>
      </c>
      <c r="N283" s="66">
        <f t="shared" si="216"/>
        <v>137.75022959141711</v>
      </c>
      <c r="O283" s="66">
        <f t="shared" si="216"/>
        <v>132.51365235562878</v>
      </c>
      <c r="P283" s="66">
        <f t="shared" si="216"/>
        <v>127.1836903243403</v>
      </c>
      <c r="Q283" s="66">
        <f t="shared" si="216"/>
        <v>121.77834159703681</v>
      </c>
      <c r="R283" s="66">
        <f t="shared" si="216"/>
        <v>116.33679726178821</v>
      </c>
      <c r="S283" s="66">
        <f t="shared" si="216"/>
        <v>110.91581209165487</v>
      </c>
      <c r="T283" s="66">
        <f t="shared" si="216"/>
        <v>107.03737524840551</v>
      </c>
      <c r="U283" s="66">
        <f t="shared" si="216"/>
        <v>103.27021267289176</v>
      </c>
      <c r="V283" s="66">
        <f t="shared" si="216"/>
        <v>99.642395831350512</v>
      </c>
      <c r="W283" s="66">
        <f t="shared" si="216"/>
        <v>96.157060567927573</v>
      </c>
      <c r="X283" s="66">
        <f t="shared" si="216"/>
        <v>92.799003386852164</v>
      </c>
      <c r="Y283" s="66">
        <f t="shared" si="216"/>
        <v>90.471878826290933</v>
      </c>
      <c r="Z283" s="66">
        <f t="shared" si="216"/>
        <v>88.219721265200235</v>
      </c>
      <c r="AA283" s="66">
        <f t="shared" si="216"/>
        <v>86.022302085327965</v>
      </c>
      <c r="AB283" s="66">
        <f t="shared" si="216"/>
        <v>83.863500822213894</v>
      </c>
      <c r="AC283" s="66">
        <f t="shared" si="216"/>
        <v>81.731303062280986</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246.7817743548311</v>
      </c>
      <c r="C285" s="76">
        <f t="shared" ref="C285:AC285" si="219">C276+C277+C278-C279+C280+C281+C282+C283+C284</f>
        <v>237.31247680779165</v>
      </c>
      <c r="D285" s="76">
        <f t="shared" si="219"/>
        <v>227.83717979884361</v>
      </c>
      <c r="E285" s="76">
        <f t="shared" si="219"/>
        <v>219.3286565114413</v>
      </c>
      <c r="F285" s="76">
        <f t="shared" si="219"/>
        <v>210.80867853033465</v>
      </c>
      <c r="G285" s="76">
        <f t="shared" si="219"/>
        <v>202.27315338328532</v>
      </c>
      <c r="H285" s="76">
        <f t="shared" si="219"/>
        <v>193.71666434670095</v>
      </c>
      <c r="I285" s="76">
        <f t="shared" si="219"/>
        <v>185.13216012123524</v>
      </c>
      <c r="J285" s="76">
        <f t="shared" si="219"/>
        <v>181.26662880517296</v>
      </c>
      <c r="K285" s="76">
        <f t="shared" si="219"/>
        <v>177.34213876080346</v>
      </c>
      <c r="L285" s="76">
        <f t="shared" si="219"/>
        <v>173.33962657079448</v>
      </c>
      <c r="M285" s="76">
        <f t="shared" si="219"/>
        <v>169.2368325928895</v>
      </c>
      <c r="N285" s="76">
        <f t="shared" si="219"/>
        <v>165.01059469012003</v>
      </c>
      <c r="O285" s="76">
        <f t="shared" si="219"/>
        <v>159.59931406881714</v>
      </c>
      <c r="P285" s="76">
        <f t="shared" si="219"/>
        <v>154.04934265217781</v>
      </c>
      <c r="Q285" s="76">
        <f t="shared" si="219"/>
        <v>148.3799889778237</v>
      </c>
      <c r="R285" s="76">
        <f t="shared" si="219"/>
        <v>142.63991480392096</v>
      </c>
      <c r="S285" s="76">
        <f t="shared" si="219"/>
        <v>136.90377290795757</v>
      </c>
      <c r="T285" s="76">
        <f t="shared" si="219"/>
        <v>132.71638103375835</v>
      </c>
      <c r="U285" s="76">
        <f t="shared" si="219"/>
        <v>128.66797033417825</v>
      </c>
      <c r="V285" s="76">
        <f t="shared" si="219"/>
        <v>124.80113263768365</v>
      </c>
      <c r="W285" s="76">
        <f t="shared" si="219"/>
        <v>121.12438447565292</v>
      </c>
      <c r="X285" s="76">
        <f t="shared" si="219"/>
        <v>117.62027075742907</v>
      </c>
      <c r="Y285" s="76">
        <f t="shared" si="219"/>
        <v>115.18578292831251</v>
      </c>
      <c r="Z285" s="76">
        <f t="shared" si="219"/>
        <v>112.85686218339313</v>
      </c>
      <c r="AA285" s="76">
        <f t="shared" si="219"/>
        <v>110.60564334801711</v>
      </c>
      <c r="AB285" s="76">
        <f t="shared" si="219"/>
        <v>108.40966321616469</v>
      </c>
      <c r="AC285" s="76">
        <f t="shared" si="219"/>
        <v>106.25202210366004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25">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2.3179426482003523E-2</v>
      </c>
      <c r="C295" s="66">
        <f t="shared" ref="C295:AC295" si="228">C253*C254*C261/C261/(C258)</f>
        <v>2.2177713773901091E-2</v>
      </c>
      <c r="D295" s="66">
        <f t="shared" si="228"/>
        <v>2.117550831376722E-2</v>
      </c>
      <c r="E295" s="66">
        <f t="shared" si="228"/>
        <v>2.0275809953015707E-2</v>
      </c>
      <c r="F295" s="66">
        <f t="shared" si="228"/>
        <v>1.9375188953494944E-2</v>
      </c>
      <c r="G295" s="66">
        <f t="shared" si="228"/>
        <v>1.8473334575606556E-2</v>
      </c>
      <c r="H295" s="66">
        <f t="shared" si="228"/>
        <v>1.7569845471903649E-2</v>
      </c>
      <c r="I295" s="66">
        <f t="shared" si="228"/>
        <v>1.6664214495125743E-2</v>
      </c>
      <c r="J295" s="66">
        <f t="shared" si="228"/>
        <v>1.6259095890421831E-2</v>
      </c>
      <c r="K295" s="66">
        <f t="shared" si="228"/>
        <v>1.5849326856502297E-2</v>
      </c>
      <c r="L295" s="66">
        <f t="shared" si="228"/>
        <v>1.5433456672997708E-2</v>
      </c>
      <c r="M295" s="66">
        <f t="shared" si="228"/>
        <v>1.5009822198599115E-2</v>
      </c>
      <c r="N295" s="66">
        <f t="shared" si="228"/>
        <v>1.4576743872107631E-2</v>
      </c>
      <c r="O295" s="66">
        <f t="shared" si="228"/>
        <v>1.4022608714881353E-2</v>
      </c>
      <c r="P295" s="66">
        <f t="shared" si="228"/>
        <v>1.3458591568713259E-2</v>
      </c>
      <c r="Q295" s="66">
        <f t="shared" si="228"/>
        <v>1.2886596994395431E-2</v>
      </c>
      <c r="R295" s="66">
        <f t="shared" si="228"/>
        <v>1.2310772197014624E-2</v>
      </c>
      <c r="S295" s="66">
        <f t="shared" si="228"/>
        <v>1.1737122972661891E-2</v>
      </c>
      <c r="T295" s="66">
        <f t="shared" si="228"/>
        <v>1.1326706375492646E-2</v>
      </c>
      <c r="U295" s="66">
        <f t="shared" si="228"/>
        <v>1.0928064833110238E-2</v>
      </c>
      <c r="V295" s="66">
        <f t="shared" si="228"/>
        <v>1.0544168871042382E-2</v>
      </c>
      <c r="W295" s="66">
        <f t="shared" si="228"/>
        <v>1.0175350324648421E-2</v>
      </c>
      <c r="X295" s="66">
        <f t="shared" si="228"/>
        <v>9.820000358397054E-3</v>
      </c>
      <c r="Y295" s="66">
        <f t="shared" si="228"/>
        <v>9.5737437911418977E-3</v>
      </c>
      <c r="Z295" s="66">
        <f t="shared" si="228"/>
        <v>9.3354202397037279E-3</v>
      </c>
      <c r="AA295" s="66">
        <f t="shared" si="228"/>
        <v>9.1028891095585145E-3</v>
      </c>
      <c r="AB295" s="66">
        <f t="shared" si="228"/>
        <v>8.8744445314512064E-3</v>
      </c>
      <c r="AC295" s="66">
        <f t="shared" si="228"/>
        <v>8.648815138865713E-3</v>
      </c>
    </row>
    <row r="296" spans="1:29" x14ac:dyDescent="0.25">
      <c r="A296" s="59" t="str">
        <f>A259</f>
        <v>Market failure (av. utilization)</v>
      </c>
      <c r="B296" s="66">
        <f t="shared" ref="B296:AC296" si="229">B285/B259-B285/B258</f>
        <v>2.4105667824647722E-2</v>
      </c>
      <c r="C296" s="66">
        <f t="shared" si="229"/>
        <v>2.3180705915291002E-2</v>
      </c>
      <c r="D296" s="66">
        <f t="shared" si="229"/>
        <v>2.2255157977909022E-2</v>
      </c>
      <c r="E296" s="66">
        <f t="shared" si="229"/>
        <v>2.1424044592082178E-2</v>
      </c>
      <c r="F296" s="66">
        <f t="shared" si="229"/>
        <v>2.0591812310655395E-2</v>
      </c>
      <c r="G296" s="66">
        <f t="shared" si="229"/>
        <v>1.9758061380540686E-2</v>
      </c>
      <c r="H296" s="66">
        <f t="shared" si="229"/>
        <v>1.8922262695648447E-2</v>
      </c>
      <c r="I296" s="66">
        <f t="shared" si="229"/>
        <v>1.808372748436974E-2</v>
      </c>
      <c r="J296" s="66">
        <f t="shared" si="229"/>
        <v>1.7706142007831303E-2</v>
      </c>
      <c r="K296" s="66">
        <f t="shared" si="229"/>
        <v>1.7322797436952718E-2</v>
      </c>
      <c r="L296" s="66">
        <f t="shared" si="229"/>
        <v>1.6931831655266859E-2</v>
      </c>
      <c r="M296" s="66">
        <f t="shared" si="229"/>
        <v>1.6531070338743781E-2</v>
      </c>
      <c r="N296" s="66">
        <f t="shared" si="229"/>
        <v>1.6118251007581935E-2</v>
      </c>
      <c r="O296" s="66">
        <f t="shared" si="229"/>
        <v>1.5589676587918648E-2</v>
      </c>
      <c r="P296" s="66">
        <f t="shared" si="229"/>
        <v>1.5047554837819568E-2</v>
      </c>
      <c r="Q296" s="66">
        <f t="shared" si="229"/>
        <v>1.4493771817125637E-2</v>
      </c>
      <c r="R296" s="66">
        <f t="shared" si="229"/>
        <v>1.3933080811127809E-2</v>
      </c>
      <c r="S296" s="66">
        <f t="shared" si="229"/>
        <v>1.3372773910423205E-2</v>
      </c>
      <c r="T296" s="66">
        <f t="shared" si="229"/>
        <v>1.2963749063126579E-2</v>
      </c>
      <c r="U296" s="66">
        <f t="shared" si="229"/>
        <v>1.2568299910542442E-2</v>
      </c>
      <c r="V296" s="66">
        <f t="shared" si="229"/>
        <v>1.2190586826635767E-2</v>
      </c>
      <c r="W296" s="66">
        <f t="shared" si="229"/>
        <v>1.1831441707023483E-2</v>
      </c>
      <c r="X296" s="66">
        <f t="shared" si="229"/>
        <v>1.1489159536745208E-2</v>
      </c>
      <c r="Y296" s="66">
        <f t="shared" si="229"/>
        <v>1.1251358527796093E-2</v>
      </c>
      <c r="Z296" s="66">
        <f t="shared" si="229"/>
        <v>1.1023869321943162E-2</v>
      </c>
      <c r="AA296" s="66">
        <f t="shared" si="229"/>
        <v>1.0803970046204356E-2</v>
      </c>
      <c r="AB296" s="66">
        <f t="shared" si="229"/>
        <v>1.058946649242146E-2</v>
      </c>
      <c r="AC296" s="66">
        <f t="shared" si="229"/>
        <v>1.037870789779341E-2</v>
      </c>
    </row>
    <row r="297" spans="1:29" x14ac:dyDescent="0.25">
      <c r="A297" s="59" t="str">
        <f>A260</f>
        <v>Payload loss (fuel)</v>
      </c>
      <c r="B297" s="66">
        <f>B285/(B258-B260)-B285/B258</f>
        <v>1.0881030615292366E-3</v>
      </c>
      <c r="C297" s="66">
        <f t="shared" ref="C297:AC297" si="230">C285/(C258-C260)-C285/C258</f>
        <v>1.0463513086763285E-3</v>
      </c>
      <c r="D297" s="66">
        <f t="shared" si="230"/>
        <v>1.0045731031695058E-3</v>
      </c>
      <c r="E297" s="66">
        <f t="shared" si="230"/>
        <v>9.6705756839259721E-4</v>
      </c>
      <c r="F297" s="66">
        <f t="shared" si="230"/>
        <v>9.2949152791152803E-4</v>
      </c>
      <c r="G297" s="66">
        <f t="shared" si="230"/>
        <v>8.9185693731607188E-4</v>
      </c>
      <c r="H297" s="66">
        <f t="shared" si="230"/>
        <v>8.5412991334524527E-4</v>
      </c>
      <c r="I297" s="66">
        <f t="shared" si="230"/>
        <v>8.1627936561391029E-4</v>
      </c>
      <c r="J297" s="66">
        <f t="shared" si="230"/>
        <v>7.9923557674238532E-4</v>
      </c>
      <c r="K297" s="66">
        <f t="shared" si="230"/>
        <v>7.8193182875133799E-4</v>
      </c>
      <c r="L297" s="66">
        <f t="shared" si="230"/>
        <v>7.6428406777246174E-4</v>
      </c>
      <c r="M297" s="66">
        <f t="shared" si="230"/>
        <v>7.4619414723496244E-4</v>
      </c>
      <c r="N297" s="66">
        <f t="shared" si="230"/>
        <v>7.2755994131446303E-4</v>
      </c>
      <c r="O297" s="66">
        <f t="shared" si="230"/>
        <v>7.0370067931577532E-4</v>
      </c>
      <c r="P297" s="66">
        <f t="shared" si="230"/>
        <v>6.79229905873803E-4</v>
      </c>
      <c r="Q297" s="66">
        <f t="shared" si="230"/>
        <v>6.5423275563414318E-4</v>
      </c>
      <c r="R297" s="66">
        <f t="shared" si="230"/>
        <v>6.2892378661340807E-4</v>
      </c>
      <c r="S297" s="66">
        <f t="shared" si="230"/>
        <v>6.0363215567882551E-4</v>
      </c>
      <c r="T297" s="66">
        <f t="shared" si="230"/>
        <v>5.8516922854390772E-4</v>
      </c>
      <c r="U297" s="66">
        <f t="shared" si="230"/>
        <v>5.6731909318420704E-4</v>
      </c>
      <c r="V297" s="66">
        <f t="shared" si="230"/>
        <v>5.5026954425786527E-4</v>
      </c>
      <c r="W297" s="66">
        <f t="shared" si="230"/>
        <v>5.3405813260869878E-4</v>
      </c>
      <c r="X297" s="66">
        <f t="shared" si="230"/>
        <v>5.1860789575585917E-4</v>
      </c>
      <c r="Y297" s="66">
        <f t="shared" si="230"/>
        <v>5.078738224352404E-4</v>
      </c>
      <c r="Z297" s="66">
        <f t="shared" si="230"/>
        <v>4.9760521244882235E-4</v>
      </c>
      <c r="AA297" s="66">
        <f t="shared" si="230"/>
        <v>4.8767920347450242E-4</v>
      </c>
      <c r="AB297" s="66">
        <f t="shared" si="230"/>
        <v>4.7799675139402475E-4</v>
      </c>
      <c r="AC297" s="66">
        <f t="shared" si="230"/>
        <v>4.6848334260873002E-4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5.1294447763546691E-2</v>
      </c>
      <c r="C299" s="67">
        <f t="shared" ref="C299:AC299" si="232">C288+C289+C290+C291+C292+C293+C294+C295+C296+C297+C298</f>
        <v>4.9325692032867283E-2</v>
      </c>
      <c r="D299" s="67">
        <f t="shared" si="232"/>
        <v>4.7355688957814668E-2</v>
      </c>
      <c r="E299" s="67">
        <f t="shared" si="232"/>
        <v>4.5586687202565167E-2</v>
      </c>
      <c r="F299" s="67">
        <f t="shared" si="232"/>
        <v>4.3815303909111633E-2</v>
      </c>
      <c r="G299" s="67">
        <f t="shared" si="232"/>
        <v>4.2040688214110541E-2</v>
      </c>
      <c r="H299" s="67">
        <f t="shared" si="232"/>
        <v>4.026171392994754E-2</v>
      </c>
      <c r="I299" s="67">
        <f t="shared" si="232"/>
        <v>3.8476915025385562E-2</v>
      </c>
      <c r="J299" s="67">
        <f t="shared" si="232"/>
        <v>3.7673234827058963E-2</v>
      </c>
      <c r="K299" s="67">
        <f t="shared" si="232"/>
        <v>3.6857296556404198E-2</v>
      </c>
      <c r="L299" s="67">
        <f t="shared" si="232"/>
        <v>3.6025136750246448E-2</v>
      </c>
      <c r="M299" s="67">
        <f t="shared" si="232"/>
        <v>3.5172127420285873E-2</v>
      </c>
      <c r="N299" s="67">
        <f t="shared" si="232"/>
        <v>3.4293452941111524E-2</v>
      </c>
      <c r="O299" s="67">
        <f t="shared" si="232"/>
        <v>3.3168396971480982E-2</v>
      </c>
      <c r="P299" s="67">
        <f t="shared" si="232"/>
        <v>3.2014505885332598E-2</v>
      </c>
      <c r="Q299" s="67">
        <f t="shared" si="232"/>
        <v>3.0835794108647251E-2</v>
      </c>
      <c r="R299" s="67">
        <f t="shared" si="232"/>
        <v>2.9642378877131045E-2</v>
      </c>
      <c r="S299" s="67">
        <f t="shared" si="232"/>
        <v>2.8449781203061866E-2</v>
      </c>
      <c r="T299" s="67">
        <f t="shared" si="232"/>
        <v>2.7579183177392309E-2</v>
      </c>
      <c r="U299" s="67">
        <f t="shared" si="232"/>
        <v>2.6737480640815658E-2</v>
      </c>
      <c r="V299" s="67">
        <f t="shared" si="232"/>
        <v>2.5933528833750406E-2</v>
      </c>
      <c r="W299" s="67">
        <f t="shared" si="232"/>
        <v>2.5169098422908986E-2</v>
      </c>
      <c r="X299" s="67">
        <f t="shared" si="232"/>
        <v>2.4440560331309737E-2</v>
      </c>
      <c r="Y299" s="67">
        <f t="shared" si="232"/>
        <v>2.3934407489345128E-2</v>
      </c>
      <c r="Z299" s="67">
        <f t="shared" si="232"/>
        <v>2.3450203033831774E-2</v>
      </c>
      <c r="AA299" s="67">
        <f t="shared" si="232"/>
        <v>2.298215353373494E-2</v>
      </c>
      <c r="AB299" s="67">
        <f t="shared" si="232"/>
        <v>2.2525588677940096E-2</v>
      </c>
      <c r="AC299" s="67">
        <f t="shared" si="232"/>
        <v>2.20769948636797E-2</v>
      </c>
    </row>
    <row r="301" spans="1:29" x14ac:dyDescent="0.25">
      <c r="B301" s="40"/>
    </row>
    <row r="324" spans="1:44" s="3" customFormat="1" ht="21" x14ac:dyDescent="0.35">
      <c r="A324" s="2" t="str">
        <f>'Parameter Input'!A248</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Input'!$L$261</f>
        <v>19500000</v>
      </c>
      <c r="C334" s="42">
        <f>'Parameter Input'!$M$261</f>
        <v>15000000</v>
      </c>
      <c r="D334" s="1" t="s">
        <v>15</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Input'!$L$262</f>
        <v>-975000</v>
      </c>
      <c r="C335" s="61">
        <f>'Parameter Input'!$M$262</f>
        <v>-1500000</v>
      </c>
      <c r="D335" s="1" t="s">
        <v>15</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Input'!$L$268</f>
        <v>0.06</v>
      </c>
      <c r="C338" s="91">
        <f>'Parameter Input'!$M$268</f>
        <v>0.06</v>
      </c>
      <c r="D338" s="1" t="s">
        <v>57</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Input'!$L$264</f>
        <v>488235.29411764705</v>
      </c>
      <c r="C340" s="61">
        <f>'Parameter Input'!$M$264</f>
        <v>488235.29411764705</v>
      </c>
      <c r="D340" s="1" t="s">
        <v>38</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Input'!$L$265</f>
        <v>647</v>
      </c>
      <c r="C342" s="61">
        <f>'Parameter Input'!$M$265</f>
        <v>600</v>
      </c>
      <c r="D342" s="1" t="s">
        <v>60</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Input'!$L$266</f>
        <v>0.46076973995226939</v>
      </c>
      <c r="C343" s="61">
        <f>'Parameter Input'!$M$266</f>
        <v>0.14224714585492179</v>
      </c>
      <c r="D343" s="1" t="s">
        <v>68</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25">
      <c r="A344" s="24" t="s">
        <v>206</v>
      </c>
      <c r="B344" s="115">
        <f>'Parameter Input'!$L$269</f>
        <v>0</v>
      </c>
      <c r="C344" s="116">
        <f>'Parameter Input'!$M$269</f>
        <v>0</v>
      </c>
      <c r="D344" s="1" t="s">
        <v>76</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Input'!$L$263</f>
        <v>25</v>
      </c>
      <c r="C345" s="61">
        <f>'Parameter Input'!$M$263</f>
        <v>25</v>
      </c>
      <c r="D345" s="1" t="s">
        <v>42</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Input'!$L$267</f>
        <v>0.04</v>
      </c>
      <c r="C349" s="46">
        <f>'Parameter Input'!$M$267</f>
        <v>0.04</v>
      </c>
      <c r="D349" s="1" t="s">
        <v>57</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25">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25">
      <c r="A363" s="30" t="str">
        <f t="shared" si="238"/>
        <v>Fuel Cost</v>
      </c>
      <c r="B363" s="62">
        <f>'Parameter Input'!J7</f>
        <v>0.33860978809845654</v>
      </c>
      <c r="C363" s="62">
        <f>'Parameter Input'!K7</f>
        <v>0.32399893120368356</v>
      </c>
      <c r="D363" s="62">
        <f>'Parameter Input'!L7</f>
        <v>0.30938807430891058</v>
      </c>
      <c r="E363" s="62">
        <f>'Parameter Input'!M7</f>
        <v>0.29628478287221349</v>
      </c>
      <c r="F363" s="62">
        <f>'Parameter Input'!N7</f>
        <v>0.28318149143551641</v>
      </c>
      <c r="G363" s="62">
        <f>'Parameter Input'!O7</f>
        <v>0.27007819999881932</v>
      </c>
      <c r="H363" s="62">
        <f>'Parameter Input'!P7</f>
        <v>0.25697490856212224</v>
      </c>
      <c r="I363" s="62">
        <f>'Parameter Input'!Q7</f>
        <v>0.24387161712542507</v>
      </c>
      <c r="J363" s="62">
        <f>'Parameter Input'!R7</f>
        <v>0.23813955720586791</v>
      </c>
      <c r="K363" s="62">
        <f>'Parameter Input'!S7</f>
        <v>0.23240749728631072</v>
      </c>
      <c r="L363" s="62">
        <f>'Parameter Input'!T7</f>
        <v>0.22667543736675355</v>
      </c>
      <c r="M363" s="62">
        <f>'Parameter Input'!U7</f>
        <v>0.22094337744719639</v>
      </c>
      <c r="N363" s="62">
        <f>'Parameter Input'!V7</f>
        <v>0.21521131752763925</v>
      </c>
      <c r="O363" s="62">
        <f>'Parameter Input'!W7</f>
        <v>0.20784400914982837</v>
      </c>
      <c r="P363" s="62">
        <f>'Parameter Input'!X7</f>
        <v>0.20047670077201749</v>
      </c>
      <c r="Q363" s="62">
        <f>'Parameter Input'!Y7</f>
        <v>0.19310939239420657</v>
      </c>
      <c r="R363" s="62">
        <f>'Parameter Input'!Z7</f>
        <v>0.18574208401639569</v>
      </c>
      <c r="S363" s="62">
        <f>'Parameter Input'!AA7</f>
        <v>0.17837477563858489</v>
      </c>
      <c r="T363" s="62">
        <f>'Parameter Input'!AB7</f>
        <v>0.17337343843558548</v>
      </c>
      <c r="U363" s="62">
        <f>'Parameter Input'!AC7</f>
        <v>0.16837210123258603</v>
      </c>
      <c r="V363" s="62">
        <f>'Parameter Input'!AD7</f>
        <v>0.16337076402958661</v>
      </c>
      <c r="W363" s="62">
        <f>'Parameter Input'!AE7</f>
        <v>0.15836942682658722</v>
      </c>
      <c r="X363" s="62">
        <f>'Parameter Input'!AF7</f>
        <v>0.15336808962358783</v>
      </c>
      <c r="Y363" s="62">
        <f>'Parameter Input'!AG7</f>
        <v>0.14990370608596207</v>
      </c>
      <c r="Z363" s="62">
        <f>'Parameter Input'!AH7</f>
        <v>0.1464393225483363</v>
      </c>
      <c r="AA363" s="62">
        <f>'Parameter Input'!AI7</f>
        <v>0.14297493901071057</v>
      </c>
      <c r="AB363" s="62">
        <f>'Parameter Input'!AJ7</f>
        <v>0.1395105554730848</v>
      </c>
      <c r="AC363" s="62">
        <f>'Parameter Input'!AK7</f>
        <v>0.13604617193545901</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25">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26285469.630591996</v>
      </c>
      <c r="C380" s="62">
        <f t="shared" ref="C380:AC380" si="283">C362*C363*C370</f>
        <v>25149527.419603836</v>
      </c>
      <c r="D380" s="62">
        <f t="shared" si="283"/>
        <v>24013026.427812029</v>
      </c>
      <c r="E380" s="62">
        <f t="shared" si="283"/>
        <v>22992768.486719813</v>
      </c>
      <c r="F380" s="62">
        <f t="shared" si="283"/>
        <v>21971464.273263264</v>
      </c>
      <c r="G380" s="62">
        <f t="shared" si="283"/>
        <v>20948761.408737835</v>
      </c>
      <c r="H380" s="62">
        <f t="shared" si="283"/>
        <v>19924204.765138738</v>
      </c>
      <c r="I380" s="62">
        <f t="shared" si="283"/>
        <v>18897219.237472594</v>
      </c>
      <c r="J380" s="62">
        <f t="shared" si="283"/>
        <v>18437814.739738356</v>
      </c>
      <c r="K380" s="62">
        <f t="shared" si="283"/>
        <v>17973136.655273605</v>
      </c>
      <c r="L380" s="62">
        <f t="shared" si="283"/>
        <v>17501539.867179401</v>
      </c>
      <c r="M380" s="62">
        <f t="shared" si="283"/>
        <v>17021138.373211399</v>
      </c>
      <c r="N380" s="62">
        <f t="shared" si="283"/>
        <v>16530027.550970053</v>
      </c>
      <c r="O380" s="62">
        <f t="shared" si="283"/>
        <v>15901638.282675453</v>
      </c>
      <c r="P380" s="62">
        <f t="shared" si="283"/>
        <v>15262042.838920837</v>
      </c>
      <c r="Q380" s="62">
        <f t="shared" si="283"/>
        <v>14613400.991644418</v>
      </c>
      <c r="R380" s="62">
        <f t="shared" si="283"/>
        <v>13960415.671414584</v>
      </c>
      <c r="S380" s="62">
        <f t="shared" si="283"/>
        <v>13309897.450998584</v>
      </c>
      <c r="T380" s="62">
        <f t="shared" si="283"/>
        <v>12844485.029808661</v>
      </c>
      <c r="U380" s="62">
        <f t="shared" si="283"/>
        <v>12392425.520747012</v>
      </c>
      <c r="V380" s="62">
        <f t="shared" si="283"/>
        <v>11957087.499762062</v>
      </c>
      <c r="W380" s="62">
        <f t="shared" si="283"/>
        <v>11538847.268151309</v>
      </c>
      <c r="X380" s="62">
        <f t="shared" si="283"/>
        <v>11135880.406422259</v>
      </c>
      <c r="Y380" s="62">
        <f t="shared" si="283"/>
        <v>10856625.459154911</v>
      </c>
      <c r="Z380" s="62">
        <f t="shared" si="283"/>
        <v>10586366.551824028</v>
      </c>
      <c r="AA380" s="62">
        <f t="shared" si="283"/>
        <v>10322676.250239355</v>
      </c>
      <c r="AB380" s="62">
        <f t="shared" si="283"/>
        <v>10063620.098665668</v>
      </c>
      <c r="AC380" s="62">
        <f t="shared" si="283"/>
        <v>9807756.3674737178</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29598167.578937277</v>
      </c>
      <c r="C382" s="64">
        <f t="shared" ref="C382:AC382" si="285">C373+C374+C375+C376+C377+C378+C379+C380+C381</f>
        <v>28461851.873292547</v>
      </c>
      <c r="D382" s="64">
        <f t="shared" si="285"/>
        <v>27324816.23221878</v>
      </c>
      <c r="E382" s="64">
        <f t="shared" si="285"/>
        <v>26303793.437730502</v>
      </c>
      <c r="F382" s="64">
        <f t="shared" si="285"/>
        <v>25281396.079997703</v>
      </c>
      <c r="G382" s="64">
        <f t="shared" si="285"/>
        <v>24257133.062351786</v>
      </c>
      <c r="H382" s="64">
        <f t="shared" si="285"/>
        <v>23230354.377961658</v>
      </c>
      <c r="I382" s="64">
        <f t="shared" si="285"/>
        <v>22200213.870905776</v>
      </c>
      <c r="J382" s="64">
        <f t="shared" si="285"/>
        <v>21736350.112978298</v>
      </c>
      <c r="K382" s="64">
        <f t="shared" si="285"/>
        <v>21265411.307653964</v>
      </c>
      <c r="L382" s="64">
        <f t="shared" si="285"/>
        <v>20785109.844852883</v>
      </c>
      <c r="M382" s="64">
        <f t="shared" si="285"/>
        <v>20292774.567504287</v>
      </c>
      <c r="N382" s="64">
        <f t="shared" si="285"/>
        <v>19785626.019171949</v>
      </c>
      <c r="O382" s="64">
        <f t="shared" si="285"/>
        <v>19136272.344615601</v>
      </c>
      <c r="P382" s="64">
        <f t="shared" si="285"/>
        <v>18470275.774618883</v>
      </c>
      <c r="Q382" s="64">
        <f t="shared" si="285"/>
        <v>17789953.333696391</v>
      </c>
      <c r="R382" s="64">
        <f t="shared" si="285"/>
        <v>17101144.432828061</v>
      </c>
      <c r="S382" s="64">
        <f t="shared" si="285"/>
        <v>16412807.405312452</v>
      </c>
      <c r="T382" s="64">
        <f t="shared" si="285"/>
        <v>15910320.380408548</v>
      </c>
      <c r="U382" s="64">
        <f t="shared" si="285"/>
        <v>15424511.096458936</v>
      </c>
      <c r="V382" s="64">
        <f t="shared" si="285"/>
        <v>14960490.572879585</v>
      </c>
      <c r="W382" s="64">
        <f t="shared" si="285"/>
        <v>14519280.793435896</v>
      </c>
      <c r="X382" s="64">
        <f t="shared" si="285"/>
        <v>14098787.147249032</v>
      </c>
      <c r="Y382" s="64">
        <f t="shared" si="285"/>
        <v>13806648.607755046</v>
      </c>
      <c r="Z382" s="64">
        <f t="shared" si="285"/>
        <v>13527178.11836472</v>
      </c>
      <c r="AA382" s="64">
        <f t="shared" si="285"/>
        <v>13257031.8581196</v>
      </c>
      <c r="AB382" s="64">
        <f t="shared" si="285"/>
        <v>12993514.242297309</v>
      </c>
      <c r="AC382" s="64">
        <f t="shared" si="285"/>
        <v>12734597.30879675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25">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219.0455802549333</v>
      </c>
      <c r="C392" s="66">
        <f t="shared" ref="C392:AC392" si="294">C362*C363*C370/C370</f>
        <v>209.57939516336529</v>
      </c>
      <c r="D392" s="66">
        <f t="shared" si="294"/>
        <v>200.10855356510024</v>
      </c>
      <c r="E392" s="66">
        <f t="shared" si="294"/>
        <v>191.60640405599844</v>
      </c>
      <c r="F392" s="66">
        <f t="shared" si="294"/>
        <v>183.09553561052721</v>
      </c>
      <c r="G392" s="66">
        <f t="shared" si="294"/>
        <v>174.57301173948196</v>
      </c>
      <c r="H392" s="66">
        <f t="shared" si="294"/>
        <v>166.0350397094895</v>
      </c>
      <c r="I392" s="66">
        <f t="shared" si="294"/>
        <v>157.47682697893828</v>
      </c>
      <c r="J392" s="66">
        <f t="shared" si="294"/>
        <v>153.6484561644863</v>
      </c>
      <c r="K392" s="66">
        <f t="shared" si="294"/>
        <v>149.7761387939467</v>
      </c>
      <c r="L392" s="66">
        <f t="shared" si="294"/>
        <v>145.84616555982834</v>
      </c>
      <c r="M392" s="66">
        <f t="shared" si="294"/>
        <v>141.84281977676164</v>
      </c>
      <c r="N392" s="66">
        <f t="shared" si="294"/>
        <v>137.75022959141711</v>
      </c>
      <c r="O392" s="66">
        <f t="shared" si="294"/>
        <v>132.51365235562878</v>
      </c>
      <c r="P392" s="66">
        <f t="shared" si="294"/>
        <v>127.1836903243403</v>
      </c>
      <c r="Q392" s="66">
        <f t="shared" si="294"/>
        <v>121.77834159703681</v>
      </c>
      <c r="R392" s="66">
        <f t="shared" si="294"/>
        <v>116.33679726178821</v>
      </c>
      <c r="S392" s="66">
        <f t="shared" si="294"/>
        <v>110.91581209165487</v>
      </c>
      <c r="T392" s="66">
        <f t="shared" si="294"/>
        <v>107.03737524840551</v>
      </c>
      <c r="U392" s="66">
        <f t="shared" si="294"/>
        <v>103.27021267289176</v>
      </c>
      <c r="V392" s="66">
        <f t="shared" si="294"/>
        <v>99.642395831350512</v>
      </c>
      <c r="W392" s="66">
        <f t="shared" si="294"/>
        <v>96.157060567927573</v>
      </c>
      <c r="X392" s="66">
        <f t="shared" si="294"/>
        <v>92.799003386852164</v>
      </c>
      <c r="Y392" s="66">
        <f t="shared" si="294"/>
        <v>90.471878826290933</v>
      </c>
      <c r="Z392" s="66">
        <f t="shared" si="294"/>
        <v>88.219721265200235</v>
      </c>
      <c r="AA392" s="66">
        <f t="shared" si="294"/>
        <v>86.022302085327965</v>
      </c>
      <c r="AB392" s="66">
        <f t="shared" si="294"/>
        <v>83.863500822213894</v>
      </c>
      <c r="AC392" s="66">
        <f t="shared" si="294"/>
        <v>81.731303062280986</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246.7817743548311</v>
      </c>
      <c r="C394" s="76">
        <f t="shared" ref="C394:AC394" si="297">C385+C386+C387-C388+C389+C390+C391+C392+C393</f>
        <v>237.31247680779165</v>
      </c>
      <c r="D394" s="76">
        <f t="shared" si="297"/>
        <v>227.83717979884361</v>
      </c>
      <c r="E394" s="76">
        <f t="shared" si="297"/>
        <v>219.3286565114413</v>
      </c>
      <c r="F394" s="76">
        <f t="shared" si="297"/>
        <v>210.80867853033465</v>
      </c>
      <c r="G394" s="76">
        <f t="shared" si="297"/>
        <v>202.27315338328532</v>
      </c>
      <c r="H394" s="76">
        <f t="shared" si="297"/>
        <v>193.71666434670095</v>
      </c>
      <c r="I394" s="76">
        <f t="shared" si="297"/>
        <v>185.13216012123524</v>
      </c>
      <c r="J394" s="76">
        <f t="shared" si="297"/>
        <v>181.26662880517296</v>
      </c>
      <c r="K394" s="76">
        <f t="shared" si="297"/>
        <v>177.34213876080346</v>
      </c>
      <c r="L394" s="76">
        <f t="shared" si="297"/>
        <v>173.33962657079448</v>
      </c>
      <c r="M394" s="76">
        <f t="shared" si="297"/>
        <v>169.2368325928895</v>
      </c>
      <c r="N394" s="76">
        <f t="shared" si="297"/>
        <v>165.01059469012003</v>
      </c>
      <c r="O394" s="76">
        <f t="shared" si="297"/>
        <v>159.59931406881714</v>
      </c>
      <c r="P394" s="76">
        <f t="shared" si="297"/>
        <v>154.04934265217781</v>
      </c>
      <c r="Q394" s="76">
        <f t="shared" si="297"/>
        <v>148.3799889778237</v>
      </c>
      <c r="R394" s="76">
        <f t="shared" si="297"/>
        <v>142.63991480392096</v>
      </c>
      <c r="S394" s="76">
        <f t="shared" si="297"/>
        <v>136.90377290795757</v>
      </c>
      <c r="T394" s="76">
        <f t="shared" si="297"/>
        <v>132.71638103375835</v>
      </c>
      <c r="U394" s="76">
        <f t="shared" si="297"/>
        <v>128.66797033417825</v>
      </c>
      <c r="V394" s="76">
        <f t="shared" si="297"/>
        <v>124.80113263768365</v>
      </c>
      <c r="W394" s="76">
        <f t="shared" si="297"/>
        <v>121.12438447565292</v>
      </c>
      <c r="X394" s="76">
        <f t="shared" si="297"/>
        <v>117.62027075742907</v>
      </c>
      <c r="Y394" s="76">
        <f t="shared" si="297"/>
        <v>115.18578292831251</v>
      </c>
      <c r="Z394" s="76">
        <f t="shared" si="297"/>
        <v>112.85686218339313</v>
      </c>
      <c r="AA394" s="76">
        <f t="shared" si="297"/>
        <v>110.60564334801711</v>
      </c>
      <c r="AB394" s="76">
        <f t="shared" si="297"/>
        <v>108.40966321616469</v>
      </c>
      <c r="AC394" s="76">
        <f t="shared" si="297"/>
        <v>106.25202210366004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25">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2.3179426482003523E-2</v>
      </c>
      <c r="C404" s="66">
        <f t="shared" ref="C404:AC404" si="306">C362*C363*C370/C370/(C367)</f>
        <v>2.2177713773901091E-2</v>
      </c>
      <c r="D404" s="66">
        <f t="shared" si="306"/>
        <v>2.117550831376722E-2</v>
      </c>
      <c r="E404" s="66">
        <f t="shared" si="306"/>
        <v>2.0275809953015707E-2</v>
      </c>
      <c r="F404" s="66">
        <f t="shared" si="306"/>
        <v>1.9375188953494944E-2</v>
      </c>
      <c r="G404" s="66">
        <f t="shared" si="306"/>
        <v>1.8473334575606556E-2</v>
      </c>
      <c r="H404" s="66">
        <f t="shared" si="306"/>
        <v>1.7569845471903649E-2</v>
      </c>
      <c r="I404" s="66">
        <f t="shared" si="306"/>
        <v>1.6664214495125743E-2</v>
      </c>
      <c r="J404" s="66">
        <f t="shared" si="306"/>
        <v>1.6259095890421831E-2</v>
      </c>
      <c r="K404" s="66">
        <f t="shared" si="306"/>
        <v>1.5849326856502297E-2</v>
      </c>
      <c r="L404" s="66">
        <f t="shared" si="306"/>
        <v>1.5433456672997708E-2</v>
      </c>
      <c r="M404" s="66">
        <f t="shared" si="306"/>
        <v>1.5009822198599115E-2</v>
      </c>
      <c r="N404" s="66">
        <f t="shared" si="306"/>
        <v>1.4576743872107631E-2</v>
      </c>
      <c r="O404" s="66">
        <f t="shared" si="306"/>
        <v>1.4022608714881353E-2</v>
      </c>
      <c r="P404" s="66">
        <f t="shared" si="306"/>
        <v>1.3458591568713259E-2</v>
      </c>
      <c r="Q404" s="66">
        <f t="shared" si="306"/>
        <v>1.2886596994395431E-2</v>
      </c>
      <c r="R404" s="66">
        <f t="shared" si="306"/>
        <v>1.2310772197014624E-2</v>
      </c>
      <c r="S404" s="66">
        <f t="shared" si="306"/>
        <v>1.1737122972661891E-2</v>
      </c>
      <c r="T404" s="66">
        <f t="shared" si="306"/>
        <v>1.1326706375492646E-2</v>
      </c>
      <c r="U404" s="66">
        <f t="shared" si="306"/>
        <v>1.0928064833110238E-2</v>
      </c>
      <c r="V404" s="66">
        <f t="shared" si="306"/>
        <v>1.0544168871042382E-2</v>
      </c>
      <c r="W404" s="66">
        <f t="shared" si="306"/>
        <v>1.0175350324648421E-2</v>
      </c>
      <c r="X404" s="66">
        <f t="shared" si="306"/>
        <v>9.820000358397054E-3</v>
      </c>
      <c r="Y404" s="66">
        <f t="shared" si="306"/>
        <v>9.5737437911418977E-3</v>
      </c>
      <c r="Z404" s="66">
        <f t="shared" si="306"/>
        <v>9.3354202397037279E-3</v>
      </c>
      <c r="AA404" s="66">
        <f t="shared" si="306"/>
        <v>9.1028891095585145E-3</v>
      </c>
      <c r="AB404" s="66">
        <f t="shared" si="306"/>
        <v>8.8744445314512064E-3</v>
      </c>
      <c r="AC404" s="66">
        <f t="shared" si="306"/>
        <v>8.648815138865713E-3</v>
      </c>
    </row>
    <row r="405" spans="1:29" x14ac:dyDescent="0.25">
      <c r="A405" s="59" t="str">
        <f>A368</f>
        <v>Market failure (av. utilization)</v>
      </c>
      <c r="B405" s="66">
        <f t="shared" ref="B405:AC405" si="307">B394/B368-B394/B367</f>
        <v>1.2289163989036088E-2</v>
      </c>
      <c r="C405" s="66">
        <f t="shared" si="307"/>
        <v>1.1817614780344429E-2</v>
      </c>
      <c r="D405" s="66">
        <f t="shared" si="307"/>
        <v>1.1345766812267337E-2</v>
      </c>
      <c r="E405" s="66">
        <f t="shared" si="307"/>
        <v>1.0922061948904632E-2</v>
      </c>
      <c r="F405" s="66">
        <f t="shared" si="307"/>
        <v>1.0497786668177255E-2</v>
      </c>
      <c r="G405" s="66">
        <f t="shared" si="307"/>
        <v>1.0072737174393286E-2</v>
      </c>
      <c r="H405" s="66">
        <f t="shared" si="307"/>
        <v>9.6466437271933228E-3</v>
      </c>
      <c r="I405" s="66">
        <f t="shared" si="307"/>
        <v>9.219155188110062E-3</v>
      </c>
      <c r="J405" s="66">
        <f t="shared" si="307"/>
        <v>9.0266606314434034E-3</v>
      </c>
      <c r="K405" s="66">
        <f t="shared" si="307"/>
        <v>8.8312300658974635E-3</v>
      </c>
      <c r="L405" s="66">
        <f t="shared" si="307"/>
        <v>8.6319141771948639E-3</v>
      </c>
      <c r="M405" s="66">
        <f t="shared" si="307"/>
        <v>8.4276044864183934E-3</v>
      </c>
      <c r="N405" s="66">
        <f t="shared" si="307"/>
        <v>8.2171475724927487E-3</v>
      </c>
      <c r="O405" s="66">
        <f t="shared" si="307"/>
        <v>7.9476782605075423E-3</v>
      </c>
      <c r="P405" s="66">
        <f t="shared" si="307"/>
        <v>7.6713024663393851E-3</v>
      </c>
      <c r="Q405" s="66">
        <f t="shared" si="307"/>
        <v>7.388981710691498E-3</v>
      </c>
      <c r="R405" s="66">
        <f t="shared" si="307"/>
        <v>7.103139237045546E-3</v>
      </c>
      <c r="S405" s="66">
        <f t="shared" si="307"/>
        <v>6.8174925817843773E-3</v>
      </c>
      <c r="T405" s="66">
        <f t="shared" si="307"/>
        <v>6.6089701106135466E-3</v>
      </c>
      <c r="U405" s="66">
        <f t="shared" si="307"/>
        <v>6.4073685818451624E-3</v>
      </c>
      <c r="V405" s="66">
        <f t="shared" si="307"/>
        <v>6.2148089704417604E-3</v>
      </c>
      <c r="W405" s="66">
        <f t="shared" si="307"/>
        <v>6.031715380051185E-3</v>
      </c>
      <c r="X405" s="66">
        <f t="shared" si="307"/>
        <v>5.8572185873602984E-3</v>
      </c>
      <c r="Y405" s="66">
        <f t="shared" si="307"/>
        <v>5.7359867004450633E-3</v>
      </c>
      <c r="Z405" s="66">
        <f t="shared" si="307"/>
        <v>5.6200118111867092E-3</v>
      </c>
      <c r="AA405" s="66">
        <f t="shared" si="307"/>
        <v>5.507906298064965E-3</v>
      </c>
      <c r="AB405" s="66">
        <f t="shared" si="307"/>
        <v>5.3985515451560363E-3</v>
      </c>
      <c r="AC405" s="66">
        <f t="shared" si="307"/>
        <v>5.291105987110363E-3</v>
      </c>
    </row>
    <row r="406" spans="1:29" x14ac:dyDescent="0.25">
      <c r="A406" s="59" t="str">
        <f>A369</f>
        <v>Payload loss (fuel)</v>
      </c>
      <c r="B406" s="66">
        <f>B394/(B367-B369)-B394/B367</f>
        <v>1.0881030615292366E-3</v>
      </c>
      <c r="C406" s="66">
        <f t="shared" ref="C406:AC406" si="308">C394/(C367-C369)-C394/C367</f>
        <v>1.0463513086763285E-3</v>
      </c>
      <c r="D406" s="66">
        <f t="shared" si="308"/>
        <v>1.0045731031695058E-3</v>
      </c>
      <c r="E406" s="66">
        <f t="shared" si="308"/>
        <v>9.6705756839259721E-4</v>
      </c>
      <c r="F406" s="66">
        <f t="shared" si="308"/>
        <v>9.2949152791152803E-4</v>
      </c>
      <c r="G406" s="66">
        <f t="shared" si="308"/>
        <v>8.9185693731607188E-4</v>
      </c>
      <c r="H406" s="66">
        <f t="shared" si="308"/>
        <v>8.5412991334524527E-4</v>
      </c>
      <c r="I406" s="66">
        <f t="shared" si="308"/>
        <v>8.1627936561391029E-4</v>
      </c>
      <c r="J406" s="66">
        <f t="shared" si="308"/>
        <v>7.9923557674238532E-4</v>
      </c>
      <c r="K406" s="66">
        <f t="shared" si="308"/>
        <v>7.8193182875133799E-4</v>
      </c>
      <c r="L406" s="66">
        <f t="shared" si="308"/>
        <v>7.6428406777246174E-4</v>
      </c>
      <c r="M406" s="66">
        <f t="shared" si="308"/>
        <v>7.4619414723496244E-4</v>
      </c>
      <c r="N406" s="66">
        <f t="shared" si="308"/>
        <v>7.2755994131446303E-4</v>
      </c>
      <c r="O406" s="66">
        <f t="shared" si="308"/>
        <v>7.0370067931577532E-4</v>
      </c>
      <c r="P406" s="66">
        <f t="shared" si="308"/>
        <v>6.79229905873803E-4</v>
      </c>
      <c r="Q406" s="66">
        <f t="shared" si="308"/>
        <v>6.5423275563414318E-4</v>
      </c>
      <c r="R406" s="66">
        <f t="shared" si="308"/>
        <v>6.2892378661340807E-4</v>
      </c>
      <c r="S406" s="66">
        <f t="shared" si="308"/>
        <v>6.0363215567882551E-4</v>
      </c>
      <c r="T406" s="66">
        <f t="shared" si="308"/>
        <v>5.8516922854390772E-4</v>
      </c>
      <c r="U406" s="66">
        <f t="shared" si="308"/>
        <v>5.6731909318420704E-4</v>
      </c>
      <c r="V406" s="66">
        <f t="shared" si="308"/>
        <v>5.5026954425786527E-4</v>
      </c>
      <c r="W406" s="66">
        <f t="shared" si="308"/>
        <v>5.3405813260869878E-4</v>
      </c>
      <c r="X406" s="66">
        <f t="shared" si="308"/>
        <v>5.1860789575585917E-4</v>
      </c>
      <c r="Y406" s="66">
        <f t="shared" si="308"/>
        <v>5.078738224352404E-4</v>
      </c>
      <c r="Z406" s="66">
        <f t="shared" si="308"/>
        <v>4.9760521244882235E-4</v>
      </c>
      <c r="AA406" s="66">
        <f t="shared" si="308"/>
        <v>4.8767920347450242E-4</v>
      </c>
      <c r="AB406" s="66">
        <f t="shared" si="308"/>
        <v>4.7799675139402475E-4</v>
      </c>
      <c r="AC406" s="66">
        <f t="shared" si="308"/>
        <v>4.6848334260873002E-4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3.947794392793505E-2</v>
      </c>
      <c r="C408" s="67">
        <f t="shared" ref="C408:AC408" si="310">C397+C398+C399+C400+C401+C402+C403+C404+C405+C406+C407</f>
        <v>3.7962600897920709E-2</v>
      </c>
      <c r="D408" s="67">
        <f t="shared" si="310"/>
        <v>3.6446297792172982E-2</v>
      </c>
      <c r="E408" s="67">
        <f t="shared" si="310"/>
        <v>3.5084704559387621E-2</v>
      </c>
      <c r="F408" s="67">
        <f t="shared" si="310"/>
        <v>3.37212782666335E-2</v>
      </c>
      <c r="G408" s="67">
        <f t="shared" si="310"/>
        <v>3.2355364007963142E-2</v>
      </c>
      <c r="H408" s="67">
        <f t="shared" si="310"/>
        <v>3.0986094961492412E-2</v>
      </c>
      <c r="I408" s="67">
        <f t="shared" si="310"/>
        <v>2.9612342729125888E-2</v>
      </c>
      <c r="J408" s="67">
        <f t="shared" si="310"/>
        <v>2.899375345067106E-2</v>
      </c>
      <c r="K408" s="67">
        <f t="shared" si="310"/>
        <v>2.8365729185348944E-2</v>
      </c>
      <c r="L408" s="67">
        <f t="shared" si="310"/>
        <v>2.7725219272174455E-2</v>
      </c>
      <c r="M408" s="67">
        <f t="shared" si="310"/>
        <v>2.7068661567960485E-2</v>
      </c>
      <c r="N408" s="67">
        <f t="shared" si="310"/>
        <v>2.6392349506022334E-2</v>
      </c>
      <c r="O408" s="67">
        <f t="shared" si="310"/>
        <v>2.552639864406988E-2</v>
      </c>
      <c r="P408" s="67">
        <f t="shared" si="310"/>
        <v>2.4638253513852414E-2</v>
      </c>
      <c r="Q408" s="67">
        <f t="shared" si="310"/>
        <v>2.3731004002213112E-2</v>
      </c>
      <c r="R408" s="67">
        <f t="shared" si="310"/>
        <v>2.2812437303048778E-2</v>
      </c>
      <c r="S408" s="67">
        <f t="shared" si="310"/>
        <v>2.1894499874423039E-2</v>
      </c>
      <c r="T408" s="67">
        <f t="shared" si="310"/>
        <v>2.1224404224879277E-2</v>
      </c>
      <c r="U408" s="67">
        <f t="shared" si="310"/>
        <v>2.0576549312118379E-2</v>
      </c>
      <c r="V408" s="67">
        <f t="shared" si="310"/>
        <v>1.99577509775564E-2</v>
      </c>
      <c r="W408" s="67">
        <f t="shared" si="310"/>
        <v>1.9369372095936688E-2</v>
      </c>
      <c r="X408" s="67">
        <f t="shared" si="310"/>
        <v>1.8808619381924827E-2</v>
      </c>
      <c r="Y408" s="67">
        <f t="shared" si="310"/>
        <v>1.8419035661994102E-2</v>
      </c>
      <c r="Z408" s="67">
        <f t="shared" si="310"/>
        <v>1.8046345523075318E-2</v>
      </c>
      <c r="AA408" s="67">
        <f t="shared" si="310"/>
        <v>1.7686089785595552E-2</v>
      </c>
      <c r="AB408" s="67">
        <f t="shared" si="310"/>
        <v>1.7334673730674672E-2</v>
      </c>
      <c r="AC408" s="67">
        <f t="shared" si="310"/>
        <v>1.6989392952996653E-2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1d2ad661-40b4-4211-810e-9f8311f21e6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5DB58C8134B304E8722528DF46508C9" ma:contentTypeVersion="17" ma:contentTypeDescription="Create a new document." ma:contentTypeScope="" ma:versionID="10c9ea4b582f0eb0d34e8ba70fbb42b4">
  <xsd:schema xmlns:xsd="http://www.w3.org/2001/XMLSchema" xmlns:xs="http://www.w3.org/2001/XMLSchema" xmlns:p="http://schemas.microsoft.com/office/2006/metadata/properties" xmlns:ns3="1d2ad661-40b4-4211-810e-9f8311f21e61" xmlns:ns4="e3bebc04-41cd-4c9b-8948-0bf19cce4780" targetNamespace="http://schemas.microsoft.com/office/2006/metadata/properties" ma:root="true" ma:fieldsID="83eaf3ff065b0683f59096ddb0a0e8f5" ns3:_="" ns4:_="">
    <xsd:import namespace="1d2ad661-40b4-4211-810e-9f8311f21e61"/>
    <xsd:import namespace="e3bebc04-41cd-4c9b-8948-0bf19cce478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2ad661-40b4-4211-810e-9f8311f21e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ebc04-41cd-4c9b-8948-0bf19cce478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2.xml><?xml version="1.0" encoding="utf-8"?>
<ds:datastoreItem xmlns:ds="http://schemas.openxmlformats.org/officeDocument/2006/customXml" ds:itemID="{B3B386C5-F0F8-49F0-A26B-B7A25C6BCF28}">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e3bebc04-41cd-4c9b-8948-0bf19cce4780"/>
    <ds:schemaRef ds:uri="1d2ad661-40b4-4211-810e-9f8311f21e61"/>
    <ds:schemaRef ds:uri="http://www.w3.org/XML/1998/namespace"/>
  </ds:schemaRefs>
</ds:datastoreItem>
</file>

<file path=customXml/itemProps3.xml><?xml version="1.0" encoding="utf-8"?>
<ds:datastoreItem xmlns:ds="http://schemas.openxmlformats.org/officeDocument/2006/customXml" ds:itemID="{EFB9341E-2DB1-4393-A0C9-D7D1DCEB38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2ad661-40b4-4211-810e-9f8311f21e61"/>
    <ds:schemaRef ds:uri="e3bebc04-41cd-4c9b-8948-0bf19cce4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Transfer costs</vt:lpstr>
      <vt:lpstr>Parameter Input</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2024-08-23T09:04:46Z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